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evak\Desktop\"/>
    </mc:Choice>
  </mc:AlternateContent>
  <bookViews>
    <workbookView xWindow="0" yWindow="0" windowWidth="20490" windowHeight="7455" tabRatio="775"/>
  </bookViews>
  <sheets>
    <sheet name="Datu ievade" sheetId="1" r:id="rId1"/>
    <sheet name="pagaidu lapa" sheetId="16" r:id="rId2"/>
    <sheet name="Pamatojums" sheetId="15" r:id="rId3"/>
    <sheet name="Aprekini" sheetId="8" r:id="rId4"/>
    <sheet name="Līdzfinansējums" sheetId="13" r:id="rId5"/>
    <sheet name="Saimnieciskas pamatdarbibas NP" sheetId="5" r:id="rId6"/>
    <sheet name="Naudas plusma" sheetId="2" r:id="rId7"/>
    <sheet name="Ilgtermina saistibas" sheetId="6" r:id="rId8"/>
    <sheet name="Iedzivotaju maksatspeja" sheetId="7" r:id="rId9"/>
    <sheet name="Indikatori" sheetId="14" r:id="rId10"/>
  </sheet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#REF!</definedName>
    <definedName name="Excel_BuiltIn_Print_Area_2">'Naudas plusma'!$A$1:$U$28</definedName>
    <definedName name="Excel_BuiltIn_Print_Area_8">Aprekini!$A$1:$U$107</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aksimālā_KF_līdzfinansējuma_likme" localSheetId="0">'Datu ievade'!#REF!</definedName>
    <definedName name="MMMask">"$#REF!.$L$12:$AO$12"</definedName>
    <definedName name="OperatingMask">"$#REF!.$L$8:$AO$8"</definedName>
    <definedName name="Pašvaldība_vai_pašvaldības_iestāde_vai_pašvaldības_aģentūra">'Datu ievade'!$B$10</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3">Aprekini!$A$1:$AG$349</definedName>
    <definedName name="_xlnm.Print_Area" localSheetId="8">'Iedzivotaju maksatspeja'!$A$1:$AG$25</definedName>
    <definedName name="_xlnm.Print_Area" localSheetId="7">'Ilgtermina saistibas'!$A$1:$AG$47</definedName>
    <definedName name="_xlnm.Print_Area" localSheetId="6">'Naudas plusma'!$A$1:$AG$29</definedName>
    <definedName name="_xlnm.Print_Area" localSheetId="2">Pamatojums!$A$1:$H$57</definedName>
    <definedName name="_xlnm.Print_Area" localSheetId="5">'Saimnieciskas pamatdarbibas NP'!$A$1:$AG$38</definedName>
    <definedName name="_xlnm.Print_Titles" localSheetId="3">(Aprekini!$A:$A,Aprekini!$1:$2)</definedName>
    <definedName name="_xlnm.Print_Titles" localSheetId="7">'Ilgtermina saistibas'!$A:$A</definedName>
    <definedName name="_xlnm.Print_Titles" localSheetId="6">'Naudas plusma'!$A:$A</definedName>
    <definedName name="_xlnm.Print_Titles" localSheetId="5">'Saimnieciskas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52511" iterate="1"/>
</workbook>
</file>

<file path=xl/calcChain.xml><?xml version="1.0" encoding="utf-8"?>
<calcChain xmlns="http://schemas.openxmlformats.org/spreadsheetml/2006/main">
  <c r="D48" i="1" l="1"/>
  <c r="E48" i="1"/>
  <c r="D49" i="1"/>
  <c r="E49" i="1"/>
  <c r="D50" i="1"/>
  <c r="I316" i="1"/>
  <c r="J316" i="1"/>
  <c r="K316" i="1" s="1"/>
  <c r="L316" i="1" s="1"/>
  <c r="M316" i="1" s="1"/>
  <c r="N316" i="1" s="1"/>
  <c r="O316" i="1" s="1"/>
  <c r="P316" i="1" s="1"/>
  <c r="Q316" i="1" s="1"/>
  <c r="R316" i="1" s="1"/>
  <c r="S316" i="1" s="1"/>
  <c r="T316" i="1" s="1"/>
  <c r="U316" i="1" s="1"/>
  <c r="V316" i="1" s="1"/>
  <c r="W316" i="1" s="1"/>
  <c r="X316" i="1" s="1"/>
  <c r="Y316" i="1" s="1"/>
  <c r="Z316" i="1" s="1"/>
  <c r="AA316" i="1" s="1"/>
  <c r="AB316" i="1" s="1"/>
  <c r="AC316" i="1" s="1"/>
  <c r="AD316" i="1" s="1"/>
  <c r="AE316" i="1" s="1"/>
  <c r="AF316" i="1" s="1"/>
  <c r="AG316" i="1" s="1"/>
  <c r="AH316" i="1" s="1"/>
  <c r="AI316" i="1" s="1"/>
  <c r="AJ316" i="1" s="1"/>
  <c r="AK316" i="1" s="1"/>
  <c r="I313" i="1"/>
  <c r="J313" i="1"/>
  <c r="K313" i="1" s="1"/>
  <c r="L313" i="1" s="1"/>
  <c r="M313" i="1" s="1"/>
  <c r="N313" i="1" s="1"/>
  <c r="O313" i="1" s="1"/>
  <c r="P313" i="1" s="1"/>
  <c r="Q313" i="1" s="1"/>
  <c r="R313" i="1" s="1"/>
  <c r="S313" i="1" s="1"/>
  <c r="T313" i="1" s="1"/>
  <c r="U313" i="1" s="1"/>
  <c r="V313" i="1" s="1"/>
  <c r="W313" i="1" s="1"/>
  <c r="X313" i="1" s="1"/>
  <c r="Y313" i="1" s="1"/>
  <c r="Z313" i="1" s="1"/>
  <c r="AA313" i="1" s="1"/>
  <c r="AB313" i="1" s="1"/>
  <c r="AC313" i="1" s="1"/>
  <c r="AD313" i="1" s="1"/>
  <c r="AE313" i="1" s="1"/>
  <c r="AF313" i="1" s="1"/>
  <c r="AG313" i="1" s="1"/>
  <c r="AH313" i="1" s="1"/>
  <c r="AI313" i="1" s="1"/>
  <c r="AJ313" i="1" s="1"/>
  <c r="AK313" i="1" s="1"/>
  <c r="I309" i="1"/>
  <c r="J309" i="1" s="1"/>
  <c r="K309" i="1" s="1"/>
  <c r="L309" i="1" s="1"/>
  <c r="M309" i="1" s="1"/>
  <c r="N309" i="1" s="1"/>
  <c r="O309" i="1" s="1"/>
  <c r="P309" i="1" s="1"/>
  <c r="Q309" i="1" s="1"/>
  <c r="R309" i="1" s="1"/>
  <c r="S309" i="1" s="1"/>
  <c r="T309" i="1" s="1"/>
  <c r="U309" i="1" s="1"/>
  <c r="V309" i="1" s="1"/>
  <c r="W309" i="1" s="1"/>
  <c r="X309" i="1" s="1"/>
  <c r="Y309" i="1" s="1"/>
  <c r="Z309" i="1" s="1"/>
  <c r="AA309" i="1" s="1"/>
  <c r="AB309" i="1" s="1"/>
  <c r="AC309" i="1" s="1"/>
  <c r="AD309" i="1" s="1"/>
  <c r="AE309" i="1" s="1"/>
  <c r="AF309" i="1" s="1"/>
  <c r="AG309" i="1" s="1"/>
  <c r="AH309" i="1" s="1"/>
  <c r="AI309" i="1" s="1"/>
  <c r="AJ309" i="1" s="1"/>
  <c r="AK309" i="1" s="1"/>
  <c r="I306" i="1"/>
  <c r="J306" i="1" s="1"/>
  <c r="K306" i="1"/>
  <c r="L306" i="1" s="1"/>
  <c r="M306" i="1" s="1"/>
  <c r="N306" i="1" s="1"/>
  <c r="O306" i="1" s="1"/>
  <c r="P306" i="1" s="1"/>
  <c r="Q306" i="1" s="1"/>
  <c r="R306" i="1" s="1"/>
  <c r="S306" i="1" s="1"/>
  <c r="T306" i="1" s="1"/>
  <c r="U306" i="1" s="1"/>
  <c r="V306" i="1" s="1"/>
  <c r="W306" i="1" s="1"/>
  <c r="X306" i="1" s="1"/>
  <c r="Y306" i="1" s="1"/>
  <c r="Z306" i="1" s="1"/>
  <c r="AA306" i="1" s="1"/>
  <c r="AB306" i="1" s="1"/>
  <c r="AC306" i="1" s="1"/>
  <c r="AD306" i="1" s="1"/>
  <c r="AE306" i="1" s="1"/>
  <c r="AF306" i="1" s="1"/>
  <c r="AG306" i="1" s="1"/>
  <c r="AH306" i="1" s="1"/>
  <c r="AI306" i="1" s="1"/>
  <c r="AJ306" i="1" s="1"/>
  <c r="AK306" i="1" s="1"/>
  <c r="I301" i="1"/>
  <c r="J301" i="1"/>
  <c r="K301" i="1" s="1"/>
  <c r="L301" i="1"/>
  <c r="M301" i="1" s="1"/>
  <c r="N301" i="1" s="1"/>
  <c r="O301" i="1" s="1"/>
  <c r="P301" i="1" s="1"/>
  <c r="Q301" i="1" s="1"/>
  <c r="R301" i="1" s="1"/>
  <c r="S301" i="1" s="1"/>
  <c r="T301" i="1" s="1"/>
  <c r="U301" i="1" s="1"/>
  <c r="V301" i="1" s="1"/>
  <c r="W301" i="1" s="1"/>
  <c r="X301" i="1" s="1"/>
  <c r="Y301" i="1" s="1"/>
  <c r="Z301" i="1" s="1"/>
  <c r="AA301" i="1" s="1"/>
  <c r="AB301" i="1" s="1"/>
  <c r="AC301" i="1" s="1"/>
  <c r="AD301" i="1" s="1"/>
  <c r="AE301" i="1" s="1"/>
  <c r="AF301" i="1" s="1"/>
  <c r="AG301" i="1" s="1"/>
  <c r="AH301" i="1" s="1"/>
  <c r="AI301" i="1" s="1"/>
  <c r="AJ301" i="1" s="1"/>
  <c r="AK301" i="1" s="1"/>
  <c r="I297" i="1"/>
  <c r="J297" i="1" s="1"/>
  <c r="K297" i="1"/>
  <c r="L297" i="1" s="1"/>
  <c r="M297" i="1" s="1"/>
  <c r="N297" i="1" s="1"/>
  <c r="O297" i="1" s="1"/>
  <c r="P297" i="1" s="1"/>
  <c r="Q297" i="1" s="1"/>
  <c r="R297" i="1" s="1"/>
  <c r="S297" i="1" s="1"/>
  <c r="T297" i="1" s="1"/>
  <c r="U297" i="1" s="1"/>
  <c r="V297" i="1" s="1"/>
  <c r="W297" i="1" s="1"/>
  <c r="X297" i="1" s="1"/>
  <c r="Y297" i="1" s="1"/>
  <c r="Z297" i="1" s="1"/>
  <c r="AA297" i="1" s="1"/>
  <c r="AB297" i="1" s="1"/>
  <c r="AC297" i="1" s="1"/>
  <c r="AD297" i="1" s="1"/>
  <c r="AE297" i="1" s="1"/>
  <c r="AF297" i="1" s="1"/>
  <c r="AG297" i="1" s="1"/>
  <c r="AH297" i="1" s="1"/>
  <c r="AI297" i="1" s="1"/>
  <c r="AJ297" i="1" s="1"/>
  <c r="AK297" i="1" s="1"/>
  <c r="H128" i="8"/>
  <c r="H129" i="8"/>
  <c r="J150" i="8"/>
  <c r="K150" i="8"/>
  <c r="L150" i="8"/>
  <c r="M150" i="8"/>
  <c r="N150" i="8"/>
  <c r="O150" i="8"/>
  <c r="P150" i="8"/>
  <c r="Q150" i="8"/>
  <c r="R150" i="8"/>
  <c r="S150" i="8"/>
  <c r="T150" i="8"/>
  <c r="U150" i="8"/>
  <c r="V150" i="8"/>
  <c r="W150" i="8"/>
  <c r="X150" i="8"/>
  <c r="Y150" i="8"/>
  <c r="Z150" i="8"/>
  <c r="AA150" i="8"/>
  <c r="AB150" i="8"/>
  <c r="AC150" i="8"/>
  <c r="AD150" i="8"/>
  <c r="AE150" i="8"/>
  <c r="AF150" i="8"/>
  <c r="AG150" i="8"/>
  <c r="AH150" i="8"/>
  <c r="H150" i="8"/>
  <c r="I150" i="8"/>
  <c r="D54" i="1"/>
  <c r="D55" i="1"/>
  <c r="E55" i="1"/>
  <c r="B35" i="1"/>
  <c r="H145" i="8"/>
  <c r="H17" i="2" s="1"/>
  <c r="I145" i="8"/>
  <c r="I17" i="2" s="1"/>
  <c r="J145" i="8"/>
  <c r="J17" i="2" s="1"/>
  <c r="K145" i="8"/>
  <c r="K17" i="2" s="1"/>
  <c r="L145" i="8"/>
  <c r="L17" i="2" s="1"/>
  <c r="M145" i="8"/>
  <c r="M17" i="2" s="1"/>
  <c r="N145" i="8"/>
  <c r="N17" i="2" s="1"/>
  <c r="O145" i="8"/>
  <c r="O17" i="2" s="1"/>
  <c r="P145" i="8"/>
  <c r="P17" i="2" s="1"/>
  <c r="Q145" i="8"/>
  <c r="Q17" i="2" s="1"/>
  <c r="R145" i="8"/>
  <c r="R17" i="2" s="1"/>
  <c r="S145" i="8"/>
  <c r="T145" i="8"/>
  <c r="U145" i="8"/>
  <c r="U17" i="2" s="1"/>
  <c r="V145" i="8"/>
  <c r="W145" i="8"/>
  <c r="W17" i="2"/>
  <c r="X145" i="8"/>
  <c r="Y145" i="8"/>
  <c r="Y17" i="2" s="1"/>
  <c r="Z145" i="8"/>
  <c r="AA145" i="8"/>
  <c r="AA17" i="2"/>
  <c r="AB145" i="8"/>
  <c r="AC145" i="8"/>
  <c r="AC17" i="2" s="1"/>
  <c r="AD145" i="8"/>
  <c r="AE145" i="8"/>
  <c r="AE17" i="2"/>
  <c r="AF145" i="8"/>
  <c r="AF17" i="2"/>
  <c r="AG145" i="8"/>
  <c r="AG17" i="2"/>
  <c r="AH145" i="8"/>
  <c r="H146" i="8"/>
  <c r="H22" i="2" s="1"/>
  <c r="I146" i="8"/>
  <c r="J146" i="8"/>
  <c r="J22" i="2"/>
  <c r="K146" i="8"/>
  <c r="K22" i="2"/>
  <c r="L146" i="8"/>
  <c r="L22" i="2"/>
  <c r="M146" i="8"/>
  <c r="M22" i="2"/>
  <c r="N146" i="8"/>
  <c r="N22" i="2"/>
  <c r="O146" i="8"/>
  <c r="O22" i="2"/>
  <c r="P146" i="8"/>
  <c r="Q146" i="8"/>
  <c r="Q22" i="2" s="1"/>
  <c r="R146" i="8"/>
  <c r="R22" i="2" s="1"/>
  <c r="S146" i="8"/>
  <c r="S22" i="2" s="1"/>
  <c r="T146" i="8"/>
  <c r="T22" i="2" s="1"/>
  <c r="U146" i="8"/>
  <c r="U22" i="2" s="1"/>
  <c r="V146" i="8"/>
  <c r="W146" i="8"/>
  <c r="W22" i="2"/>
  <c r="X146" i="8"/>
  <c r="X22" i="2"/>
  <c r="Y146" i="8"/>
  <c r="Y22" i="2"/>
  <c r="Z146" i="8"/>
  <c r="Z22" i="2"/>
  <c r="AA146" i="8"/>
  <c r="AA22" i="2"/>
  <c r="AB146" i="8"/>
  <c r="AB22" i="2"/>
  <c r="AC146" i="8"/>
  <c r="AC22" i="2"/>
  <c r="AD146" i="8"/>
  <c r="AD22" i="2"/>
  <c r="AE146" i="8"/>
  <c r="AE22" i="2"/>
  <c r="AF146" i="8"/>
  <c r="AF22" i="2"/>
  <c r="AG146" i="8"/>
  <c r="AG22" i="2"/>
  <c r="AH146" i="8"/>
  <c r="AH22" i="2"/>
  <c r="H147" i="8"/>
  <c r="H18" i="2"/>
  <c r="I147" i="8"/>
  <c r="J147" i="8"/>
  <c r="J18" i="2" s="1"/>
  <c r="K147" i="8"/>
  <c r="L147" i="8"/>
  <c r="L18" i="2"/>
  <c r="M147" i="8"/>
  <c r="N147" i="8"/>
  <c r="N18" i="2" s="1"/>
  <c r="O147" i="8"/>
  <c r="O18" i="2" s="1"/>
  <c r="P147" i="8"/>
  <c r="P18" i="2" s="1"/>
  <c r="Q147" i="8"/>
  <c r="R147" i="8"/>
  <c r="S147" i="8"/>
  <c r="S18" i="2" s="1"/>
  <c r="T147" i="8"/>
  <c r="T18" i="2" s="1"/>
  <c r="U147" i="8"/>
  <c r="V147" i="8"/>
  <c r="V18" i="2"/>
  <c r="W147" i="8"/>
  <c r="W18" i="2"/>
  <c r="X147" i="8"/>
  <c r="X18" i="2"/>
  <c r="Y147" i="8"/>
  <c r="Y18" i="2"/>
  <c r="Z147" i="8"/>
  <c r="AA147" i="8"/>
  <c r="AA18" i="2" s="1"/>
  <c r="AB147" i="8"/>
  <c r="AB18" i="2" s="1"/>
  <c r="AC147" i="8"/>
  <c r="AD147" i="8"/>
  <c r="AD18" i="2"/>
  <c r="AE147" i="8"/>
  <c r="AE18" i="2"/>
  <c r="AF147" i="8"/>
  <c r="AF18" i="2"/>
  <c r="AG147" i="8"/>
  <c r="AG18" i="2"/>
  <c r="AH147" i="8"/>
  <c r="AH18" i="2"/>
  <c r="H148" i="8"/>
  <c r="H23" i="2"/>
  <c r="I148" i="8"/>
  <c r="I23" i="2"/>
  <c r="J148" i="8"/>
  <c r="J23" i="2"/>
  <c r="K148" i="8"/>
  <c r="K23" i="2"/>
  <c r="L148" i="8"/>
  <c r="L23" i="2"/>
  <c r="M148" i="8"/>
  <c r="M23" i="2"/>
  <c r="N148" i="8"/>
  <c r="N23" i="2"/>
  <c r="O148" i="8"/>
  <c r="O23" i="2"/>
  <c r="P148" i="8"/>
  <c r="P23" i="2"/>
  <c r="Q148" i="8"/>
  <c r="Q23" i="2"/>
  <c r="R148" i="8"/>
  <c r="R23" i="2"/>
  <c r="S148" i="8"/>
  <c r="S23" i="2"/>
  <c r="T148" i="8"/>
  <c r="T23" i="2"/>
  <c r="U148" i="8"/>
  <c r="U23" i="2"/>
  <c r="V148" i="8"/>
  <c r="V23" i="2"/>
  <c r="W148" i="8"/>
  <c r="W23" i="2"/>
  <c r="X148" i="8"/>
  <c r="X23" i="2"/>
  <c r="Y148" i="8"/>
  <c r="Y23" i="2"/>
  <c r="Z148" i="8"/>
  <c r="Z23" i="2"/>
  <c r="AA148" i="8"/>
  <c r="AA23" i="2"/>
  <c r="AB148" i="8"/>
  <c r="AB23" i="2"/>
  <c r="AC148" i="8"/>
  <c r="AC23" i="2"/>
  <c r="AD148" i="8"/>
  <c r="AD23" i="2"/>
  <c r="AE148" i="8"/>
  <c r="AE23" i="2"/>
  <c r="AF148" i="8"/>
  <c r="AF23" i="2"/>
  <c r="AG148" i="8"/>
  <c r="AG23" i="2"/>
  <c r="AH148" i="8"/>
  <c r="AH23" i="2"/>
  <c r="H239" i="8"/>
  <c r="H251" i="8"/>
  <c r="I251" i="8"/>
  <c r="J251" i="8"/>
  <c r="K251" i="8"/>
  <c r="L251" i="8"/>
  <c r="M251" i="8"/>
  <c r="N251" i="8"/>
  <c r="O251" i="8"/>
  <c r="P251" i="8"/>
  <c r="Q251" i="8"/>
  <c r="R251" i="8"/>
  <c r="S251" i="8"/>
  <c r="T251" i="8"/>
  <c r="U251" i="8"/>
  <c r="V251" i="8"/>
  <c r="W251" i="8"/>
  <c r="X251" i="8"/>
  <c r="Y251" i="8"/>
  <c r="Z251" i="8"/>
  <c r="AA251" i="8"/>
  <c r="AB251" i="8"/>
  <c r="AC251" i="8"/>
  <c r="AD251" i="8"/>
  <c r="AE251" i="8"/>
  <c r="AF251" i="8"/>
  <c r="AG251" i="8"/>
  <c r="AH251" i="8"/>
  <c r="E476" i="1"/>
  <c r="E468" i="1"/>
  <c r="E490" i="1"/>
  <c r="E222" i="1"/>
  <c r="D222" i="1"/>
  <c r="E211" i="1"/>
  <c r="D211" i="1"/>
  <c r="B199" i="1"/>
  <c r="B25" i="5" s="1"/>
  <c r="B188" i="1"/>
  <c r="B21" i="5" s="1"/>
  <c r="C289" i="1"/>
  <c r="D289" i="1"/>
  <c r="E289" i="1"/>
  <c r="F289" i="1"/>
  <c r="G289" i="1"/>
  <c r="B289" i="1"/>
  <c r="C44" i="6"/>
  <c r="D44" i="6"/>
  <c r="E44" i="6"/>
  <c r="F44" i="6"/>
  <c r="G44"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AI44" i="6"/>
  <c r="B44" i="6"/>
  <c r="H287" i="1"/>
  <c r="I287" i="1" s="1"/>
  <c r="R117" i="5"/>
  <c r="Q117" i="5"/>
  <c r="P117" i="5"/>
  <c r="J117" i="5"/>
  <c r="I117" i="5"/>
  <c r="H117" i="5"/>
  <c r="C117" i="5"/>
  <c r="AI361" i="8"/>
  <c r="A17" i="6"/>
  <c r="B16" i="6"/>
  <c r="A16" i="6"/>
  <c r="B305" i="1"/>
  <c r="B302" i="1"/>
  <c r="I278" i="1"/>
  <c r="I281" i="1"/>
  <c r="I271" i="1"/>
  <c r="J271" i="1"/>
  <c r="J274" i="1" s="1"/>
  <c r="I269" i="1"/>
  <c r="J269" i="1" s="1"/>
  <c r="K269" i="1" s="1"/>
  <c r="I254" i="1"/>
  <c r="I256" i="1"/>
  <c r="C6" i="14"/>
  <c r="D6" i="14"/>
  <c r="E6" i="14"/>
  <c r="F6" i="14"/>
  <c r="G6" i="14"/>
  <c r="H6" i="14"/>
  <c r="I6" i="14"/>
  <c r="J6" i="14"/>
  <c r="K6" i="14"/>
  <c r="L6" i="14"/>
  <c r="M6" i="14"/>
  <c r="N6" i="14"/>
  <c r="O6" i="14"/>
  <c r="P6" i="14"/>
  <c r="Q6" i="14"/>
  <c r="R6" i="14"/>
  <c r="S6" i="14"/>
  <c r="T6" i="14"/>
  <c r="U6" i="14"/>
  <c r="V6" i="14"/>
  <c r="W6" i="14"/>
  <c r="X6" i="14"/>
  <c r="Y6" i="14"/>
  <c r="Z6" i="14"/>
  <c r="AA6" i="14"/>
  <c r="AB6" i="14"/>
  <c r="AC6" i="14"/>
  <c r="AD6" i="14"/>
  <c r="AE6" i="14"/>
  <c r="AF6" i="14"/>
  <c r="AG6" i="14"/>
  <c r="AH6" i="14"/>
  <c r="AI6" i="14"/>
  <c r="B79" i="1"/>
  <c r="C79" i="1" s="1"/>
  <c r="D79" i="1"/>
  <c r="E79" i="1" s="1"/>
  <c r="F79" i="1" s="1"/>
  <c r="G79" i="1" s="1"/>
  <c r="H79" i="1" s="1"/>
  <c r="I79" i="1" s="1"/>
  <c r="J79" i="1" s="1"/>
  <c r="K79" i="1" s="1"/>
  <c r="L79" i="1" s="1"/>
  <c r="M79" i="1" s="1"/>
  <c r="N79" i="1" s="1"/>
  <c r="O79" i="1" s="1"/>
  <c r="P79" i="1" s="1"/>
  <c r="Q79" i="1" s="1"/>
  <c r="R79" i="1" s="1"/>
  <c r="S79" i="1" s="1"/>
  <c r="T79" i="1" s="1"/>
  <c r="U79" i="1" s="1"/>
  <c r="V79" i="1" s="1"/>
  <c r="W79" i="1" s="1"/>
  <c r="X79" i="1" s="1"/>
  <c r="Y79" i="1" s="1"/>
  <c r="Z79" i="1" s="1"/>
  <c r="AA79" i="1" s="1"/>
  <c r="AB79" i="1" s="1"/>
  <c r="AC79" i="1" s="1"/>
  <c r="AD79" i="1" s="1"/>
  <c r="AE79" i="1" s="1"/>
  <c r="AF79" i="1" s="1"/>
  <c r="AG79" i="1" s="1"/>
  <c r="AH79" i="1" s="1"/>
  <c r="B256" i="1"/>
  <c r="B260" i="1"/>
  <c r="B282" i="1" s="1"/>
  <c r="C273" i="1"/>
  <c r="C262" i="1"/>
  <c r="D262" i="1"/>
  <c r="E262" i="1" s="1"/>
  <c r="F262" i="1" s="1"/>
  <c r="G262" i="1" s="1"/>
  <c r="H262" i="1" s="1"/>
  <c r="I262" i="1" s="1"/>
  <c r="J262" i="1" s="1"/>
  <c r="K262" i="1" s="1"/>
  <c r="L262" i="1" s="1"/>
  <c r="M262" i="1" s="1"/>
  <c r="N262" i="1" s="1"/>
  <c r="O262" i="1" s="1"/>
  <c r="P262" i="1" s="1"/>
  <c r="Q262" i="1" s="1"/>
  <c r="R262" i="1" s="1"/>
  <c r="S262" i="1" s="1"/>
  <c r="T262" i="1" s="1"/>
  <c r="U262" i="1" s="1"/>
  <c r="V262" i="1" s="1"/>
  <c r="W262" i="1" s="1"/>
  <c r="X262" i="1" s="1"/>
  <c r="Y262" i="1" s="1"/>
  <c r="Z262" i="1" s="1"/>
  <c r="AA262" i="1" s="1"/>
  <c r="AB262" i="1" s="1"/>
  <c r="AC262" i="1" s="1"/>
  <c r="AD262" i="1" s="1"/>
  <c r="AE262" i="1" s="1"/>
  <c r="AF262" i="1" s="1"/>
  <c r="AG262" i="1" s="1"/>
  <c r="AH262" i="1" s="1"/>
  <c r="AI262" i="1" s="1"/>
  <c r="AJ262" i="1" s="1"/>
  <c r="AK262" i="1" s="1"/>
  <c r="B46" i="6"/>
  <c r="A13" i="6"/>
  <c r="C42" i="1"/>
  <c r="B52" i="1"/>
  <c r="D219" i="1"/>
  <c r="D217" i="1"/>
  <c r="D216" i="1"/>
  <c r="D215" i="1"/>
  <c r="D207" i="1"/>
  <c r="D206" i="1"/>
  <c r="D205" i="1"/>
  <c r="D204" i="1"/>
  <c r="AH110" i="8"/>
  <c r="AG110" i="8"/>
  <c r="AF110" i="8"/>
  <c r="AE110" i="8"/>
  <c r="AD110" i="8"/>
  <c r="AC110" i="8"/>
  <c r="AB110" i="8"/>
  <c r="AA110" i="8"/>
  <c r="Z110" i="8"/>
  <c r="Y110" i="8"/>
  <c r="X110" i="8"/>
  <c r="W110" i="8"/>
  <c r="V110" i="8"/>
  <c r="U110" i="8"/>
  <c r="B278" i="8"/>
  <c r="F282" i="8"/>
  <c r="G282" i="8"/>
  <c r="J279" i="8"/>
  <c r="K279" i="8"/>
  <c r="L279" i="8"/>
  <c r="M279" i="8"/>
  <c r="N279" i="8"/>
  <c r="O279" i="8"/>
  <c r="P279" i="8"/>
  <c r="Q279" i="8"/>
  <c r="R279" i="8"/>
  <c r="S279" i="8"/>
  <c r="T279" i="8"/>
  <c r="U279" i="8"/>
  <c r="V279" i="8"/>
  <c r="W279" i="8"/>
  <c r="X279" i="8"/>
  <c r="Y279" i="8"/>
  <c r="Z279" i="8"/>
  <c r="AA279" i="8"/>
  <c r="AB279" i="8"/>
  <c r="AC279" i="8"/>
  <c r="AD279" i="8"/>
  <c r="AE279" i="8"/>
  <c r="AF279" i="8"/>
  <c r="AG279" i="8"/>
  <c r="AH279" i="8"/>
  <c r="B261" i="8"/>
  <c r="B260" i="8" s="1"/>
  <c r="C25" i="2"/>
  <c r="D25" i="2"/>
  <c r="E25" i="2"/>
  <c r="B25" i="2"/>
  <c r="C238" i="8"/>
  <c r="B238" i="8"/>
  <c r="B258" i="8"/>
  <c r="H259" i="8"/>
  <c r="I259" i="8"/>
  <c r="J259" i="8"/>
  <c r="K259" i="8"/>
  <c r="L259" i="8"/>
  <c r="M259" i="8"/>
  <c r="N259" i="8"/>
  <c r="O259" i="8"/>
  <c r="P259" i="8"/>
  <c r="Q259" i="8"/>
  <c r="R259" i="8"/>
  <c r="S259" i="8"/>
  <c r="T259" i="8"/>
  <c r="U259" i="8"/>
  <c r="V259" i="8"/>
  <c r="W259" i="8"/>
  <c r="X259" i="8"/>
  <c r="Y259" i="8"/>
  <c r="Z259" i="8"/>
  <c r="AA259" i="8"/>
  <c r="AB259" i="8"/>
  <c r="AC259" i="8"/>
  <c r="AD259" i="8"/>
  <c r="AE259" i="8"/>
  <c r="AF259" i="8"/>
  <c r="AG259" i="8"/>
  <c r="AH259" i="8"/>
  <c r="C172" i="8"/>
  <c r="D172" i="8"/>
  <c r="E172" i="8"/>
  <c r="B172" i="8"/>
  <c r="B62" i="1"/>
  <c r="B70" i="1" s="1"/>
  <c r="C70" i="1" s="1"/>
  <c r="D70" i="1" s="1"/>
  <c r="E70" i="1" s="1"/>
  <c r="F70" i="1" s="1"/>
  <c r="G70" i="1" s="1"/>
  <c r="C436" i="1"/>
  <c r="D436" i="1"/>
  <c r="E436" i="1" s="1"/>
  <c r="F436" i="1"/>
  <c r="G436" i="1" s="1"/>
  <c r="H436" i="1" s="1"/>
  <c r="I436" i="1" s="1"/>
  <c r="J436" i="1" s="1"/>
  <c r="K436" i="1" s="1"/>
  <c r="L436" i="1" s="1"/>
  <c r="M436" i="1" s="1"/>
  <c r="N436" i="1" s="1"/>
  <c r="C443" i="1"/>
  <c r="D443" i="1"/>
  <c r="E443" i="1" s="1"/>
  <c r="F443" i="1" s="1"/>
  <c r="G443" i="1" s="1"/>
  <c r="H443" i="1" s="1"/>
  <c r="I443" i="1" s="1"/>
  <c r="J443" i="1" s="1"/>
  <c r="K443" i="1" s="1"/>
  <c r="L443" i="1" s="1"/>
  <c r="M443" i="1" s="1"/>
  <c r="N443" i="1" s="1"/>
  <c r="O443" i="1" s="1"/>
  <c r="P443" i="1" s="1"/>
  <c r="Q443" i="1" s="1"/>
  <c r="R443" i="1" s="1"/>
  <c r="S443" i="1" s="1"/>
  <c r="T443" i="1" s="1"/>
  <c r="U443" i="1" s="1"/>
  <c r="V443" i="1" s="1"/>
  <c r="W443" i="1" s="1"/>
  <c r="X443" i="1" s="1"/>
  <c r="Y443" i="1" s="1"/>
  <c r="Z443" i="1" s="1"/>
  <c r="AA443" i="1" s="1"/>
  <c r="AB443" i="1" s="1"/>
  <c r="AC443" i="1" s="1"/>
  <c r="AD443" i="1" s="1"/>
  <c r="AE443" i="1" s="1"/>
  <c r="AF443" i="1" s="1"/>
  <c r="AG443" i="1" s="1"/>
  <c r="AH443" i="1" s="1"/>
  <c r="E448" i="1"/>
  <c r="F448" i="1"/>
  <c r="B5" i="8"/>
  <c r="B5" i="2"/>
  <c r="C5" i="2" s="1"/>
  <c r="D5" i="2"/>
  <c r="E5" i="2" s="1"/>
  <c r="F5" i="2" s="1"/>
  <c r="G5" i="2" s="1"/>
  <c r="H5" i="2" s="1"/>
  <c r="I5" i="2" s="1"/>
  <c r="J5" i="2" s="1"/>
  <c r="K5" i="2" s="1"/>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J270" i="8"/>
  <c r="K270" i="8"/>
  <c r="L270" i="8"/>
  <c r="M270" i="8"/>
  <c r="N270" i="8"/>
  <c r="O270" i="8"/>
  <c r="P270" i="8"/>
  <c r="Q270" i="8"/>
  <c r="R270" i="8"/>
  <c r="S270" i="8"/>
  <c r="T270" i="8"/>
  <c r="U270" i="8"/>
  <c r="V270" i="8"/>
  <c r="W270" i="8"/>
  <c r="X270" i="8"/>
  <c r="Y270" i="8"/>
  <c r="Z270" i="8"/>
  <c r="AA270" i="8"/>
  <c r="AB270" i="8"/>
  <c r="AC270" i="8"/>
  <c r="AD270" i="8"/>
  <c r="AE270" i="8"/>
  <c r="AF270" i="8"/>
  <c r="AG270" i="8"/>
  <c r="AH270" i="8"/>
  <c r="B325" i="1"/>
  <c r="C325" i="1" s="1"/>
  <c r="D325" i="1"/>
  <c r="E325" i="1" s="1"/>
  <c r="F325" i="1" s="1"/>
  <c r="G325" i="1" s="1"/>
  <c r="H325" i="1" s="1"/>
  <c r="I325" i="1" s="1"/>
  <c r="J325" i="1" s="1"/>
  <c r="K325" i="1" s="1"/>
  <c r="L325" i="1" s="1"/>
  <c r="M325" i="1" s="1"/>
  <c r="N325" i="1" s="1"/>
  <c r="O325" i="1" s="1"/>
  <c r="P325" i="1" s="1"/>
  <c r="Q325" i="1" s="1"/>
  <c r="R325" i="1" s="1"/>
  <c r="S325" i="1" s="1"/>
  <c r="T325" i="1" s="1"/>
  <c r="U325" i="1" s="1"/>
  <c r="V325" i="1" s="1"/>
  <c r="W325" i="1" s="1"/>
  <c r="X325" i="1" s="1"/>
  <c r="Y325" i="1" s="1"/>
  <c r="Z325" i="1" s="1"/>
  <c r="AA325" i="1" s="1"/>
  <c r="AB325" i="1" s="1"/>
  <c r="AC325" i="1" s="1"/>
  <c r="AD325" i="1" s="1"/>
  <c r="AE325" i="1" s="1"/>
  <c r="AF325" i="1" s="1"/>
  <c r="AG325" i="1" s="1"/>
  <c r="AH325" i="1" s="1"/>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F84" i="8"/>
  <c r="G84" i="8"/>
  <c r="H84" i="8"/>
  <c r="I84" i="8"/>
  <c r="J84" i="8"/>
  <c r="K84" i="8"/>
  <c r="L84" i="8"/>
  <c r="M84" i="8"/>
  <c r="N84" i="8"/>
  <c r="O84" i="8"/>
  <c r="P84" i="8"/>
  <c r="Q84" i="8"/>
  <c r="R84" i="8"/>
  <c r="S84" i="8"/>
  <c r="T84" i="8"/>
  <c r="F90" i="8"/>
  <c r="G90" i="8"/>
  <c r="H90" i="8"/>
  <c r="I90" i="8"/>
  <c r="J90" i="8"/>
  <c r="K90" i="8"/>
  <c r="L90" i="8"/>
  <c r="M90" i="8"/>
  <c r="N90" i="8"/>
  <c r="O90" i="8"/>
  <c r="B164" i="1"/>
  <c r="B421" i="1"/>
  <c r="B10" i="7" s="1"/>
  <c r="B398" i="1"/>
  <c r="B72" i="5" s="1"/>
  <c r="B297" i="8"/>
  <c r="B419" i="1"/>
  <c r="B7" i="7"/>
  <c r="B391" i="1"/>
  <c r="B250" i="8"/>
  <c r="C171" i="8"/>
  <c r="B171" i="8"/>
  <c r="B19" i="8"/>
  <c r="B8" i="8"/>
  <c r="C19" i="8" s="1"/>
  <c r="B20" i="8"/>
  <c r="B9" i="8" s="1"/>
  <c r="C9" i="8"/>
  <c r="B21" i="8"/>
  <c r="B10" i="8"/>
  <c r="C10" i="8" s="1"/>
  <c r="B22" i="8"/>
  <c r="B24" i="8"/>
  <c r="B13" i="8"/>
  <c r="C13" i="8" s="1"/>
  <c r="B25" i="8"/>
  <c r="B14" i="8" s="1"/>
  <c r="B26" i="8"/>
  <c r="B15" i="8"/>
  <c r="C26" i="8" s="1"/>
  <c r="B27" i="8"/>
  <c r="B16" i="8" s="1"/>
  <c r="C24" i="2"/>
  <c r="J322" i="1"/>
  <c r="B230" i="1"/>
  <c r="B44" i="5" s="1"/>
  <c r="B231" i="1"/>
  <c r="B45" i="5" s="1"/>
  <c r="B232" i="1"/>
  <c r="B46" i="5" s="1"/>
  <c r="B233" i="1"/>
  <c r="B47" i="5" s="1"/>
  <c r="B234" i="1"/>
  <c r="B48" i="5" s="1"/>
  <c r="B241" i="1"/>
  <c r="B50" i="5" s="1"/>
  <c r="B242" i="1"/>
  <c r="B51" i="5" s="1"/>
  <c r="B243" i="1"/>
  <c r="B52" i="5" s="1"/>
  <c r="B244" i="1"/>
  <c r="B53" i="5" s="1"/>
  <c r="B245" i="1"/>
  <c r="B54" i="5" s="1"/>
  <c r="B7" i="5"/>
  <c r="B8" i="5"/>
  <c r="B9" i="5"/>
  <c r="B10" i="5"/>
  <c r="B11" i="5"/>
  <c r="B12" i="5"/>
  <c r="B86" i="5"/>
  <c r="B13" i="5"/>
  <c r="B14" i="5"/>
  <c r="B15" i="5"/>
  <c r="B16" i="5"/>
  <c r="B17" i="5"/>
  <c r="B236" i="1"/>
  <c r="B57" i="5" s="1"/>
  <c r="B20" i="5"/>
  <c r="B238" i="1"/>
  <c r="B59" i="5"/>
  <c r="B22" i="5"/>
  <c r="B247" i="1"/>
  <c r="B61" i="5" s="1"/>
  <c r="B24" i="5"/>
  <c r="B249" i="1"/>
  <c r="B63" i="5"/>
  <c r="B26" i="5"/>
  <c r="B177" i="1"/>
  <c r="C177" i="1" s="1"/>
  <c r="C439" i="1"/>
  <c r="D439" i="1" s="1"/>
  <c r="E439" i="1" s="1"/>
  <c r="F439" i="1" s="1"/>
  <c r="G439" i="1" s="1"/>
  <c r="C12" i="5"/>
  <c r="C86" i="5"/>
  <c r="C441" i="1"/>
  <c r="D441" i="1"/>
  <c r="E441" i="1" s="1"/>
  <c r="F441" i="1" s="1"/>
  <c r="G441" i="1" s="1"/>
  <c r="H441" i="1" s="1"/>
  <c r="I441" i="1" s="1"/>
  <c r="J441" i="1" s="1"/>
  <c r="K441" i="1" s="1"/>
  <c r="L441" i="1" s="1"/>
  <c r="M441" i="1" s="1"/>
  <c r="N441" i="1" s="1"/>
  <c r="O441" i="1" s="1"/>
  <c r="P441" i="1" s="1"/>
  <c r="Q441" i="1" s="1"/>
  <c r="R441" i="1" s="1"/>
  <c r="S441" i="1" s="1"/>
  <c r="T441" i="1" s="1"/>
  <c r="U441" i="1" s="1"/>
  <c r="V441" i="1" s="1"/>
  <c r="W441" i="1" s="1"/>
  <c r="X441" i="1" s="1"/>
  <c r="Y441" i="1" s="1"/>
  <c r="Z441" i="1" s="1"/>
  <c r="AA441" i="1" s="1"/>
  <c r="AB441" i="1" s="1"/>
  <c r="AC441" i="1" s="1"/>
  <c r="AD441" i="1" s="1"/>
  <c r="AE441" i="1" s="1"/>
  <c r="AF441" i="1" s="1"/>
  <c r="AG441" i="1" s="1"/>
  <c r="AH441" i="1" s="1"/>
  <c r="D12" i="5"/>
  <c r="D86" i="5"/>
  <c r="E12" i="5"/>
  <c r="E86" i="5"/>
  <c r="F12" i="5"/>
  <c r="F86" i="5"/>
  <c r="G12" i="5"/>
  <c r="G86" i="5"/>
  <c r="H12" i="5"/>
  <c r="H86" i="5"/>
  <c r="I12" i="5"/>
  <c r="I86" i="5"/>
  <c r="J12" i="5"/>
  <c r="J86" i="5"/>
  <c r="K12" i="5"/>
  <c r="K86" i="5"/>
  <c r="L12" i="5"/>
  <c r="L86" i="5"/>
  <c r="M12" i="5"/>
  <c r="M86" i="5"/>
  <c r="N12" i="5"/>
  <c r="N86" i="5"/>
  <c r="O12" i="5"/>
  <c r="O86" i="5"/>
  <c r="P12" i="5"/>
  <c r="P86" i="5"/>
  <c r="Q12" i="5"/>
  <c r="Q86" i="5"/>
  <c r="R12" i="5"/>
  <c r="R86" i="5"/>
  <c r="S12" i="5"/>
  <c r="S86" i="5"/>
  <c r="T12" i="5"/>
  <c r="T86" i="5"/>
  <c r="U12" i="5"/>
  <c r="U86" i="5"/>
  <c r="V12" i="5"/>
  <c r="V86" i="5"/>
  <c r="W12" i="5"/>
  <c r="W86" i="5"/>
  <c r="X12" i="5"/>
  <c r="X86" i="5"/>
  <c r="Y12" i="5"/>
  <c r="Y86" i="5"/>
  <c r="Z12" i="5"/>
  <c r="Z86" i="5"/>
  <c r="AA12" i="5"/>
  <c r="AA86" i="5"/>
  <c r="AB12" i="5"/>
  <c r="AB86" i="5"/>
  <c r="AC12" i="5"/>
  <c r="AC86" i="5"/>
  <c r="AD12" i="5"/>
  <c r="AD86" i="5"/>
  <c r="AE12" i="5"/>
  <c r="AE86" i="5"/>
  <c r="AF12" i="5"/>
  <c r="AF86" i="5"/>
  <c r="AG12" i="5"/>
  <c r="AG86" i="5"/>
  <c r="AH12" i="5"/>
  <c r="AH86" i="5"/>
  <c r="B24" i="2"/>
  <c r="K298" i="1"/>
  <c r="H421" i="1" s="1"/>
  <c r="H267" i="1"/>
  <c r="K263" i="1"/>
  <c r="B43" i="1"/>
  <c r="B390" i="1"/>
  <c r="B255" i="1"/>
  <c r="B269" i="8"/>
  <c r="B387" i="1"/>
  <c r="C387" i="1" s="1"/>
  <c r="C246" i="1"/>
  <c r="C235" i="1"/>
  <c r="AH149" i="8"/>
  <c r="AH153" i="8"/>
  <c r="E302" i="1"/>
  <c r="F302" i="1" s="1"/>
  <c r="F308" i="1"/>
  <c r="F315" i="1"/>
  <c r="G308" i="1"/>
  <c r="G315" i="1"/>
  <c r="H304" i="1"/>
  <c r="H305" i="1" s="1"/>
  <c r="H311" i="1"/>
  <c r="H315" i="1" s="1"/>
  <c r="B407" i="1"/>
  <c r="B410" i="1" s="1"/>
  <c r="B412" i="1"/>
  <c r="E308" i="1"/>
  <c r="B34" i="5"/>
  <c r="E315" i="1"/>
  <c r="AJ116" i="5"/>
  <c r="AJ118" i="5" s="1"/>
  <c r="AK116" i="5"/>
  <c r="AK118" i="5" s="1"/>
  <c r="H120" i="8"/>
  <c r="I120" i="8"/>
  <c r="J120" i="8"/>
  <c r="H119" i="8"/>
  <c r="I119" i="8"/>
  <c r="J119" i="8"/>
  <c r="K119" i="8"/>
  <c r="L119" i="8"/>
  <c r="M119" i="8"/>
  <c r="N119" i="8"/>
  <c r="O119" i="8"/>
  <c r="P119" i="8"/>
  <c r="Q119" i="8"/>
  <c r="R119" i="8"/>
  <c r="S119" i="8"/>
  <c r="T119" i="8"/>
  <c r="U119" i="8"/>
  <c r="V119" i="8"/>
  <c r="W119" i="8"/>
  <c r="X119" i="8"/>
  <c r="Y119" i="8"/>
  <c r="Z119" i="8"/>
  <c r="AA119" i="8"/>
  <c r="AB119" i="8"/>
  <c r="AC119" i="8"/>
  <c r="AD119" i="8"/>
  <c r="AE119" i="8"/>
  <c r="AF119" i="8"/>
  <c r="AG119" i="8"/>
  <c r="AH119" i="8"/>
  <c r="I128" i="8"/>
  <c r="J128" i="8"/>
  <c r="K128" i="8"/>
  <c r="L128" i="8"/>
  <c r="M128" i="8"/>
  <c r="N128" i="8"/>
  <c r="O128" i="8"/>
  <c r="P128" i="8"/>
  <c r="Q128" i="8"/>
  <c r="R128" i="8"/>
  <c r="S128" i="8"/>
  <c r="T128" i="8"/>
  <c r="U128" i="8"/>
  <c r="V128" i="8"/>
  <c r="W128" i="8"/>
  <c r="X128" i="8"/>
  <c r="Y128" i="8"/>
  <c r="Z128" i="8"/>
  <c r="AA128" i="8"/>
  <c r="AB128" i="8"/>
  <c r="AC128" i="8"/>
  <c r="AD128" i="8"/>
  <c r="AE128" i="8"/>
  <c r="AF128" i="8"/>
  <c r="AG128" i="8"/>
  <c r="AH128" i="8"/>
  <c r="I20" i="2"/>
  <c r="H20" i="2"/>
  <c r="D38" i="13"/>
  <c r="AH38" i="8"/>
  <c r="AH44" i="8"/>
  <c r="AH50" i="8"/>
  <c r="AH58" i="8"/>
  <c r="AH64" i="8"/>
  <c r="AH70" i="8"/>
  <c r="AH84" i="8"/>
  <c r="AH90" i="8"/>
  <c r="AH116" i="8"/>
  <c r="AH117" i="8"/>
  <c r="AH120" i="8"/>
  <c r="AH125" i="8"/>
  <c r="AH126" i="8"/>
  <c r="AH129" i="8"/>
  <c r="AH7" i="6"/>
  <c r="AH8" i="6"/>
  <c r="AH9" i="6"/>
  <c r="AH10" i="6"/>
  <c r="AH11" i="6"/>
  <c r="AH12" i="6"/>
  <c r="AH13" i="6"/>
  <c r="AH14" i="6"/>
  <c r="AH15" i="6"/>
  <c r="AH16" i="6"/>
  <c r="AH21" i="6"/>
  <c r="AH22" i="6"/>
  <c r="AH23" i="6"/>
  <c r="AH24" i="6"/>
  <c r="AH25" i="6"/>
  <c r="AH26" i="6"/>
  <c r="AH27" i="6"/>
  <c r="AH28" i="6"/>
  <c r="AH29" i="6"/>
  <c r="AH30" i="6"/>
  <c r="AH31" i="6"/>
  <c r="AH32" i="6"/>
  <c r="AH33" i="6"/>
  <c r="AH34" i="6"/>
  <c r="AH35" i="6"/>
  <c r="AH36" i="6"/>
  <c r="AH40" i="6"/>
  <c r="AH41" i="6"/>
  <c r="AH42" i="6"/>
  <c r="AH93" i="5"/>
  <c r="AH97" i="5"/>
  <c r="AH19" i="2"/>
  <c r="AH20" i="2"/>
  <c r="AH21" i="2"/>
  <c r="AH17" i="6"/>
  <c r="AH235" i="1"/>
  <c r="AH239" i="1"/>
  <c r="AH240" i="1"/>
  <c r="AH246" i="1"/>
  <c r="C1" i="13"/>
  <c r="B1" i="13"/>
  <c r="I129" i="8"/>
  <c r="J129" i="8"/>
  <c r="K129" i="8"/>
  <c r="L129" i="8"/>
  <c r="M129" i="8"/>
  <c r="N129" i="8"/>
  <c r="O129" i="8"/>
  <c r="P129" i="8"/>
  <c r="Q129" i="8"/>
  <c r="R129" i="8"/>
  <c r="S129" i="8"/>
  <c r="T129" i="8"/>
  <c r="U129" i="8"/>
  <c r="V129" i="8"/>
  <c r="W129" i="8"/>
  <c r="X129" i="8"/>
  <c r="Y129" i="8"/>
  <c r="Z129" i="8"/>
  <c r="AA129" i="8"/>
  <c r="AB129" i="8"/>
  <c r="AC129" i="8"/>
  <c r="AD129" i="8"/>
  <c r="AE129" i="8"/>
  <c r="AF129" i="8"/>
  <c r="AG129" i="8"/>
  <c r="AG130" i="8" s="1"/>
  <c r="K120" i="8"/>
  <c r="L120" i="8"/>
  <c r="M120" i="8"/>
  <c r="N120" i="8"/>
  <c r="O120" i="8"/>
  <c r="P120" i="8"/>
  <c r="P138" i="8"/>
  <c r="Q120" i="8"/>
  <c r="R120" i="8"/>
  <c r="S120" i="8"/>
  <c r="T120" i="8"/>
  <c r="U120" i="8"/>
  <c r="V120" i="8"/>
  <c r="W120" i="8"/>
  <c r="X120" i="8"/>
  <c r="Y120" i="8"/>
  <c r="Z120" i="8"/>
  <c r="AA120" i="8"/>
  <c r="AB120" i="8"/>
  <c r="AC120" i="8"/>
  <c r="AD120" i="8"/>
  <c r="AE120" i="8"/>
  <c r="AF120" i="8"/>
  <c r="AG120" i="8"/>
  <c r="B53" i="1"/>
  <c r="C53" i="1" s="1"/>
  <c r="D53" i="1" s="1"/>
  <c r="E53" i="1" s="1"/>
  <c r="F53" i="1" s="1"/>
  <c r="G53" i="1" s="1"/>
  <c r="B106" i="1"/>
  <c r="E90" i="8"/>
  <c r="D235" i="1"/>
  <c r="D246" i="1"/>
  <c r="D70" i="8"/>
  <c r="D64" i="8"/>
  <c r="D58" i="8"/>
  <c r="E58" i="8"/>
  <c r="E64" i="8"/>
  <c r="E70" i="8"/>
  <c r="E38" i="8"/>
  <c r="E44" i="8"/>
  <c r="E50" i="8"/>
  <c r="E78" i="8"/>
  <c r="E84" i="8"/>
  <c r="E235" i="1"/>
  <c r="E419" i="1"/>
  <c r="E246" i="1"/>
  <c r="H319" i="1"/>
  <c r="I319" i="1" s="1"/>
  <c r="J319" i="1" s="1"/>
  <c r="L319" i="1"/>
  <c r="M319" i="1"/>
  <c r="N319" i="1" s="1"/>
  <c r="F58" i="8"/>
  <c r="F64" i="8"/>
  <c r="F70" i="8"/>
  <c r="F38" i="8"/>
  <c r="F44" i="8"/>
  <c r="F50" i="8"/>
  <c r="F235" i="1"/>
  <c r="F419" i="1"/>
  <c r="F18" i="7"/>
  <c r="F246" i="1"/>
  <c r="G58" i="8"/>
  <c r="G64" i="8"/>
  <c r="G70" i="8"/>
  <c r="G38" i="8"/>
  <c r="G44" i="8"/>
  <c r="G50" i="8"/>
  <c r="G235" i="1"/>
  <c r="G246" i="1"/>
  <c r="H58" i="8"/>
  <c r="H64" i="8"/>
  <c r="H70" i="8"/>
  <c r="H38" i="8"/>
  <c r="H44" i="8"/>
  <c r="H50" i="8"/>
  <c r="H235" i="1"/>
  <c r="H246" i="1"/>
  <c r="H116" i="8"/>
  <c r="H125" i="8"/>
  <c r="H117" i="8"/>
  <c r="H126" i="8"/>
  <c r="H19" i="2"/>
  <c r="H21" i="2"/>
  <c r="I58" i="8"/>
  <c r="I64" i="8"/>
  <c r="I70" i="8"/>
  <c r="I38" i="8"/>
  <c r="I44" i="8"/>
  <c r="I50" i="8"/>
  <c r="I235" i="1"/>
  <c r="I246" i="1"/>
  <c r="I116" i="8"/>
  <c r="I125" i="8"/>
  <c r="I117" i="8"/>
  <c r="I126" i="8"/>
  <c r="I19" i="2"/>
  <c r="I21" i="2"/>
  <c r="J58" i="8"/>
  <c r="J64" i="8"/>
  <c r="J70" i="8"/>
  <c r="J38" i="8"/>
  <c r="J44" i="8"/>
  <c r="J50" i="8"/>
  <c r="I149" i="8"/>
  <c r="I153" i="8"/>
  <c r="J235" i="1"/>
  <c r="J246" i="1"/>
  <c r="J116" i="8"/>
  <c r="J125" i="8"/>
  <c r="J117" i="8"/>
  <c r="J126" i="8"/>
  <c r="J19" i="2"/>
  <c r="J20" i="2"/>
  <c r="J21" i="2"/>
  <c r="K58" i="8"/>
  <c r="K64" i="8"/>
  <c r="K70" i="8"/>
  <c r="K38" i="8"/>
  <c r="K44" i="8"/>
  <c r="K50" i="8"/>
  <c r="J149" i="8"/>
  <c r="J153" i="8"/>
  <c r="K235" i="1"/>
  <c r="K246" i="1"/>
  <c r="K116" i="8"/>
  <c r="K125" i="8"/>
  <c r="K117" i="8"/>
  <c r="K126" i="8"/>
  <c r="K19" i="2"/>
  <c r="K20" i="2"/>
  <c r="K21" i="2"/>
  <c r="L58" i="8"/>
  <c r="L64" i="8"/>
  <c r="L70" i="8"/>
  <c r="L38" i="8"/>
  <c r="L44" i="8"/>
  <c r="L50" i="8"/>
  <c r="K149" i="8"/>
  <c r="K153" i="8"/>
  <c r="L235" i="1"/>
  <c r="L246" i="1"/>
  <c r="L116" i="8"/>
  <c r="L125" i="8"/>
  <c r="L117" i="8"/>
  <c r="L126" i="8"/>
  <c r="L19" i="2"/>
  <c r="L20" i="2"/>
  <c r="L21" i="2"/>
  <c r="M58" i="8"/>
  <c r="M64" i="8"/>
  <c r="M70" i="8"/>
  <c r="M38" i="8"/>
  <c r="M44" i="8"/>
  <c r="M50" i="8"/>
  <c r="L149" i="8"/>
  <c r="L153" i="8"/>
  <c r="M235" i="1"/>
  <c r="M246" i="1"/>
  <c r="M116" i="8"/>
  <c r="M125" i="8"/>
  <c r="M117" i="8"/>
  <c r="M126" i="8"/>
  <c r="M19" i="2"/>
  <c r="M20" i="2"/>
  <c r="M21" i="2"/>
  <c r="N58" i="8"/>
  <c r="N64" i="8"/>
  <c r="N38" i="8"/>
  <c r="N44" i="8"/>
  <c r="N50" i="8"/>
  <c r="M149" i="8"/>
  <c r="M153" i="8"/>
  <c r="N235" i="1"/>
  <c r="N246" i="1"/>
  <c r="N116" i="8"/>
  <c r="N125" i="8"/>
  <c r="N117" i="8"/>
  <c r="N126" i="8"/>
  <c r="N19" i="2"/>
  <c r="N20" i="2"/>
  <c r="N21" i="2"/>
  <c r="O58" i="8"/>
  <c r="O64" i="8"/>
  <c r="O38" i="8"/>
  <c r="O44" i="8"/>
  <c r="N149" i="8"/>
  <c r="N151" i="8" s="1"/>
  <c r="N153" i="8"/>
  <c r="O235" i="1"/>
  <c r="O246" i="1"/>
  <c r="O116" i="8"/>
  <c r="O125" i="8"/>
  <c r="O117" i="8"/>
  <c r="O126" i="8"/>
  <c r="O19" i="2"/>
  <c r="O20" i="2"/>
  <c r="O21" i="2"/>
  <c r="P58" i="8"/>
  <c r="P64" i="8"/>
  <c r="P38" i="8"/>
  <c r="P44" i="8"/>
  <c r="O149" i="8"/>
  <c r="O153" i="8"/>
  <c r="P235" i="1"/>
  <c r="P246" i="1"/>
  <c r="P116" i="8"/>
  <c r="P125" i="8"/>
  <c r="P117" i="8"/>
  <c r="P126" i="8"/>
  <c r="P19" i="2"/>
  <c r="P20" i="2"/>
  <c r="P21" i="2"/>
  <c r="Q58" i="8"/>
  <c r="Q64" i="8"/>
  <c r="Q38" i="8"/>
  <c r="Q44" i="8"/>
  <c r="P149" i="8"/>
  <c r="P153" i="8"/>
  <c r="Q235" i="1"/>
  <c r="Q246" i="1"/>
  <c r="Q116" i="8"/>
  <c r="Q125" i="8"/>
  <c r="Q117" i="8"/>
  <c r="Q126" i="8"/>
  <c r="Q19" i="2"/>
  <c r="Q20" i="2"/>
  <c r="Q21" i="2"/>
  <c r="R58" i="8"/>
  <c r="R64" i="8"/>
  <c r="R38" i="8"/>
  <c r="R44" i="8"/>
  <c r="Q149" i="8"/>
  <c r="Q153" i="8"/>
  <c r="R235" i="1"/>
  <c r="R246" i="1"/>
  <c r="R116" i="8"/>
  <c r="R125" i="8"/>
  <c r="R117" i="8"/>
  <c r="R126" i="8"/>
  <c r="R19" i="2"/>
  <c r="R20" i="2"/>
  <c r="R21" i="2"/>
  <c r="S58" i="8"/>
  <c r="S38" i="8"/>
  <c r="S44" i="8"/>
  <c r="R149" i="8"/>
  <c r="R153" i="8"/>
  <c r="S235" i="1"/>
  <c r="S246" i="1"/>
  <c r="S116" i="8"/>
  <c r="S125" i="8"/>
  <c r="S117" i="8"/>
  <c r="S126" i="8"/>
  <c r="S19" i="2"/>
  <c r="S20" i="2"/>
  <c r="S21" i="2"/>
  <c r="T58" i="8"/>
  <c r="T38" i="8"/>
  <c r="S149" i="8"/>
  <c r="S153" i="8"/>
  <c r="T235" i="1"/>
  <c r="T246" i="1"/>
  <c r="T116" i="8"/>
  <c r="T125" i="8"/>
  <c r="T117" i="8"/>
  <c r="T126" i="8"/>
  <c r="T19" i="2"/>
  <c r="T20" i="2"/>
  <c r="T21" i="2"/>
  <c r="U58" i="8"/>
  <c r="U38" i="8"/>
  <c r="T149" i="8"/>
  <c r="T153" i="8"/>
  <c r="U235" i="1"/>
  <c r="U246" i="1"/>
  <c r="U116" i="8"/>
  <c r="U125" i="8"/>
  <c r="U117" i="8"/>
  <c r="U126" i="8"/>
  <c r="U19" i="2"/>
  <c r="U20" i="2"/>
  <c r="U21" i="2"/>
  <c r="V58" i="8"/>
  <c r="V38" i="8"/>
  <c r="U149" i="8"/>
  <c r="U153" i="8"/>
  <c r="V235" i="1"/>
  <c r="V246" i="1"/>
  <c r="V116" i="8"/>
  <c r="V125" i="8"/>
  <c r="V117" i="8"/>
  <c r="V126" i="8"/>
  <c r="V19" i="2"/>
  <c r="V20" i="2"/>
  <c r="V21" i="2"/>
  <c r="W58" i="8"/>
  <c r="W38" i="8"/>
  <c r="V149" i="8"/>
  <c r="V153" i="8"/>
  <c r="W235" i="1"/>
  <c r="W246" i="1"/>
  <c r="W116" i="8"/>
  <c r="W125" i="8"/>
  <c r="W117" i="8"/>
  <c r="W126" i="8"/>
  <c r="W19" i="2"/>
  <c r="W20" i="2"/>
  <c r="W21" i="2"/>
  <c r="X58" i="8"/>
  <c r="X38" i="8"/>
  <c r="W149" i="8"/>
  <c r="W153" i="8"/>
  <c r="X235" i="1"/>
  <c r="X246" i="1"/>
  <c r="X116" i="8"/>
  <c r="X125" i="8"/>
  <c r="X117" i="8"/>
  <c r="X126" i="8"/>
  <c r="X19" i="2"/>
  <c r="X20" i="2"/>
  <c r="X21" i="2"/>
  <c r="Y58" i="8"/>
  <c r="Y38" i="8"/>
  <c r="X149" i="8"/>
  <c r="X153" i="8"/>
  <c r="Y235" i="1"/>
  <c r="Y246" i="1"/>
  <c r="Y116" i="8"/>
  <c r="Y125" i="8"/>
  <c r="Y117" i="8"/>
  <c r="Y126" i="8"/>
  <c r="Y19" i="2"/>
  <c r="Y20" i="2"/>
  <c r="Y21" i="2"/>
  <c r="Z58" i="8"/>
  <c r="Z38" i="8"/>
  <c r="Y149" i="8"/>
  <c r="Y152" i="8"/>
  <c r="Y239" i="8" s="1"/>
  <c r="Y153" i="8"/>
  <c r="Z235" i="1"/>
  <c r="Z246" i="1"/>
  <c r="Z116" i="8"/>
  <c r="Z125" i="8"/>
  <c r="Z117" i="8"/>
  <c r="Z126" i="8"/>
  <c r="Z19" i="2"/>
  <c r="Z20" i="2"/>
  <c r="Z21" i="2"/>
  <c r="AA58" i="8"/>
  <c r="AA38" i="8"/>
  <c r="Z149" i="8"/>
  <c r="Z153" i="8"/>
  <c r="AA235" i="1"/>
  <c r="AA246" i="1"/>
  <c r="AA116" i="8"/>
  <c r="AA125" i="8"/>
  <c r="AA117" i="8"/>
  <c r="AA126" i="8"/>
  <c r="AA19" i="2"/>
  <c r="AA20" i="2"/>
  <c r="AA21" i="2"/>
  <c r="AB58" i="8"/>
  <c r="AB38" i="8"/>
  <c r="AA149" i="8"/>
  <c r="AA153" i="8"/>
  <c r="AB235" i="1"/>
  <c r="AB246" i="1"/>
  <c r="AB116" i="8"/>
  <c r="AB125" i="8"/>
  <c r="AB117" i="8"/>
  <c r="AB126" i="8"/>
  <c r="AB19" i="2"/>
  <c r="AB20" i="2"/>
  <c r="AB21" i="2"/>
  <c r="AC58" i="8"/>
  <c r="AC38" i="8"/>
  <c r="AB149" i="8"/>
  <c r="AB153" i="8"/>
  <c r="AC235" i="1"/>
  <c r="AC246" i="1"/>
  <c r="AC116" i="8"/>
  <c r="AC125" i="8"/>
  <c r="AC117" i="8"/>
  <c r="AC126" i="8"/>
  <c r="AC19" i="2"/>
  <c r="AC20" i="2"/>
  <c r="AC21" i="2"/>
  <c r="AD58" i="8"/>
  <c r="AD38" i="8"/>
  <c r="AC149" i="8"/>
  <c r="AC153" i="8"/>
  <c r="AD235" i="1"/>
  <c r="AD246" i="1"/>
  <c r="AD116" i="8"/>
  <c r="AD125" i="8"/>
  <c r="AD117" i="8"/>
  <c r="AD126" i="8"/>
  <c r="AD19" i="2"/>
  <c r="AD20" i="2"/>
  <c r="AD21" i="2"/>
  <c r="AE58" i="8"/>
  <c r="AE38" i="8"/>
  <c r="AD149" i="8"/>
  <c r="AD153" i="8"/>
  <c r="AE235" i="1"/>
  <c r="AE246" i="1"/>
  <c r="AE116" i="8"/>
  <c r="AE125" i="8"/>
  <c r="AE117" i="8"/>
  <c r="AE126" i="8"/>
  <c r="AE19" i="2"/>
  <c r="AE20" i="2"/>
  <c r="AE21" i="2"/>
  <c r="AF58" i="8"/>
  <c r="AF38" i="8"/>
  <c r="AE149" i="8"/>
  <c r="AE153" i="8"/>
  <c r="AF235" i="1"/>
  <c r="AF246" i="1"/>
  <c r="AF116" i="8"/>
  <c r="AF125" i="8"/>
  <c r="AF117" i="8"/>
  <c r="AF126" i="8"/>
  <c r="AF19" i="2"/>
  <c r="AF20" i="2"/>
  <c r="AF21" i="2"/>
  <c r="AG58" i="8"/>
  <c r="AG38" i="8"/>
  <c r="AF149" i="8"/>
  <c r="AF153" i="8"/>
  <c r="AG235" i="1"/>
  <c r="AG246" i="1"/>
  <c r="AG116" i="8"/>
  <c r="AG125" i="8"/>
  <c r="AG117" i="8"/>
  <c r="AG126" i="8"/>
  <c r="AG19" i="2"/>
  <c r="AG20" i="2"/>
  <c r="AG21" i="2"/>
  <c r="AG149" i="8"/>
  <c r="AG153" i="8"/>
  <c r="C312" i="1"/>
  <c r="D312" i="1"/>
  <c r="B312" i="1"/>
  <c r="C305" i="1"/>
  <c r="D305" i="1"/>
  <c r="B277" i="1"/>
  <c r="C270" i="1"/>
  <c r="B270" i="1"/>
  <c r="B261" i="1"/>
  <c r="P319" i="1"/>
  <c r="Q319" i="1" s="1"/>
  <c r="R319" i="1" s="1"/>
  <c r="T319" i="1"/>
  <c r="U319" i="1"/>
  <c r="V319" i="1" s="1"/>
  <c r="W319" i="1" s="1"/>
  <c r="X319" i="1" s="1"/>
  <c r="Y319" i="1" s="1"/>
  <c r="Z319" i="1" s="1"/>
  <c r="AA319" i="1" s="1"/>
  <c r="AB319" i="1" s="1"/>
  <c r="AC319" i="1" s="1"/>
  <c r="AD319" i="1" s="1"/>
  <c r="AE319" i="1" s="1"/>
  <c r="AF319" i="1" s="1"/>
  <c r="AG319" i="1" s="1"/>
  <c r="AH319" i="1" s="1"/>
  <c r="AI319" i="1" s="1"/>
  <c r="AJ319" i="1" s="1"/>
  <c r="AK319" i="1" s="1"/>
  <c r="E312" i="1"/>
  <c r="F312" i="1"/>
  <c r="B246" i="1"/>
  <c r="B235" i="1"/>
  <c r="B80" i="8"/>
  <c r="B86" i="8"/>
  <c r="B92" i="8"/>
  <c r="B40" i="8"/>
  <c r="B46" i="8"/>
  <c r="B52" i="8"/>
  <c r="B60" i="8"/>
  <c r="B66" i="8"/>
  <c r="B72" i="8"/>
  <c r="A412" i="1"/>
  <c r="D315" i="1"/>
  <c r="C315" i="1"/>
  <c r="B315" i="1"/>
  <c r="D308" i="1"/>
  <c r="C308" i="1"/>
  <c r="B308" i="1"/>
  <c r="C302" i="1"/>
  <c r="C292" i="1"/>
  <c r="C300" i="1" s="1"/>
  <c r="D302" i="1"/>
  <c r="B292" i="1"/>
  <c r="B300" i="1"/>
  <c r="C295" i="1"/>
  <c r="C317" i="1"/>
  <c r="B295" i="1"/>
  <c r="B317" i="1"/>
  <c r="C290" i="1"/>
  <c r="C293" i="1"/>
  <c r="B290" i="1"/>
  <c r="B293" i="1"/>
  <c r="C258" i="1"/>
  <c r="C265" i="1"/>
  <c r="B258" i="1"/>
  <c r="B265" i="1"/>
  <c r="B273" i="1"/>
  <c r="B280" i="1"/>
  <c r="B281" i="1"/>
  <c r="B274" i="1"/>
  <c r="C419" i="1"/>
  <c r="C7" i="7"/>
  <c r="D419" i="1"/>
  <c r="C421" i="1"/>
  <c r="D421" i="1"/>
  <c r="E421" i="1"/>
  <c r="F421" i="1"/>
  <c r="F21" i="7"/>
  <c r="C93" i="5"/>
  <c r="D93"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AG93" i="5"/>
  <c r="C97" i="5"/>
  <c r="D97" i="5"/>
  <c r="E97" i="5"/>
  <c r="F97" i="5"/>
  <c r="G97" i="5"/>
  <c r="H97" i="5"/>
  <c r="I97" i="5"/>
  <c r="J97" i="5"/>
  <c r="K97" i="5"/>
  <c r="L97" i="5"/>
  <c r="M97" i="5"/>
  <c r="N97" i="5"/>
  <c r="O97" i="5"/>
  <c r="P97" i="5"/>
  <c r="Q97" i="5"/>
  <c r="R97" i="5"/>
  <c r="S97" i="5"/>
  <c r="T97" i="5"/>
  <c r="U97" i="5"/>
  <c r="V97" i="5"/>
  <c r="W97" i="5"/>
  <c r="X97" i="5"/>
  <c r="Y97" i="5"/>
  <c r="Z97" i="5"/>
  <c r="AA97" i="5"/>
  <c r="AB97" i="5"/>
  <c r="AC97" i="5"/>
  <c r="AD97" i="5"/>
  <c r="AE97" i="5"/>
  <c r="AF97" i="5"/>
  <c r="AG97" i="5"/>
  <c r="B93" i="5"/>
  <c r="B97" i="5"/>
  <c r="C239" i="1"/>
  <c r="D239" i="1"/>
  <c r="E239" i="1"/>
  <c r="F239" i="1"/>
  <c r="G239" i="1"/>
  <c r="H239" i="1"/>
  <c r="I239" i="1"/>
  <c r="J239" i="1"/>
  <c r="K239" i="1"/>
  <c r="L239" i="1"/>
  <c r="M239" i="1"/>
  <c r="N239" i="1"/>
  <c r="O239" i="1"/>
  <c r="P239" i="1"/>
  <c r="Q239" i="1"/>
  <c r="R239" i="1"/>
  <c r="S239" i="1"/>
  <c r="T239" i="1"/>
  <c r="U239" i="1"/>
  <c r="V239" i="1"/>
  <c r="W239" i="1"/>
  <c r="X239" i="1"/>
  <c r="Y239" i="1"/>
  <c r="Z239" i="1"/>
  <c r="AA239" i="1"/>
  <c r="AB239" i="1"/>
  <c r="AC239" i="1"/>
  <c r="AD239" i="1"/>
  <c r="AE239" i="1"/>
  <c r="AF239" i="1"/>
  <c r="AG239" i="1"/>
  <c r="C240" i="1"/>
  <c r="D240" i="1"/>
  <c r="E240" i="1"/>
  <c r="F240" i="1"/>
  <c r="G240" i="1"/>
  <c r="H240" i="1"/>
  <c r="I240" i="1"/>
  <c r="J240" i="1"/>
  <c r="K240" i="1"/>
  <c r="L240" i="1"/>
  <c r="M240" i="1"/>
  <c r="N240" i="1"/>
  <c r="O240" i="1"/>
  <c r="P240" i="1"/>
  <c r="Q240" i="1"/>
  <c r="R240" i="1"/>
  <c r="S240" i="1"/>
  <c r="T240" i="1"/>
  <c r="U240" i="1"/>
  <c r="V240" i="1"/>
  <c r="W240" i="1"/>
  <c r="X240" i="1"/>
  <c r="Y240" i="1"/>
  <c r="Z240" i="1"/>
  <c r="AA240" i="1"/>
  <c r="AB240" i="1"/>
  <c r="AC240" i="1"/>
  <c r="AD240" i="1"/>
  <c r="AE240" i="1"/>
  <c r="AF240" i="1"/>
  <c r="AG240" i="1"/>
  <c r="B239" i="1"/>
  <c r="B240" i="1"/>
  <c r="C257" i="1"/>
  <c r="B257" i="1"/>
  <c r="B227" i="1"/>
  <c r="C227" i="1"/>
  <c r="D227" i="1" s="1"/>
  <c r="E227" i="1" s="1"/>
  <c r="F227" i="1" s="1"/>
  <c r="G227" i="1" s="1"/>
  <c r="H227" i="1" s="1"/>
  <c r="I227" i="1" s="1"/>
  <c r="J227" i="1" s="1"/>
  <c r="K227" i="1" s="1"/>
  <c r="L227" i="1" s="1"/>
  <c r="M227" i="1" s="1"/>
  <c r="N227" i="1" s="1"/>
  <c r="O227" i="1" s="1"/>
  <c r="P227" i="1" s="1"/>
  <c r="Q227" i="1" s="1"/>
  <c r="R227" i="1" s="1"/>
  <c r="S227" i="1" s="1"/>
  <c r="T227" i="1" s="1"/>
  <c r="U227" i="1" s="1"/>
  <c r="V227" i="1" s="1"/>
  <c r="W227" i="1" s="1"/>
  <c r="X227" i="1" s="1"/>
  <c r="Y227" i="1" s="1"/>
  <c r="Z227" i="1" s="1"/>
  <c r="AA227" i="1" s="1"/>
  <c r="AB227" i="1" s="1"/>
  <c r="AC227" i="1" s="1"/>
  <c r="AD227" i="1" s="1"/>
  <c r="AE227" i="1" s="1"/>
  <c r="AF227" i="1" s="1"/>
  <c r="AG227" i="1" s="1"/>
  <c r="AH227" i="1" s="1"/>
  <c r="E444" i="1"/>
  <c r="F444" i="1" s="1"/>
  <c r="G444" i="1" s="1"/>
  <c r="H444" i="1" s="1"/>
  <c r="I444" i="1" s="1"/>
  <c r="J444" i="1" s="1"/>
  <c r="K444" i="1" s="1"/>
  <c r="L444" i="1" s="1"/>
  <c r="M444" i="1" s="1"/>
  <c r="N444" i="1" s="1"/>
  <c r="O444" i="1" s="1"/>
  <c r="P444" i="1" s="1"/>
  <c r="Q444" i="1" s="1"/>
  <c r="R444" i="1" s="1"/>
  <c r="S444" i="1" s="1"/>
  <c r="T444" i="1" s="1"/>
  <c r="U444" i="1" s="1"/>
  <c r="V444" i="1" s="1"/>
  <c r="W444" i="1" s="1"/>
  <c r="X444" i="1" s="1"/>
  <c r="Y444" i="1" s="1"/>
  <c r="Z444" i="1" s="1"/>
  <c r="AA444" i="1" s="1"/>
  <c r="AB444" i="1" s="1"/>
  <c r="AC444" i="1" s="1"/>
  <c r="AD444" i="1" s="1"/>
  <c r="AE444" i="1" s="1"/>
  <c r="AF444" i="1" s="1"/>
  <c r="AG444" i="1" s="1"/>
  <c r="AH444" i="1" s="1"/>
  <c r="E252" i="1"/>
  <c r="F252" i="1" s="1"/>
  <c r="E379" i="1"/>
  <c r="D379" i="1" s="1"/>
  <c r="C379" i="1" s="1"/>
  <c r="B379" i="1" s="1"/>
  <c r="B40" i="6"/>
  <c r="C40" i="6"/>
  <c r="D40" i="6"/>
  <c r="E40" i="6"/>
  <c r="F40" i="6"/>
  <c r="G40" i="6"/>
  <c r="H40" i="6"/>
  <c r="I40" i="6"/>
  <c r="J40" i="6"/>
  <c r="K40" i="6"/>
  <c r="L40" i="6"/>
  <c r="M40" i="6"/>
  <c r="N40" i="6"/>
  <c r="O40" i="6"/>
  <c r="P40" i="6"/>
  <c r="Q40" i="6"/>
  <c r="R40" i="6"/>
  <c r="S40" i="6"/>
  <c r="T40" i="6"/>
  <c r="U40" i="6"/>
  <c r="V40" i="6"/>
  <c r="W40" i="6"/>
  <c r="X40" i="6"/>
  <c r="Y40" i="6"/>
  <c r="Z40" i="6"/>
  <c r="AA40" i="6"/>
  <c r="AB40" i="6"/>
  <c r="AC40" i="6"/>
  <c r="AD40" i="6"/>
  <c r="AE40" i="6"/>
  <c r="AF40" i="6"/>
  <c r="AG40" i="6"/>
  <c r="B41" i="6"/>
  <c r="C41" i="6"/>
  <c r="D41" i="6"/>
  <c r="E41" i="6"/>
  <c r="F41" i="6"/>
  <c r="G41" i="6"/>
  <c r="H41" i="6"/>
  <c r="I41" i="6"/>
  <c r="J41" i="6"/>
  <c r="K41" i="6"/>
  <c r="L41" i="6"/>
  <c r="M41" i="6"/>
  <c r="N41" i="6"/>
  <c r="O41" i="6"/>
  <c r="P41" i="6"/>
  <c r="Q41" i="6"/>
  <c r="R41" i="6"/>
  <c r="S41" i="6"/>
  <c r="T41" i="6"/>
  <c r="U41" i="6"/>
  <c r="V41" i="6"/>
  <c r="W41" i="6"/>
  <c r="X41" i="6"/>
  <c r="Y41" i="6"/>
  <c r="Z41" i="6"/>
  <c r="AA41" i="6"/>
  <c r="AB41" i="6"/>
  <c r="AC41" i="6"/>
  <c r="AD41" i="6"/>
  <c r="AE41" i="6"/>
  <c r="AF41" i="6"/>
  <c r="AG41" i="6"/>
  <c r="B42" i="6"/>
  <c r="C42" i="6"/>
  <c r="D42" i="6"/>
  <c r="E42" i="6"/>
  <c r="F42" i="6"/>
  <c r="G42" i="6"/>
  <c r="H42" i="6"/>
  <c r="I42" i="6"/>
  <c r="J42" i="6"/>
  <c r="K42" i="6"/>
  <c r="L42" i="6"/>
  <c r="M42" i="6"/>
  <c r="N42" i="6"/>
  <c r="O42" i="6"/>
  <c r="P42" i="6"/>
  <c r="Q42" i="6"/>
  <c r="R42" i="6"/>
  <c r="S42" i="6"/>
  <c r="T42" i="6"/>
  <c r="U42" i="6"/>
  <c r="V42" i="6"/>
  <c r="W42" i="6"/>
  <c r="X42" i="6"/>
  <c r="Y42" i="6"/>
  <c r="Z42" i="6"/>
  <c r="AA42" i="6"/>
  <c r="AB42" i="6"/>
  <c r="AC42" i="6"/>
  <c r="AD42" i="6"/>
  <c r="AE42" i="6"/>
  <c r="AF42" i="6"/>
  <c r="AG42" i="6"/>
  <c r="A41" i="6"/>
  <c r="A42" i="6"/>
  <c r="A40"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B25" i="6"/>
  <c r="C25" i="6"/>
  <c r="D25" i="6"/>
  <c r="E25" i="6"/>
  <c r="F25" i="6"/>
  <c r="G25" i="6"/>
  <c r="H25" i="6"/>
  <c r="I25" i="6"/>
  <c r="J25" i="6"/>
  <c r="K25" i="6"/>
  <c r="L25" i="6"/>
  <c r="M25" i="6"/>
  <c r="N25" i="6"/>
  <c r="O25" i="6"/>
  <c r="P25" i="6"/>
  <c r="Q25" i="6"/>
  <c r="R25" i="6"/>
  <c r="S25" i="6"/>
  <c r="T25" i="6"/>
  <c r="U25" i="6"/>
  <c r="V25" i="6"/>
  <c r="W25" i="6"/>
  <c r="X25" i="6"/>
  <c r="Y25" i="6"/>
  <c r="Z25" i="6"/>
  <c r="AA25" i="6"/>
  <c r="AB25" i="6"/>
  <c r="AC25" i="6"/>
  <c r="AD25" i="6"/>
  <c r="AE25" i="6"/>
  <c r="AF25" i="6"/>
  <c r="AG25"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B28"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AG28"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B30"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B35" i="6"/>
  <c r="C35"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AE35" i="6"/>
  <c r="AF35" i="6"/>
  <c r="AG35" i="6"/>
  <c r="B36" i="6"/>
  <c r="C36"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AE36" i="6"/>
  <c r="AF36" i="6"/>
  <c r="AG36" i="6"/>
  <c r="A22" i="6"/>
  <c r="A23" i="6"/>
  <c r="A24" i="6"/>
  <c r="A25" i="6"/>
  <c r="A26" i="6"/>
  <c r="A27" i="6"/>
  <c r="A28" i="6"/>
  <c r="A29" i="6"/>
  <c r="A30" i="6"/>
  <c r="A31" i="6"/>
  <c r="A32" i="6"/>
  <c r="A33" i="6"/>
  <c r="A34" i="6"/>
  <c r="A35" i="6"/>
  <c r="A36"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21" i="6"/>
  <c r="A18" i="6"/>
  <c r="A37" i="6"/>
  <c r="C437" i="1"/>
  <c r="D437" i="1" s="1"/>
  <c r="E437" i="1" s="1"/>
  <c r="F437" i="1" s="1"/>
  <c r="G437" i="1" s="1"/>
  <c r="H437" i="1" s="1"/>
  <c r="I437" i="1" s="1"/>
  <c r="J437" i="1" s="1"/>
  <c r="K437" i="1" s="1"/>
  <c r="L437" i="1" s="1"/>
  <c r="M437" i="1" s="1"/>
  <c r="N437" i="1" s="1"/>
  <c r="O437" i="1" s="1"/>
  <c r="P437" i="1" s="1"/>
  <c r="Q437" i="1" s="1"/>
  <c r="R437" i="1" s="1"/>
  <c r="S437" i="1" s="1"/>
  <c r="T437" i="1" s="1"/>
  <c r="U437" i="1" s="1"/>
  <c r="V437" i="1" s="1"/>
  <c r="W437" i="1" s="1"/>
  <c r="X437" i="1" s="1"/>
  <c r="Y437" i="1" s="1"/>
  <c r="Z437" i="1" s="1"/>
  <c r="AA437" i="1" s="1"/>
  <c r="AB437" i="1" s="1"/>
  <c r="AC437" i="1" s="1"/>
  <c r="AD437" i="1" s="1"/>
  <c r="AE437" i="1" s="1"/>
  <c r="AF437" i="1" s="1"/>
  <c r="AG437" i="1" s="1"/>
  <c r="AH437" i="1" s="1"/>
  <c r="A425" i="1"/>
  <c r="C7" i="6"/>
  <c r="C17" i="6"/>
  <c r="D7" i="6"/>
  <c r="D17" i="6"/>
  <c r="E7" i="6"/>
  <c r="E17" i="6"/>
  <c r="F7" i="6"/>
  <c r="F17" i="6"/>
  <c r="G7" i="6"/>
  <c r="G17" i="6"/>
  <c r="H7" i="6"/>
  <c r="H17" i="6"/>
  <c r="I7" i="6"/>
  <c r="I17" i="6"/>
  <c r="J7" i="6"/>
  <c r="J17" i="6"/>
  <c r="K7" i="6"/>
  <c r="K17" i="6"/>
  <c r="L7" i="6"/>
  <c r="L17" i="6"/>
  <c r="M7" i="6"/>
  <c r="M17" i="6"/>
  <c r="N7" i="6"/>
  <c r="N17" i="6"/>
  <c r="O7" i="6"/>
  <c r="O17" i="6"/>
  <c r="P7" i="6"/>
  <c r="P17" i="6"/>
  <c r="Q7" i="6"/>
  <c r="Q17" i="6"/>
  <c r="R7" i="6"/>
  <c r="R17" i="6"/>
  <c r="S7" i="6"/>
  <c r="S17" i="6"/>
  <c r="T7" i="6"/>
  <c r="T17" i="6"/>
  <c r="U7" i="6"/>
  <c r="U17" i="6"/>
  <c r="V7" i="6"/>
  <c r="V17" i="6"/>
  <c r="W7" i="6"/>
  <c r="W17" i="6"/>
  <c r="X7" i="6"/>
  <c r="X17" i="6"/>
  <c r="Y7" i="6"/>
  <c r="Y17" i="6"/>
  <c r="Z7" i="6"/>
  <c r="Z17" i="6"/>
  <c r="AA7" i="6"/>
  <c r="AA17" i="6"/>
  <c r="AB7" i="6"/>
  <c r="AB17" i="6"/>
  <c r="AC7" i="6"/>
  <c r="AC17" i="6"/>
  <c r="AD7" i="6"/>
  <c r="AD17" i="6"/>
  <c r="AE7" i="6"/>
  <c r="AE17" i="6"/>
  <c r="AF7" i="6"/>
  <c r="AF17" i="6"/>
  <c r="AG7" i="6"/>
  <c r="AG17" i="6"/>
  <c r="B17" i="6"/>
  <c r="C8" i="6"/>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B8" i="6"/>
  <c r="B9" i="6"/>
  <c r="B10" i="6"/>
  <c r="B11" i="6"/>
  <c r="B12" i="6"/>
  <c r="B13" i="6"/>
  <c r="B14" i="6"/>
  <c r="B15" i="6"/>
  <c r="A8" i="6"/>
  <c r="A9" i="6"/>
  <c r="A10" i="6"/>
  <c r="A11" i="6"/>
  <c r="A12" i="6"/>
  <c r="A14" i="6"/>
  <c r="A15" i="6"/>
  <c r="B7" i="6"/>
  <c r="A7" i="6"/>
  <c r="A399" i="1"/>
  <c r="A77" i="1"/>
  <c r="A74" i="1"/>
  <c r="A73" i="1"/>
  <c r="A72" i="1"/>
  <c r="A71" i="1"/>
  <c r="A69" i="1"/>
  <c r="A66" i="1"/>
  <c r="A65" i="1"/>
  <c r="A64" i="1"/>
  <c r="A63" i="1"/>
  <c r="A1" i="8"/>
  <c r="B1" i="8"/>
  <c r="B38" i="8"/>
  <c r="C38" i="8"/>
  <c r="D38" i="8"/>
  <c r="B44" i="8"/>
  <c r="C44" i="8"/>
  <c r="D44" i="8"/>
  <c r="T44" i="8"/>
  <c r="U44" i="8"/>
  <c r="V44" i="8"/>
  <c r="W44" i="8"/>
  <c r="X44" i="8"/>
  <c r="Y44" i="8"/>
  <c r="Z44" i="8"/>
  <c r="AA44" i="8"/>
  <c r="AB44" i="8"/>
  <c r="AC44" i="8"/>
  <c r="AD44" i="8"/>
  <c r="AE44" i="8"/>
  <c r="AF44" i="8"/>
  <c r="AG44" i="8"/>
  <c r="B50" i="8"/>
  <c r="C50" i="8"/>
  <c r="D50" i="8"/>
  <c r="O50" i="8"/>
  <c r="P50" i="8"/>
  <c r="Q50" i="8"/>
  <c r="R50" i="8"/>
  <c r="S50" i="8"/>
  <c r="T50" i="8"/>
  <c r="U50" i="8"/>
  <c r="V50" i="8"/>
  <c r="W50" i="8"/>
  <c r="X50" i="8"/>
  <c r="Y50" i="8"/>
  <c r="Z50" i="8"/>
  <c r="AA50" i="8"/>
  <c r="AB50" i="8"/>
  <c r="AC50" i="8"/>
  <c r="AD50" i="8"/>
  <c r="AE50" i="8"/>
  <c r="AF50" i="8"/>
  <c r="AG50" i="8"/>
  <c r="B58" i="8"/>
  <c r="C58" i="8"/>
  <c r="B64" i="8"/>
  <c r="C64" i="8"/>
  <c r="S64" i="8"/>
  <c r="T64" i="8"/>
  <c r="U64" i="8"/>
  <c r="V64" i="8"/>
  <c r="W64" i="8"/>
  <c r="X64" i="8"/>
  <c r="Y64" i="8"/>
  <c r="Z64" i="8"/>
  <c r="AA64" i="8"/>
  <c r="AB64" i="8"/>
  <c r="AC64" i="8"/>
  <c r="AD64" i="8"/>
  <c r="AE64" i="8"/>
  <c r="AF64" i="8"/>
  <c r="AG64" i="8"/>
  <c r="B70" i="8"/>
  <c r="C70" i="8"/>
  <c r="N70" i="8"/>
  <c r="O70" i="8"/>
  <c r="P70" i="8"/>
  <c r="Q70" i="8"/>
  <c r="R70" i="8"/>
  <c r="S70" i="8"/>
  <c r="T70" i="8"/>
  <c r="U70" i="8"/>
  <c r="V70" i="8"/>
  <c r="W70" i="8"/>
  <c r="X70" i="8"/>
  <c r="Y70" i="8"/>
  <c r="Z70" i="8"/>
  <c r="AA70" i="8"/>
  <c r="AB70" i="8"/>
  <c r="AC70" i="8"/>
  <c r="AD70" i="8"/>
  <c r="AE70" i="8"/>
  <c r="AF70" i="8"/>
  <c r="AG70" i="8"/>
  <c r="B78" i="8"/>
  <c r="C78" i="8"/>
  <c r="D78" i="8"/>
  <c r="B84" i="8"/>
  <c r="C84" i="8"/>
  <c r="D84" i="8"/>
  <c r="U84" i="8"/>
  <c r="V84" i="8"/>
  <c r="W84" i="8"/>
  <c r="X84" i="8"/>
  <c r="Y84" i="8"/>
  <c r="Z84" i="8"/>
  <c r="AA84" i="8"/>
  <c r="AB84" i="8"/>
  <c r="AC84" i="8"/>
  <c r="AD84" i="8"/>
  <c r="AE84" i="8"/>
  <c r="AF84" i="8"/>
  <c r="AG84" i="8"/>
  <c r="B90" i="8"/>
  <c r="C90" i="8"/>
  <c r="D90" i="8"/>
  <c r="P90" i="8"/>
  <c r="Q90" i="8"/>
  <c r="R90" i="8"/>
  <c r="S90" i="8"/>
  <c r="T90" i="8"/>
  <c r="U90" i="8"/>
  <c r="V90" i="8"/>
  <c r="W90" i="8"/>
  <c r="X90" i="8"/>
  <c r="Y90" i="8"/>
  <c r="Z90" i="8"/>
  <c r="AA90" i="8"/>
  <c r="AB90" i="8"/>
  <c r="AC90" i="8"/>
  <c r="AD90" i="8"/>
  <c r="AE90" i="8"/>
  <c r="AF90" i="8"/>
  <c r="AG90" i="8"/>
  <c r="A1" i="7"/>
  <c r="B1" i="7"/>
  <c r="A16" i="7"/>
  <c r="A17" i="7"/>
  <c r="A18" i="7"/>
  <c r="A19" i="7"/>
  <c r="A20" i="7"/>
  <c r="A21" i="7"/>
  <c r="A22" i="7"/>
  <c r="A23" i="7"/>
  <c r="A24" i="7"/>
  <c r="A25" i="7"/>
  <c r="A1" i="6"/>
  <c r="B1" i="6"/>
  <c r="A1" i="5"/>
  <c r="B1" i="5"/>
  <c r="A1" i="2"/>
  <c r="B1" i="2"/>
  <c r="A17" i="2"/>
  <c r="A18" i="2"/>
  <c r="A19" i="2"/>
  <c r="A20" i="2"/>
  <c r="A21" i="2"/>
  <c r="A22" i="2"/>
  <c r="A23" i="2"/>
  <c r="B36" i="1"/>
  <c r="A45" i="1"/>
  <c r="A53" i="1"/>
  <c r="B152" i="1"/>
  <c r="F305" i="1"/>
  <c r="G305" i="1"/>
  <c r="E305" i="1"/>
  <c r="G312" i="1"/>
  <c r="H345" i="8"/>
  <c r="G419" i="1"/>
  <c r="G18" i="7" s="1"/>
  <c r="G421" i="1"/>
  <c r="AI116" i="5"/>
  <c r="AI118" i="5"/>
  <c r="D292" i="1"/>
  <c r="D300" i="1"/>
  <c r="D318" i="1" s="1"/>
  <c r="D257" i="1"/>
  <c r="H253" i="1"/>
  <c r="D270" i="1"/>
  <c r="D273" i="1"/>
  <c r="E257" i="1"/>
  <c r="E273" i="1"/>
  <c r="E270" i="1"/>
  <c r="F270" i="1"/>
  <c r="F273" i="1"/>
  <c r="G273" i="1" s="1"/>
  <c r="H273" i="1" s="1"/>
  <c r="I273" i="1" s="1"/>
  <c r="J273" i="1" s="1"/>
  <c r="K273" i="1" s="1"/>
  <c r="L273" i="1" s="1"/>
  <c r="M273" i="1" s="1"/>
  <c r="N273" i="1" s="1"/>
  <c r="O273" i="1" s="1"/>
  <c r="P273" i="1" s="1"/>
  <c r="Q273" i="1" s="1"/>
  <c r="R273" i="1" s="1"/>
  <c r="S273" i="1" s="1"/>
  <c r="T273" i="1" s="1"/>
  <c r="U273" i="1" s="1"/>
  <c r="V273" i="1" s="1"/>
  <c r="W273" i="1" s="1"/>
  <c r="X273" i="1" s="1"/>
  <c r="Y273" i="1" s="1"/>
  <c r="Z273" i="1" s="1"/>
  <c r="AA273" i="1" s="1"/>
  <c r="AB273" i="1" s="1"/>
  <c r="AC273" i="1" s="1"/>
  <c r="AD273" i="1" s="1"/>
  <c r="AE273" i="1" s="1"/>
  <c r="AF273" i="1" s="1"/>
  <c r="AG273" i="1" s="1"/>
  <c r="AH273" i="1" s="1"/>
  <c r="AI273" i="1" s="1"/>
  <c r="AJ273" i="1" s="1"/>
  <c r="AK273" i="1" s="1"/>
  <c r="G270" i="1"/>
  <c r="H270" i="1"/>
  <c r="C261" i="1"/>
  <c r="C255" i="1"/>
  <c r="C260" i="1"/>
  <c r="C282" i="1" s="1"/>
  <c r="C256" i="1"/>
  <c r="C277" i="1"/>
  <c r="C280" i="1"/>
  <c r="C46" i="6"/>
  <c r="D280" i="1"/>
  <c r="D277" i="1"/>
  <c r="E280" i="1"/>
  <c r="B31" i="5" s="1"/>
  <c r="D46" i="6"/>
  <c r="F46" i="6"/>
  <c r="G46" i="6"/>
  <c r="H46" i="6" s="1"/>
  <c r="I46" i="6" s="1"/>
  <c r="J46" i="6" s="1"/>
  <c r="K46" i="6" s="1"/>
  <c r="L46" i="6" s="1"/>
  <c r="M46" i="6" s="1"/>
  <c r="N46" i="6" s="1"/>
  <c r="O46" i="6" s="1"/>
  <c r="P46" i="6" s="1"/>
  <c r="Q46" i="6" s="1"/>
  <c r="R46" i="6" s="1"/>
  <c r="S46" i="6" s="1"/>
  <c r="T46" i="6" s="1"/>
  <c r="U46" i="6" s="1"/>
  <c r="V46" i="6" s="1"/>
  <c r="W46" i="6" s="1"/>
  <c r="X46" i="6" s="1"/>
  <c r="Y46" i="6" s="1"/>
  <c r="Z46" i="6" s="1"/>
  <c r="AA46" i="6" s="1"/>
  <c r="AB46" i="6" s="1"/>
  <c r="AC46" i="6" s="1"/>
  <c r="AD46" i="6" s="1"/>
  <c r="AE46" i="6" s="1"/>
  <c r="AF46" i="6" s="1"/>
  <c r="AG46" i="6" s="1"/>
  <c r="AH46" i="6" s="1"/>
  <c r="E46" i="6"/>
  <c r="C274" i="1"/>
  <c r="D274" i="1"/>
  <c r="E290" i="1"/>
  <c r="E293" i="1"/>
  <c r="E292" i="1"/>
  <c r="E300" i="1"/>
  <c r="D290" i="1"/>
  <c r="D293" i="1"/>
  <c r="D295" i="1"/>
  <c r="D317" i="1"/>
  <c r="E295" i="1"/>
  <c r="E317" i="1"/>
  <c r="E277" i="1"/>
  <c r="E274" i="1"/>
  <c r="F255" i="1"/>
  <c r="E258" i="1"/>
  <c r="E260" i="1"/>
  <c r="E261" i="1"/>
  <c r="E256" i="1"/>
  <c r="D256" i="1"/>
  <c r="D261" i="1"/>
  <c r="D258" i="1"/>
  <c r="D260" i="1"/>
  <c r="D282" i="1" s="1"/>
  <c r="D255" i="1"/>
  <c r="E255" i="1"/>
  <c r="G257" i="1"/>
  <c r="F257" i="1"/>
  <c r="C281" i="1"/>
  <c r="F292" i="1"/>
  <c r="F293" i="1"/>
  <c r="F290" i="1"/>
  <c r="F295" i="1"/>
  <c r="F296" i="1" s="1"/>
  <c r="F280" i="1"/>
  <c r="F277" i="1"/>
  <c r="G274" i="1"/>
  <c r="F274" i="1"/>
  <c r="F260" i="1"/>
  <c r="F282" i="1" s="1"/>
  <c r="F256" i="1"/>
  <c r="F261" i="1"/>
  <c r="H274" i="1"/>
  <c r="D281" i="1"/>
  <c r="G290" i="1"/>
  <c r="G292" i="1"/>
  <c r="G295" i="1"/>
  <c r="G296" i="1" s="1"/>
  <c r="G277" i="1"/>
  <c r="G280" i="1"/>
  <c r="G256" i="1"/>
  <c r="G261" i="1"/>
  <c r="G260" i="1"/>
  <c r="G282" i="1" s="1"/>
  <c r="G255" i="1"/>
  <c r="E281" i="1"/>
  <c r="G317" i="1"/>
  <c r="I288" i="1"/>
  <c r="I290" i="1"/>
  <c r="H290" i="1"/>
  <c r="H295" i="1"/>
  <c r="H296" i="1" s="1"/>
  <c r="H292" i="1"/>
  <c r="I292" i="1" s="1"/>
  <c r="H277" i="1"/>
  <c r="H280" i="1"/>
  <c r="I276" i="1"/>
  <c r="H260" i="1"/>
  <c r="E498" i="1"/>
  <c r="H261" i="1"/>
  <c r="H256" i="1"/>
  <c r="F281" i="1"/>
  <c r="G281" i="1"/>
  <c r="H281" i="1"/>
  <c r="H279" i="8"/>
  <c r="I279" i="8"/>
  <c r="H270" i="8"/>
  <c r="I270" i="8"/>
  <c r="B266" i="1"/>
  <c r="C296" i="1"/>
  <c r="B21" i="7"/>
  <c r="B60" i="1"/>
  <c r="B415" i="1"/>
  <c r="B35" i="5"/>
  <c r="I311" i="1"/>
  <c r="I315" i="1" s="1"/>
  <c r="I261" i="1"/>
  <c r="C52" i="1"/>
  <c r="B248" i="1"/>
  <c r="B62" i="5" s="1"/>
  <c r="I270" i="1"/>
  <c r="F10" i="7"/>
  <c r="C60" i="1"/>
  <c r="H282" i="1"/>
  <c r="L298" i="1"/>
  <c r="M298" i="1" s="1"/>
  <c r="H21" i="7"/>
  <c r="E296" i="1"/>
  <c r="B19" i="7"/>
  <c r="C43" i="1"/>
  <c r="B418" i="1" s="1"/>
  <c r="G293" i="1"/>
  <c r="H289" i="1"/>
  <c r="B237" i="1"/>
  <c r="B58" i="5" s="1"/>
  <c r="C18" i="7"/>
  <c r="B18" i="7"/>
  <c r="I253" i="1"/>
  <c r="I257" i="1" s="1"/>
  <c r="D252" i="1"/>
  <c r="C266" i="1"/>
  <c r="E7" i="7"/>
  <c r="E18" i="7"/>
  <c r="H312" i="1"/>
  <c r="C62" i="1"/>
  <c r="D62" i="1"/>
  <c r="D72" i="1" s="1"/>
  <c r="D126" i="8" s="1"/>
  <c r="E285" i="1"/>
  <c r="B125" i="1"/>
  <c r="C125" i="1" s="1"/>
  <c r="D125" i="1"/>
  <c r="E125" i="1" s="1"/>
  <c r="F125" i="1" s="1"/>
  <c r="G125" i="1" s="1"/>
  <c r="C106" i="1"/>
  <c r="D106" i="1" s="1"/>
  <c r="E106" i="1" s="1"/>
  <c r="F106" i="1" s="1"/>
  <c r="G106" i="1" s="1"/>
  <c r="D177" i="1"/>
  <c r="E177" i="1"/>
  <c r="F177" i="1" s="1"/>
  <c r="G177" i="1" s="1"/>
  <c r="H177" i="1" s="1"/>
  <c r="I177" i="1" s="1"/>
  <c r="J253" i="1"/>
  <c r="K271" i="1"/>
  <c r="K274" i="1"/>
  <c r="Y43" i="6"/>
  <c r="S118" i="8"/>
  <c r="L127" i="8"/>
  <c r="V137" i="8"/>
  <c r="B82" i="5"/>
  <c r="B144" i="8"/>
  <c r="C144" i="8" s="1"/>
  <c r="D144" i="8" s="1"/>
  <c r="E144" i="8" s="1"/>
  <c r="F144" i="8" s="1"/>
  <c r="G144" i="8" s="1"/>
  <c r="H144" i="8" s="1"/>
  <c r="I144" i="8" s="1"/>
  <c r="J144" i="8" s="1"/>
  <c r="K144" i="8" s="1"/>
  <c r="L144" i="8" s="1"/>
  <c r="M144" i="8" s="1"/>
  <c r="N144" i="8" s="1"/>
  <c r="O144" i="8" s="1"/>
  <c r="P144" i="8" s="1"/>
  <c r="Q144" i="8" s="1"/>
  <c r="R144" i="8" s="1"/>
  <c r="S144" i="8" s="1"/>
  <c r="T144" i="8" s="1"/>
  <c r="U144" i="8" s="1"/>
  <c r="V144" i="8" s="1"/>
  <c r="W144" i="8" s="1"/>
  <c r="X144" i="8" s="1"/>
  <c r="Y144" i="8" s="1"/>
  <c r="Z144" i="8" s="1"/>
  <c r="AA144" i="8" s="1"/>
  <c r="AB144" i="8" s="1"/>
  <c r="AC144" i="8" s="1"/>
  <c r="AD144" i="8" s="1"/>
  <c r="AE144" i="8" s="1"/>
  <c r="AF144" i="8" s="1"/>
  <c r="AG144" i="8" s="1"/>
  <c r="AH144" i="8" s="1"/>
  <c r="B267" i="8"/>
  <c r="B276" i="8"/>
  <c r="B181" i="8"/>
  <c r="C181" i="8"/>
  <c r="D181" i="8" s="1"/>
  <c r="E181" i="8" s="1"/>
  <c r="F181" i="8" s="1"/>
  <c r="G181" i="8" s="1"/>
  <c r="H181" i="8" s="1"/>
  <c r="I181" i="8" s="1"/>
  <c r="J181" i="8" s="1"/>
  <c r="K181" i="8" s="1"/>
  <c r="L181" i="8" s="1"/>
  <c r="M181" i="8" s="1"/>
  <c r="N181" i="8" s="1"/>
  <c r="O181" i="8" s="1"/>
  <c r="P181" i="8" s="1"/>
  <c r="Q181" i="8" s="1"/>
  <c r="R181" i="8" s="1"/>
  <c r="S181" i="8" s="1"/>
  <c r="T181" i="8" s="1"/>
  <c r="U181" i="8" s="1"/>
  <c r="V181" i="8" s="1"/>
  <c r="W181" i="8" s="1"/>
  <c r="X181" i="8" s="1"/>
  <c r="Y181" i="8" s="1"/>
  <c r="Z181" i="8" s="1"/>
  <c r="AA181" i="8" s="1"/>
  <c r="AB181" i="8" s="1"/>
  <c r="AC181" i="8" s="1"/>
  <c r="AD181" i="8" s="1"/>
  <c r="AE181" i="8" s="1"/>
  <c r="AF181" i="8" s="1"/>
  <c r="AG181" i="8" s="1"/>
  <c r="AH181" i="8" s="1"/>
  <c r="J278" i="1"/>
  <c r="J281" i="1" s="1"/>
  <c r="K118" i="8"/>
  <c r="H127" i="8"/>
  <c r="I22" i="2"/>
  <c r="N137" i="8"/>
  <c r="V17" i="2"/>
  <c r="L271" i="1"/>
  <c r="L274" i="1"/>
  <c r="B144" i="1"/>
  <c r="AH121" i="8"/>
  <c r="X130" i="8"/>
  <c r="T130" i="8"/>
  <c r="R137" i="8"/>
  <c r="AB137" i="8"/>
  <c r="C267" i="8"/>
  <c r="C276" i="8"/>
  <c r="Y118" i="8"/>
  <c r="J137" i="8"/>
  <c r="R18" i="2"/>
  <c r="R16" i="2"/>
  <c r="AH17" i="2"/>
  <c r="AD17" i="2"/>
  <c r="X17" i="2"/>
  <c r="R43" i="6"/>
  <c r="AD43" i="6"/>
  <c r="H43" i="6"/>
  <c r="AD118" i="8"/>
  <c r="M130" i="8"/>
  <c r="H282" i="8"/>
  <c r="I282" i="8"/>
  <c r="G43" i="6"/>
  <c r="AA118" i="8"/>
  <c r="V127" i="8"/>
  <c r="U118" i="8"/>
  <c r="R118" i="8"/>
  <c r="P118" i="8"/>
  <c r="N118" i="8"/>
  <c r="L151" i="8"/>
  <c r="L154" i="8" s="1"/>
  <c r="L164" i="8"/>
  <c r="J127" i="8"/>
  <c r="V130" i="8"/>
  <c r="R130" i="8"/>
  <c r="J130" i="8"/>
  <c r="AH137" i="8"/>
  <c r="AF137" i="8"/>
  <c r="AD137" i="8"/>
  <c r="Z137" i="8"/>
  <c r="X137" i="8"/>
  <c r="B307" i="8"/>
  <c r="C20" i="8"/>
  <c r="D20" i="8"/>
  <c r="B5" i="7"/>
  <c r="C5" i="7"/>
  <c r="D5" i="7" s="1"/>
  <c r="E5" i="7" s="1"/>
  <c r="F5" i="7" s="1"/>
  <c r="G5" i="7" s="1"/>
  <c r="H5" i="7" s="1"/>
  <c r="I5" i="7" s="1"/>
  <c r="J5" i="7" s="1"/>
  <c r="K5" i="7" s="1"/>
  <c r="L5" i="7" s="1"/>
  <c r="M5" i="7" s="1"/>
  <c r="N5" i="7" s="1"/>
  <c r="O5" i="7" s="1"/>
  <c r="P5" i="7" s="1"/>
  <c r="Q5" i="7" s="1"/>
  <c r="R5" i="7" s="1"/>
  <c r="S5" i="7" s="1"/>
  <c r="T5" i="7" s="1"/>
  <c r="U5" i="7" s="1"/>
  <c r="V5" i="7" s="1"/>
  <c r="W5" i="7" s="1"/>
  <c r="X5" i="7" s="1"/>
  <c r="Y5" i="7" s="1"/>
  <c r="Z5" i="7" s="1"/>
  <c r="AA5" i="7" s="1"/>
  <c r="AB5" i="7" s="1"/>
  <c r="AC5" i="7" s="1"/>
  <c r="AD5" i="7" s="1"/>
  <c r="AE5" i="7" s="1"/>
  <c r="AF5" i="7" s="1"/>
  <c r="AG5" i="7" s="1"/>
  <c r="AH5" i="7" s="1"/>
  <c r="B318" i="8"/>
  <c r="C318" i="8" s="1"/>
  <c r="D318" i="8" s="1"/>
  <c r="E318" i="8" s="1"/>
  <c r="F318" i="8" s="1"/>
  <c r="G318" i="8" s="1"/>
  <c r="H318" i="8" s="1"/>
  <c r="I318" i="8" s="1"/>
  <c r="J318" i="8" s="1"/>
  <c r="K318" i="8" s="1"/>
  <c r="L318" i="8" s="1"/>
  <c r="M318" i="8" s="1"/>
  <c r="N318" i="8" s="1"/>
  <c r="O318" i="8" s="1"/>
  <c r="P318" i="8" s="1"/>
  <c r="Q318" i="8" s="1"/>
  <c r="R318" i="8" s="1"/>
  <c r="S318" i="8" s="1"/>
  <c r="T318" i="8" s="1"/>
  <c r="U318" i="8" s="1"/>
  <c r="V318" i="8" s="1"/>
  <c r="W318" i="8" s="1"/>
  <c r="X318" i="8" s="1"/>
  <c r="Y318" i="8" s="1"/>
  <c r="Z318" i="8" s="1"/>
  <c r="AA318" i="8" s="1"/>
  <c r="AB318" i="8" s="1"/>
  <c r="AC318" i="8" s="1"/>
  <c r="AD318" i="8" s="1"/>
  <c r="AE318" i="8" s="1"/>
  <c r="AF318" i="8" s="1"/>
  <c r="AG318" i="8" s="1"/>
  <c r="AH318" i="8" s="1"/>
  <c r="B312" i="8"/>
  <c r="B9" i="2" s="1"/>
  <c r="Z43" i="6"/>
  <c r="N43" i="6"/>
  <c r="L43" i="6"/>
  <c r="AG345" i="8"/>
  <c r="AG135" i="8"/>
  <c r="AF134" i="8"/>
  <c r="Z134" i="8"/>
  <c r="W345" i="8"/>
  <c r="U135" i="8"/>
  <c r="U134" i="8"/>
  <c r="U136" i="8"/>
  <c r="S134" i="8"/>
  <c r="N154" i="8"/>
  <c r="N164" i="8" s="1"/>
  <c r="N134" i="8"/>
  <c r="L345" i="8"/>
  <c r="L134" i="8"/>
  <c r="J134" i="8"/>
  <c r="I345" i="8"/>
  <c r="I134" i="8"/>
  <c r="H134" i="8"/>
  <c r="AD121" i="8"/>
  <c r="AD122" i="8"/>
  <c r="V138" i="8"/>
  <c r="V139" i="8"/>
  <c r="P121" i="8"/>
  <c r="P122" i="8"/>
  <c r="AC138" i="8"/>
  <c r="AA138" i="8"/>
  <c r="Y138" i="8"/>
  <c r="W138" i="8"/>
  <c r="O138" i="8"/>
  <c r="AE121" i="8"/>
  <c r="AC121" i="8"/>
  <c r="AA121" i="8"/>
  <c r="B18" i="5"/>
  <c r="B303" i="8"/>
  <c r="L152" i="8"/>
  <c r="L239" i="8"/>
  <c r="J152" i="8"/>
  <c r="J239" i="8"/>
  <c r="H137" i="8"/>
  <c r="F60" i="1"/>
  <c r="G448" i="1"/>
  <c r="G60" i="1"/>
  <c r="F52" i="1"/>
  <c r="K270" i="1"/>
  <c r="L269" i="1"/>
  <c r="L270" i="1"/>
  <c r="E62" i="1"/>
  <c r="E63" i="1"/>
  <c r="E116" i="8" s="1"/>
  <c r="AB43" i="6"/>
  <c r="X43" i="6"/>
  <c r="V43" i="6"/>
  <c r="P43" i="6"/>
  <c r="J43" i="6"/>
  <c r="F43" i="6"/>
  <c r="B43" i="6"/>
  <c r="X118" i="8"/>
  <c r="AA151" i="8"/>
  <c r="AA154" i="8" s="1"/>
  <c r="AA164" i="8" s="1"/>
  <c r="R151" i="8"/>
  <c r="R154" i="8"/>
  <c r="R164" i="8" s="1"/>
  <c r="B83" i="5"/>
  <c r="L118" i="8"/>
  <c r="W152" i="8"/>
  <c r="W239" i="8" s="1"/>
  <c r="Y151" i="8"/>
  <c r="Y154" i="8" s="1"/>
  <c r="Y164" i="8" s="1"/>
  <c r="AE151" i="8"/>
  <c r="AE154" i="8"/>
  <c r="AE164" i="8" s="1"/>
  <c r="C15" i="8"/>
  <c r="D15" i="8" s="1"/>
  <c r="E26" i="8" s="1"/>
  <c r="C21" i="8"/>
  <c r="C24" i="8"/>
  <c r="D24" i="8"/>
  <c r="H317" i="1"/>
  <c r="F204" i="1"/>
  <c r="F258" i="1"/>
  <c r="F7" i="7"/>
  <c r="E478" i="1"/>
  <c r="B45" i="1"/>
  <c r="C45" i="1"/>
  <c r="D45" i="1" s="1"/>
  <c r="E45" i="1" s="1"/>
  <c r="F45" i="1" s="1"/>
  <c r="G45" i="1" s="1"/>
  <c r="AG127" i="8"/>
  <c r="AG131" i="8"/>
  <c r="AE127" i="8"/>
  <c r="Y127" i="8"/>
  <c r="W127" i="8"/>
  <c r="K127" i="8"/>
  <c r="J16" i="2"/>
  <c r="S130" i="8"/>
  <c r="I130" i="8"/>
  <c r="Q137" i="8"/>
  <c r="AA152" i="8"/>
  <c r="AA239" i="8"/>
  <c r="X16" i="2"/>
  <c r="AH16" i="2"/>
  <c r="J118" i="8"/>
  <c r="J151" i="8"/>
  <c r="J154" i="8" s="1"/>
  <c r="J164" i="8" s="1"/>
  <c r="AC137" i="8"/>
  <c r="O151" i="8"/>
  <c r="O154" i="8" s="1"/>
  <c r="O164" i="8" s="1"/>
  <c r="M151" i="8"/>
  <c r="M154" i="8"/>
  <c r="M164" i="8" s="1"/>
  <c r="H130" i="8"/>
  <c r="M269" i="1"/>
  <c r="M270" i="1"/>
  <c r="J311" i="1"/>
  <c r="I312" i="1"/>
  <c r="I277" i="1"/>
  <c r="J276" i="1"/>
  <c r="J277" i="1" s="1"/>
  <c r="I280" i="1"/>
  <c r="E282" i="1"/>
  <c r="B66" i="5"/>
  <c r="B290" i="8" s="1"/>
  <c r="S127" i="8"/>
  <c r="M127" i="8"/>
  <c r="M131" i="8"/>
  <c r="B416" i="1"/>
  <c r="B163" i="8"/>
  <c r="C163" i="8" s="1"/>
  <c r="D163" i="8" s="1"/>
  <c r="E163" i="8" s="1"/>
  <c r="F163" i="8" s="1"/>
  <c r="G163" i="8" s="1"/>
  <c r="H163" i="8" s="1"/>
  <c r="I163" i="8" s="1"/>
  <c r="J163" i="8" s="1"/>
  <c r="K163" i="8" s="1"/>
  <c r="L163" i="8" s="1"/>
  <c r="M163" i="8" s="1"/>
  <c r="N163" i="8" s="1"/>
  <c r="O163" i="8" s="1"/>
  <c r="P163" i="8" s="1"/>
  <c r="Q163" i="8" s="1"/>
  <c r="R163" i="8" s="1"/>
  <c r="S163" i="8" s="1"/>
  <c r="T163" i="8" s="1"/>
  <c r="U163" i="8" s="1"/>
  <c r="V163" i="8" s="1"/>
  <c r="W163" i="8" s="1"/>
  <c r="X163" i="8" s="1"/>
  <c r="Y163" i="8" s="1"/>
  <c r="Z163" i="8" s="1"/>
  <c r="AA163" i="8" s="1"/>
  <c r="AB163" i="8" s="1"/>
  <c r="AC163" i="8" s="1"/>
  <c r="AD163" i="8" s="1"/>
  <c r="AE163" i="8" s="1"/>
  <c r="AF163" i="8" s="1"/>
  <c r="AG163" i="8" s="1"/>
  <c r="AH163" i="8" s="1"/>
  <c r="C5" i="8"/>
  <c r="D5" i="8"/>
  <c r="E5" i="8" s="1"/>
  <c r="F5" i="8" s="1"/>
  <c r="G5" i="8" s="1"/>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C72" i="1"/>
  <c r="C126" i="8"/>
  <c r="J254" i="1"/>
  <c r="I260" i="1"/>
  <c r="I282" i="1" s="1"/>
  <c r="I255" i="1"/>
  <c r="E56" i="1"/>
  <c r="E57" i="1"/>
  <c r="O152" i="8"/>
  <c r="O239" i="8"/>
  <c r="AA16" i="2"/>
  <c r="AD16" i="2"/>
  <c r="M134" i="8"/>
  <c r="W134" i="8"/>
  <c r="AE137" i="8"/>
  <c r="M271" i="1"/>
  <c r="Z118" i="8"/>
  <c r="C2" i="14"/>
  <c r="D2" i="14" s="1"/>
  <c r="E2" i="14" s="1"/>
  <c r="F2" i="14" s="1"/>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B5" i="6"/>
  <c r="C5" i="6"/>
  <c r="D5" i="6" s="1"/>
  <c r="E5" i="6" s="1"/>
  <c r="F5" i="6" s="1"/>
  <c r="G5" i="6" s="1"/>
  <c r="H5" i="6" s="1"/>
  <c r="I5" i="6" s="1"/>
  <c r="J5" i="6" s="1"/>
  <c r="K5" i="6" s="1"/>
  <c r="L5" i="6" s="1"/>
  <c r="M5" i="6" s="1"/>
  <c r="N5" i="6" s="1"/>
  <c r="O5" i="6" s="1"/>
  <c r="P5" i="6" s="1"/>
  <c r="Q5" i="6" s="1"/>
  <c r="R5" i="6" s="1"/>
  <c r="S5" i="6" s="1"/>
  <c r="T5" i="6" s="1"/>
  <c r="U5" i="6" s="1"/>
  <c r="V5" i="6" s="1"/>
  <c r="W5" i="6" s="1"/>
  <c r="X5" i="6" s="1"/>
  <c r="Y5" i="6" s="1"/>
  <c r="Z5" i="6" s="1"/>
  <c r="AA5" i="6" s="1"/>
  <c r="AB5" i="6" s="1"/>
  <c r="AC5" i="6" s="1"/>
  <c r="AD5" i="6" s="1"/>
  <c r="AE5" i="6" s="1"/>
  <c r="AF5" i="6" s="1"/>
  <c r="AG5" i="6" s="1"/>
  <c r="AH5" i="6" s="1"/>
  <c r="B196" i="8"/>
  <c r="C196" i="8" s="1"/>
  <c r="D196" i="8" s="1"/>
  <c r="E196" i="8" s="1"/>
  <c r="F196" i="8" s="1"/>
  <c r="G196" i="8" s="1"/>
  <c r="H196" i="8" s="1"/>
  <c r="I196" i="8" s="1"/>
  <c r="J196" i="8" s="1"/>
  <c r="K196" i="8" s="1"/>
  <c r="L196" i="8" s="1"/>
  <c r="M196" i="8" s="1"/>
  <c r="N196" i="8" s="1"/>
  <c r="O196" i="8" s="1"/>
  <c r="P196" i="8" s="1"/>
  <c r="Q196" i="8" s="1"/>
  <c r="R196" i="8" s="1"/>
  <c r="S196" i="8" s="1"/>
  <c r="T196" i="8" s="1"/>
  <c r="U196" i="8" s="1"/>
  <c r="V196" i="8" s="1"/>
  <c r="W196" i="8" s="1"/>
  <c r="X196" i="8" s="1"/>
  <c r="Y196" i="8" s="1"/>
  <c r="Z196" i="8" s="1"/>
  <c r="AA196" i="8" s="1"/>
  <c r="AB196" i="8" s="1"/>
  <c r="AC196" i="8" s="1"/>
  <c r="AD196" i="8" s="1"/>
  <c r="AE196" i="8" s="1"/>
  <c r="AF196" i="8" s="1"/>
  <c r="AG196" i="8" s="1"/>
  <c r="AH196" i="8" s="1"/>
  <c r="B16" i="7"/>
  <c r="B11" i="7"/>
  <c r="B12" i="7" s="1"/>
  <c r="B115" i="8"/>
  <c r="C115" i="8" s="1"/>
  <c r="D115" i="8" s="1"/>
  <c r="E115" i="8" s="1"/>
  <c r="F115" i="8" s="1"/>
  <c r="G115" i="8" s="1"/>
  <c r="H115" i="8" s="1"/>
  <c r="I115" i="8" s="1"/>
  <c r="J115" i="8" s="1"/>
  <c r="K115" i="8" s="1"/>
  <c r="L115" i="8" s="1"/>
  <c r="M115" i="8" s="1"/>
  <c r="N115" i="8" s="1"/>
  <c r="O115" i="8" s="1"/>
  <c r="P115" i="8" s="1"/>
  <c r="Q115" i="8" s="1"/>
  <c r="R115" i="8" s="1"/>
  <c r="S115" i="8" s="1"/>
  <c r="T115" i="8" s="1"/>
  <c r="U115" i="8" s="1"/>
  <c r="V115" i="8" s="1"/>
  <c r="W115" i="8" s="1"/>
  <c r="X115" i="8" s="1"/>
  <c r="Y115" i="8" s="1"/>
  <c r="Z115" i="8" s="1"/>
  <c r="AA115" i="8" s="1"/>
  <c r="AB115" i="8" s="1"/>
  <c r="AC115" i="8" s="1"/>
  <c r="AD115" i="8" s="1"/>
  <c r="AE115" i="8" s="1"/>
  <c r="AF115" i="8" s="1"/>
  <c r="AG115" i="8" s="1"/>
  <c r="AH115" i="8" s="1"/>
  <c r="B33" i="8"/>
  <c r="B75" i="8"/>
  <c r="B104" i="8" s="1"/>
  <c r="D68" i="1"/>
  <c r="D120" i="8" s="1"/>
  <c r="J257" i="1"/>
  <c r="K253" i="1"/>
  <c r="C63" i="1"/>
  <c r="C116" i="8" s="1"/>
  <c r="H448" i="1"/>
  <c r="I448" i="1" s="1"/>
  <c r="J448" i="1" s="1"/>
  <c r="K448" i="1" s="1"/>
  <c r="L448" i="1" s="1"/>
  <c r="M448" i="1" s="1"/>
  <c r="N448" i="1" s="1"/>
  <c r="O448" i="1" s="1"/>
  <c r="P448" i="1" s="1"/>
  <c r="Q448" i="1" s="1"/>
  <c r="R448" i="1" s="1"/>
  <c r="S448" i="1" s="1"/>
  <c r="T448" i="1" s="1"/>
  <c r="U448" i="1" s="1"/>
  <c r="V448" i="1" s="1"/>
  <c r="W448" i="1" s="1"/>
  <c r="X448" i="1" s="1"/>
  <c r="Y448" i="1" s="1"/>
  <c r="Z448" i="1" s="1"/>
  <c r="AA448" i="1" s="1"/>
  <c r="AB448" i="1" s="1"/>
  <c r="AC448" i="1" s="1"/>
  <c r="AD448" i="1" s="1"/>
  <c r="AE448" i="1" s="1"/>
  <c r="AF448" i="1" s="1"/>
  <c r="AG448" i="1" s="1"/>
  <c r="AH448" i="1" s="1"/>
  <c r="D296" i="1"/>
  <c r="B248" i="8"/>
  <c r="C248" i="8" s="1"/>
  <c r="D248" i="8" s="1"/>
  <c r="E248" i="8" s="1"/>
  <c r="F248" i="8" s="1"/>
  <c r="G248" i="8" s="1"/>
  <c r="H248" i="8" s="1"/>
  <c r="I248" i="8" s="1"/>
  <c r="J248" i="8" s="1"/>
  <c r="K248" i="8" s="1"/>
  <c r="L248" i="8" s="1"/>
  <c r="M248" i="8" s="1"/>
  <c r="N248" i="8" s="1"/>
  <c r="O248" i="8" s="1"/>
  <c r="P248" i="8" s="1"/>
  <c r="Q248" i="8" s="1"/>
  <c r="R248" i="8" s="1"/>
  <c r="S248" i="8" s="1"/>
  <c r="T248" i="8" s="1"/>
  <c r="U248" i="8" s="1"/>
  <c r="V248" i="8" s="1"/>
  <c r="W248" i="8" s="1"/>
  <c r="X248" i="8" s="1"/>
  <c r="Y248" i="8" s="1"/>
  <c r="Z248" i="8" s="1"/>
  <c r="AA248" i="8" s="1"/>
  <c r="AB248" i="8" s="1"/>
  <c r="AC248" i="8" s="1"/>
  <c r="AD248" i="8" s="1"/>
  <c r="AE248" i="8" s="1"/>
  <c r="AF248" i="8" s="1"/>
  <c r="AG248" i="8" s="1"/>
  <c r="AH248" i="8" s="1"/>
  <c r="I274" i="1"/>
  <c r="B296" i="1"/>
  <c r="I295" i="1"/>
  <c r="I296" i="1"/>
  <c r="J288" i="1"/>
  <c r="B30" i="5"/>
  <c r="AF43" i="6"/>
  <c r="E10" i="7"/>
  <c r="E21" i="7"/>
  <c r="C283" i="1"/>
  <c r="AB134" i="8"/>
  <c r="V135" i="8"/>
  <c r="N345" i="8"/>
  <c r="K345" i="8"/>
  <c r="J345" i="8"/>
  <c r="E67" i="1"/>
  <c r="F62" i="1"/>
  <c r="E73" i="1"/>
  <c r="E72" i="1"/>
  <c r="E126" i="8" s="1"/>
  <c r="E64" i="1"/>
  <c r="E117" i="8" s="1"/>
  <c r="N269" i="1"/>
  <c r="J290" i="1"/>
  <c r="J295" i="1"/>
  <c r="J296" i="1" s="1"/>
  <c r="K288" i="1"/>
  <c r="B33" i="5"/>
  <c r="B36" i="5"/>
  <c r="E318" i="1"/>
  <c r="B65" i="1"/>
  <c r="B75" i="1"/>
  <c r="B71" i="1"/>
  <c r="B72" i="1"/>
  <c r="B66" i="1"/>
  <c r="B73" i="1"/>
  <c r="C74" i="1"/>
  <c r="C64" i="1"/>
  <c r="C65" i="1"/>
  <c r="C76" i="1"/>
  <c r="C129" i="8"/>
  <c r="C67" i="1"/>
  <c r="B68" i="1"/>
  <c r="B120" i="8" s="1"/>
  <c r="B67" i="1"/>
  <c r="C68" i="1"/>
  <c r="C120" i="8"/>
  <c r="C73" i="1"/>
  <c r="C66" i="1"/>
  <c r="D63" i="1"/>
  <c r="B74" i="1"/>
  <c r="B64" i="1"/>
  <c r="O436" i="1"/>
  <c r="P436" i="1" s="1"/>
  <c r="Q436" i="1" s="1"/>
  <c r="R436" i="1" s="1"/>
  <c r="B76" i="1"/>
  <c r="B129" i="8" s="1"/>
  <c r="C75" i="1"/>
  <c r="B63" i="1"/>
  <c r="C71" i="1"/>
  <c r="C125" i="8" s="1"/>
  <c r="J287" i="1"/>
  <c r="I289" i="1"/>
  <c r="F300" i="1"/>
  <c r="F318" i="1" s="1"/>
  <c r="G302" i="1"/>
  <c r="D265" i="1"/>
  <c r="D283" i="1" s="1"/>
  <c r="D266" i="1"/>
  <c r="T43" i="6"/>
  <c r="D43" i="6"/>
  <c r="D21" i="7"/>
  <c r="D10" i="7"/>
  <c r="D18" i="7"/>
  <c r="D7" i="7"/>
  <c r="AF118" i="8"/>
  <c r="I304" i="1"/>
  <c r="H308" i="1"/>
  <c r="I267" i="1"/>
  <c r="D76" i="1"/>
  <c r="D129" i="8"/>
  <c r="D64" i="1"/>
  <c r="D117" i="8"/>
  <c r="D71" i="1"/>
  <c r="H10" i="7"/>
  <c r="J270" i="1"/>
  <c r="D285" i="1"/>
  <c r="C252" i="1"/>
  <c r="F265" i="1"/>
  <c r="F283" i="1" s="1"/>
  <c r="F266" i="1"/>
  <c r="G258" i="1"/>
  <c r="B99" i="5"/>
  <c r="G21" i="7"/>
  <c r="G10" i="7"/>
  <c r="F285" i="1"/>
  <c r="G252" i="1"/>
  <c r="C10" i="7"/>
  <c r="C21" i="7"/>
  <c r="H439" i="1"/>
  <c r="I439" i="1"/>
  <c r="G204" i="1"/>
  <c r="B85" i="5"/>
  <c r="D26" i="8"/>
  <c r="B68" i="5"/>
  <c r="B292" i="8"/>
  <c r="B67" i="5"/>
  <c r="B291" i="8"/>
  <c r="B70" i="5"/>
  <c r="B295" i="8"/>
  <c r="B71" i="5"/>
  <c r="B296" i="8"/>
  <c r="B22" i="7"/>
  <c r="B23" i="7"/>
  <c r="Z18" i="2"/>
  <c r="Z151" i="8"/>
  <c r="Z154" i="8" s="1"/>
  <c r="Z164" i="8" s="1"/>
  <c r="B20" i="7"/>
  <c r="Q43" i="6"/>
  <c r="B302" i="8"/>
  <c r="D56" i="1"/>
  <c r="D57" i="1"/>
  <c r="D74" i="1"/>
  <c r="D58" i="1"/>
  <c r="D75" i="1"/>
  <c r="E58" i="1"/>
  <c r="E75" i="1"/>
  <c r="AG152" i="8"/>
  <c r="AG239" i="8"/>
  <c r="AG134" i="8"/>
  <c r="AF345" i="8"/>
  <c r="AF135" i="8"/>
  <c r="AF136" i="8"/>
  <c r="AF127" i="8"/>
  <c r="AE345" i="8"/>
  <c r="AD151" i="8"/>
  <c r="AD154" i="8"/>
  <c r="AD164" i="8" s="1"/>
  <c r="AD135" i="8"/>
  <c r="AC345" i="8"/>
  <c r="AC135" i="8"/>
  <c r="AB118" i="8"/>
  <c r="AA134" i="8"/>
  <c r="Z345" i="8"/>
  <c r="Z135" i="8"/>
  <c r="Y345" i="8"/>
  <c r="Y135" i="8"/>
  <c r="Y134" i="8"/>
  <c r="X152" i="8"/>
  <c r="X239" i="8" s="1"/>
  <c r="W118" i="8"/>
  <c r="V134" i="8"/>
  <c r="U127" i="8"/>
  <c r="T345" i="8"/>
  <c r="T135" i="8"/>
  <c r="T134" i="8"/>
  <c r="S135" i="8"/>
  <c r="S136" i="8" s="1"/>
  <c r="R135" i="8"/>
  <c r="Q135" i="8"/>
  <c r="P345" i="8"/>
  <c r="O345" i="8"/>
  <c r="O118" i="8"/>
  <c r="I135" i="8"/>
  <c r="I118" i="8"/>
  <c r="H118" i="8"/>
  <c r="AF138" i="8"/>
  <c r="AD138" i="8"/>
  <c r="AB138" i="8"/>
  <c r="AB139" i="8" s="1"/>
  <c r="Z138" i="8"/>
  <c r="Z139" i="8" s="1"/>
  <c r="V121" i="8"/>
  <c r="T121" i="8"/>
  <c r="R121" i="8"/>
  <c r="R122" i="8" s="1"/>
  <c r="L121" i="8"/>
  <c r="L122" i="8" s="1"/>
  <c r="AE138" i="8"/>
  <c r="U138" i="8"/>
  <c r="S138" i="8"/>
  <c r="M138" i="8"/>
  <c r="I138" i="8"/>
  <c r="AH43" i="6"/>
  <c r="AH130" i="8"/>
  <c r="AE130" i="8"/>
  <c r="AE131" i="8"/>
  <c r="AC130" i="8"/>
  <c r="AA130" i="8"/>
  <c r="Q130" i="8"/>
  <c r="AG137" i="8"/>
  <c r="Y137" i="8"/>
  <c r="Y139" i="8"/>
  <c r="Q121" i="8"/>
  <c r="O137" i="8"/>
  <c r="O139" i="8" s="1"/>
  <c r="J138" i="8"/>
  <c r="H121" i="8"/>
  <c r="AH152" i="8"/>
  <c r="AH239" i="8" s="1"/>
  <c r="B96" i="5"/>
  <c r="B94" i="5"/>
  <c r="B90" i="5"/>
  <c r="B88" i="5"/>
  <c r="B305" i="8"/>
  <c r="B89" i="5"/>
  <c r="B304" i="8"/>
  <c r="AE152" i="8"/>
  <c r="AE239" i="8"/>
  <c r="T151" i="8"/>
  <c r="T154" i="8"/>
  <c r="T164" i="8" s="1"/>
  <c r="D9" i="8"/>
  <c r="AG43" i="6"/>
  <c r="U43" i="6"/>
  <c r="K43" i="6"/>
  <c r="AE134" i="8"/>
  <c r="AE118" i="8"/>
  <c r="AD127" i="8"/>
  <c r="AC118" i="8"/>
  <c r="AC122" i="8"/>
  <c r="AB345" i="8"/>
  <c r="AB152" i="8"/>
  <c r="AB239" i="8" s="1"/>
  <c r="X127" i="8"/>
  <c r="X131" i="8" s="1"/>
  <c r="V345" i="8"/>
  <c r="V152" i="8"/>
  <c r="V239" i="8"/>
  <c r="R127" i="8"/>
  <c r="R134" i="8"/>
  <c r="Q118" i="8"/>
  <c r="Q122" i="8"/>
  <c r="P127" i="8"/>
  <c r="P134" i="8"/>
  <c r="X121" i="8"/>
  <c r="X138" i="8"/>
  <c r="N121" i="8"/>
  <c r="N122" i="8"/>
  <c r="N138" i="8"/>
  <c r="AH118" i="8"/>
  <c r="AH122" i="8" s="1"/>
  <c r="AH135" i="8"/>
  <c r="W130" i="8"/>
  <c r="U130" i="8"/>
  <c r="O130" i="8"/>
  <c r="K130" i="8"/>
  <c r="W137" i="8"/>
  <c r="U137" i="8"/>
  <c r="S137" i="8"/>
  <c r="M137" i="8"/>
  <c r="I137" i="8"/>
  <c r="B301" i="8"/>
  <c r="C27" i="8"/>
  <c r="C16" i="8"/>
  <c r="C14" i="8"/>
  <c r="C25" i="8"/>
  <c r="D13" i="8"/>
  <c r="B11" i="8"/>
  <c r="C11" i="8" s="1"/>
  <c r="AH151" i="8"/>
  <c r="AH154" i="8" s="1"/>
  <c r="AH164" i="8" s="1"/>
  <c r="B81" i="5"/>
  <c r="J121" i="8"/>
  <c r="T118" i="8"/>
  <c r="AB121" i="8"/>
  <c r="AB122" i="8" s="1"/>
  <c r="AF121" i="8"/>
  <c r="AH138" i="8"/>
  <c r="AH139" i="8" s="1"/>
  <c r="N139" i="8"/>
  <c r="Q134" i="8"/>
  <c r="Q136" i="8"/>
  <c r="Z121" i="8"/>
  <c r="Z122" i="8"/>
  <c r="AD134" i="8"/>
  <c r="B55" i="5"/>
  <c r="B92" i="5" s="1"/>
  <c r="B84" i="5"/>
  <c r="I121" i="8"/>
  <c r="I122" i="8"/>
  <c r="U121" i="8"/>
  <c r="X134" i="8"/>
  <c r="AG138" i="8"/>
  <c r="AE16" i="2"/>
  <c r="M118" i="8"/>
  <c r="O121" i="8"/>
  <c r="AD152" i="8"/>
  <c r="AD239" i="8"/>
  <c r="T17" i="2"/>
  <c r="T16" i="2"/>
  <c r="T152" i="8"/>
  <c r="T239" i="8"/>
  <c r="P152" i="8"/>
  <c r="P239" i="8"/>
  <c r="N152" i="8"/>
  <c r="N239" i="8"/>
  <c r="B27" i="5"/>
  <c r="B28" i="5"/>
  <c r="AD345" i="8"/>
  <c r="X345" i="8"/>
  <c r="X135" i="8"/>
  <c r="S345" i="8"/>
  <c r="P135" i="8"/>
  <c r="O135" i="8"/>
  <c r="N135" i="8"/>
  <c r="N136" i="8"/>
  <c r="N140" i="8" s="1"/>
  <c r="N168" i="8" s="1"/>
  <c r="K134" i="8"/>
  <c r="J135" i="8"/>
  <c r="I127" i="8"/>
  <c r="AG121" i="8"/>
  <c r="Y121" i="8"/>
  <c r="Y122" i="8"/>
  <c r="W121" i="8"/>
  <c r="S121" i="8"/>
  <c r="S122" i="8" s="1"/>
  <c r="Q138" i="8"/>
  <c r="Q139" i="8" s="1"/>
  <c r="M121" i="8"/>
  <c r="M122" i="8" s="1"/>
  <c r="Y130" i="8"/>
  <c r="AB130" i="8"/>
  <c r="Z130" i="8"/>
  <c r="B100" i="5"/>
  <c r="B98" i="5"/>
  <c r="B91" i="5"/>
  <c r="B17" i="7"/>
  <c r="B69" i="8"/>
  <c r="B73" i="8" s="1"/>
  <c r="C71" i="8" s="1"/>
  <c r="C72" i="8" s="1"/>
  <c r="B95" i="5"/>
  <c r="B57" i="8"/>
  <c r="B61" i="8"/>
  <c r="C59" i="8" s="1"/>
  <c r="C60" i="8" s="1"/>
  <c r="D267" i="8"/>
  <c r="J139" i="8"/>
  <c r="C8" i="8"/>
  <c r="D8" i="8"/>
  <c r="B8" i="7"/>
  <c r="B9" i="7" s="1"/>
  <c r="AE43" i="6"/>
  <c r="AC43" i="6"/>
  <c r="AA43" i="6"/>
  <c r="W43" i="6"/>
  <c r="S43" i="6"/>
  <c r="O43" i="6"/>
  <c r="M43" i="6"/>
  <c r="I43" i="6"/>
  <c r="E43" i="6"/>
  <c r="C43" i="6"/>
  <c r="AG118" i="8"/>
  <c r="AB135" i="8"/>
  <c r="AB136" i="8" s="1"/>
  <c r="AB140" i="8" s="1"/>
  <c r="AB13" i="2" s="1"/>
  <c r="AB14" i="2" s="1"/>
  <c r="AB127" i="8"/>
  <c r="AG151" i="8"/>
  <c r="AG154" i="8" s="1"/>
  <c r="AG164" i="8" s="1"/>
  <c r="AC18" i="2"/>
  <c r="AC16" i="2"/>
  <c r="AC151" i="8"/>
  <c r="AC154" i="8"/>
  <c r="AC164" i="8" s="1"/>
  <c r="AC152" i="8"/>
  <c r="AC239" i="8" s="1"/>
  <c r="W16" i="2"/>
  <c r="U18" i="2"/>
  <c r="U16" i="2"/>
  <c r="U151" i="8"/>
  <c r="U154" i="8"/>
  <c r="U164" i="8" s="1"/>
  <c r="U152" i="8"/>
  <c r="U239" i="8" s="1"/>
  <c r="Q18" i="2"/>
  <c r="Q16" i="2" s="1"/>
  <c r="Q151" i="8"/>
  <c r="Q154" i="8" s="1"/>
  <c r="Q164" i="8" s="1"/>
  <c r="O16" i="2"/>
  <c r="M18" i="2"/>
  <c r="M16" i="2" s="1"/>
  <c r="M152" i="8"/>
  <c r="M239" i="8" s="1"/>
  <c r="K18" i="2"/>
  <c r="K16" i="2" s="1"/>
  <c r="K152" i="8"/>
  <c r="K239" i="8" s="1"/>
  <c r="K151" i="8"/>
  <c r="K154" i="8" s="1"/>
  <c r="K164" i="8" s="1"/>
  <c r="I18" i="2"/>
  <c r="I16" i="2"/>
  <c r="I152" i="8"/>
  <c r="I239" i="8"/>
  <c r="I151" i="8"/>
  <c r="I154" i="8"/>
  <c r="I164" i="8" s="1"/>
  <c r="V22" i="2"/>
  <c r="V16" i="2" s="1"/>
  <c r="V151" i="8"/>
  <c r="V154" i="8" s="1"/>
  <c r="V164" i="8" s="1"/>
  <c r="P22" i="2"/>
  <c r="P16" i="2"/>
  <c r="P151" i="8"/>
  <c r="P154" i="8"/>
  <c r="P164" i="8" s="1"/>
  <c r="N16" i="2"/>
  <c r="AB17" i="2"/>
  <c r="AB16" i="2"/>
  <c r="AB151" i="8"/>
  <c r="AB154" i="8"/>
  <c r="AB164" i="8" s="1"/>
  <c r="Z17" i="2"/>
  <c r="Z16" i="2" s="1"/>
  <c r="Z152" i="8"/>
  <c r="Z239" i="8" s="1"/>
  <c r="X151" i="8"/>
  <c r="X154" i="8" s="1"/>
  <c r="X164" i="8" s="1"/>
  <c r="L16" i="2"/>
  <c r="H16" i="2"/>
  <c r="R345" i="8"/>
  <c r="R152" i="8"/>
  <c r="R239" i="8" s="1"/>
  <c r="Q152" i="8"/>
  <c r="Q239" i="8" s="1"/>
  <c r="Q345" i="8"/>
  <c r="Q127" i="8"/>
  <c r="O134" i="8"/>
  <c r="O127" i="8"/>
  <c r="N127" i="8"/>
  <c r="K138" i="8"/>
  <c r="K121" i="8"/>
  <c r="K122" i="8" s="1"/>
  <c r="L130" i="8"/>
  <c r="L131" i="8" s="1"/>
  <c r="L138" i="8"/>
  <c r="AH134" i="8"/>
  <c r="AH127" i="8"/>
  <c r="AH131" i="8" s="1"/>
  <c r="AF130" i="8"/>
  <c r="AF131" i="8"/>
  <c r="P130" i="8"/>
  <c r="P131" i="8"/>
  <c r="P137" i="8"/>
  <c r="P139" i="8"/>
  <c r="N130" i="8"/>
  <c r="B309" i="8"/>
  <c r="B232" i="8"/>
  <c r="C232" i="8"/>
  <c r="D232" i="8" s="1"/>
  <c r="E232" i="8" s="1"/>
  <c r="F232" i="8" s="1"/>
  <c r="G232" i="8" s="1"/>
  <c r="H232" i="8" s="1"/>
  <c r="I232" i="8" s="1"/>
  <c r="J232" i="8" s="1"/>
  <c r="K232" i="8" s="1"/>
  <c r="L232" i="8" s="1"/>
  <c r="M232" i="8" s="1"/>
  <c r="N232" i="8" s="1"/>
  <c r="O232" i="8" s="1"/>
  <c r="P232" i="8" s="1"/>
  <c r="Q232" i="8" s="1"/>
  <c r="R232" i="8" s="1"/>
  <c r="S232" i="8" s="1"/>
  <c r="T232" i="8" s="1"/>
  <c r="U232" i="8" s="1"/>
  <c r="V232" i="8" s="1"/>
  <c r="W232" i="8" s="1"/>
  <c r="X232" i="8" s="1"/>
  <c r="Y232" i="8" s="1"/>
  <c r="Z232" i="8" s="1"/>
  <c r="AA232" i="8" s="1"/>
  <c r="AB232" i="8" s="1"/>
  <c r="AC232" i="8" s="1"/>
  <c r="AD232" i="8" s="1"/>
  <c r="AE232" i="8" s="1"/>
  <c r="AF232" i="8" s="1"/>
  <c r="AG232" i="8"/>
  <c r="AH232" i="8" s="1"/>
  <c r="B287" i="8"/>
  <c r="C287" i="8" s="1"/>
  <c r="D287" i="8"/>
  <c r="E287" i="8" s="1"/>
  <c r="F287" i="8" s="1"/>
  <c r="G287" i="8" s="1"/>
  <c r="H287" i="8" s="1"/>
  <c r="I287" i="8" s="1"/>
  <c r="J287" i="8" s="1"/>
  <c r="K287" i="8" s="1"/>
  <c r="L287" i="8" s="1"/>
  <c r="M287" i="8" s="1"/>
  <c r="N287" i="8" s="1"/>
  <c r="O287" i="8" s="1"/>
  <c r="P287" i="8" s="1"/>
  <c r="Q287" i="8" s="1"/>
  <c r="R287" i="8" s="1"/>
  <c r="S287" i="8" s="1"/>
  <c r="T287" i="8" s="1"/>
  <c r="U287" i="8" s="1"/>
  <c r="V287" i="8" s="1"/>
  <c r="W287" i="8" s="1"/>
  <c r="X287" i="8" s="1"/>
  <c r="Y287" i="8" s="1"/>
  <c r="Z287" i="8" s="1"/>
  <c r="AA287" i="8" s="1"/>
  <c r="AB287" i="8" s="1"/>
  <c r="AC287" i="8" s="1"/>
  <c r="AD287" i="8" s="1"/>
  <c r="AE287" i="8" s="1"/>
  <c r="AF287" i="8" s="1"/>
  <c r="AG287" i="8" s="1"/>
  <c r="AH287" i="8" s="1"/>
  <c r="B5" i="5"/>
  <c r="AC127" i="8"/>
  <c r="AA135" i="8"/>
  <c r="AA136" i="8"/>
  <c r="V118" i="8"/>
  <c r="M135" i="8"/>
  <c r="M136" i="8" s="1"/>
  <c r="K137" i="8"/>
  <c r="H138" i="8"/>
  <c r="H139" i="8"/>
  <c r="B87" i="5"/>
  <c r="AE135" i="8"/>
  <c r="AC134" i="8"/>
  <c r="AA345" i="8"/>
  <c r="Y16" i="2"/>
  <c r="W135" i="8"/>
  <c r="U345" i="8"/>
  <c r="T127" i="8"/>
  <c r="T131" i="8" s="1"/>
  <c r="M345" i="8"/>
  <c r="L135" i="8"/>
  <c r="L136" i="8"/>
  <c r="K135" i="8"/>
  <c r="H135" i="8"/>
  <c r="H136" i="8" s="1"/>
  <c r="T138" i="8"/>
  <c r="R138" i="8"/>
  <c r="R139" i="8"/>
  <c r="AA137" i="8"/>
  <c r="AH345" i="8"/>
  <c r="C16" i="7"/>
  <c r="D16" i="7" s="1"/>
  <c r="E16" i="7"/>
  <c r="F16" i="7" s="1"/>
  <c r="G16" i="7" s="1"/>
  <c r="H16" i="7" s="1"/>
  <c r="I16" i="7" s="1"/>
  <c r="J16" i="7" s="1"/>
  <c r="K16" i="7" s="1"/>
  <c r="L16" i="7" s="1"/>
  <c r="M16" i="7" s="1"/>
  <c r="N16" i="7" s="1"/>
  <c r="O16" i="7" s="1"/>
  <c r="P16" i="7" s="1"/>
  <c r="Q16" i="7" s="1"/>
  <c r="R16" i="7" s="1"/>
  <c r="S16" i="7" s="1"/>
  <c r="T16" i="7" s="1"/>
  <c r="U16" i="7" s="1"/>
  <c r="V16" i="7" s="1"/>
  <c r="W16" i="7" s="1"/>
  <c r="X16" i="7" s="1"/>
  <c r="Y16" i="7" s="1"/>
  <c r="Z16" i="7" s="1"/>
  <c r="AA16" i="7" s="1"/>
  <c r="AB16" i="7" s="1"/>
  <c r="AC16" i="7" s="1"/>
  <c r="AD16" i="7" s="1"/>
  <c r="AE16" i="7" s="1"/>
  <c r="AF16" i="7" s="1"/>
  <c r="AG16" i="7" s="1"/>
  <c r="AH16" i="7" s="1"/>
  <c r="K278" i="1"/>
  <c r="U122" i="8"/>
  <c r="B6" i="7"/>
  <c r="AF16" i="2"/>
  <c r="AF152" i="8"/>
  <c r="AF239" i="8" s="1"/>
  <c r="AF151" i="8"/>
  <c r="AF154" i="8" s="1"/>
  <c r="AF164" i="8" s="1"/>
  <c r="S152" i="8"/>
  <c r="S239" i="8"/>
  <c r="S17" i="2"/>
  <c r="S16" i="2"/>
  <c r="D65" i="1"/>
  <c r="D66" i="1"/>
  <c r="D67" i="1"/>
  <c r="AA139" i="8"/>
  <c r="I131" i="8"/>
  <c r="J122" i="8"/>
  <c r="W139" i="8"/>
  <c r="X122" i="8"/>
  <c r="AF139" i="8"/>
  <c r="Z136" i="8"/>
  <c r="AG136" i="8"/>
  <c r="J282" i="8"/>
  <c r="K282" i="8" s="1"/>
  <c r="V131" i="8"/>
  <c r="W136" i="8"/>
  <c r="W140" i="8" s="1"/>
  <c r="W13" i="2"/>
  <c r="W14" i="2" s="1"/>
  <c r="AE136" i="8"/>
  <c r="V122" i="8"/>
  <c r="AC131" i="8"/>
  <c r="O131" i="8"/>
  <c r="Q131" i="8"/>
  <c r="Y131" i="8"/>
  <c r="J136" i="8"/>
  <c r="J140" i="8" s="1"/>
  <c r="X139" i="8"/>
  <c r="R131" i="8"/>
  <c r="AE122" i="8"/>
  <c r="AD139" i="8"/>
  <c r="I136" i="8"/>
  <c r="J131" i="8"/>
  <c r="B300" i="8"/>
  <c r="AG122" i="8"/>
  <c r="E13" i="8"/>
  <c r="E15" i="8"/>
  <c r="C77" i="1"/>
  <c r="AC136" i="8"/>
  <c r="AH136" i="8"/>
  <c r="O122" i="8"/>
  <c r="AD136" i="8"/>
  <c r="AF122" i="8"/>
  <c r="I139" i="8"/>
  <c r="S139" i="8"/>
  <c r="R136" i="8"/>
  <c r="R140" i="8" s="1"/>
  <c r="S131" i="8"/>
  <c r="D21" i="8"/>
  <c r="D10" i="8"/>
  <c r="D14" i="8"/>
  <c r="E20" i="8"/>
  <c r="B101" i="5"/>
  <c r="B102" i="5"/>
  <c r="B185" i="8" s="1"/>
  <c r="T122" i="8"/>
  <c r="B73" i="5"/>
  <c r="V136" i="8"/>
  <c r="V140" i="8" s="1"/>
  <c r="AD140" i="8"/>
  <c r="AD168" i="8"/>
  <c r="L253" i="1"/>
  <c r="K257" i="1"/>
  <c r="D25" i="8"/>
  <c r="E14" i="8"/>
  <c r="H204" i="1"/>
  <c r="C33" i="8"/>
  <c r="C75" i="8" s="1"/>
  <c r="C104" i="8"/>
  <c r="C234" i="8" s="1"/>
  <c r="B17" i="8"/>
  <c r="O136" i="8"/>
  <c r="O140" i="8" s="1"/>
  <c r="B69" i="5"/>
  <c r="B74" i="5" s="1"/>
  <c r="W122" i="8"/>
  <c r="AG139" i="8"/>
  <c r="AG140" i="8" s="1"/>
  <c r="AG168" i="8"/>
  <c r="C22" i="8"/>
  <c r="M139" i="8"/>
  <c r="M140" i="8" s="1"/>
  <c r="U139" i="8"/>
  <c r="U131" i="8"/>
  <c r="AE139" i="8"/>
  <c r="J280" i="1"/>
  <c r="N271" i="1"/>
  <c r="M274" i="1"/>
  <c r="J260" i="1"/>
  <c r="J282" i="1"/>
  <c r="J261" i="1"/>
  <c r="K254" i="1"/>
  <c r="J256" i="1"/>
  <c r="J255" i="1"/>
  <c r="J315" i="1"/>
  <c r="J312" i="1"/>
  <c r="K311" i="1"/>
  <c r="Z140" i="8"/>
  <c r="Z186" i="8" s="1"/>
  <c r="E9" i="8"/>
  <c r="F20" i="8"/>
  <c r="G20" i="8" s="1"/>
  <c r="H20" i="8" s="1"/>
  <c r="T136" i="8"/>
  <c r="Y136" i="8"/>
  <c r="Y140" i="8" s="1"/>
  <c r="Y168" i="8" s="1"/>
  <c r="G266" i="1"/>
  <c r="G265" i="1"/>
  <c r="G283" i="1"/>
  <c r="H258" i="1"/>
  <c r="J289" i="1"/>
  <c r="K287" i="1"/>
  <c r="L287" i="1"/>
  <c r="M287" i="1" s="1"/>
  <c r="N287" i="1"/>
  <c r="O287" i="1" s="1"/>
  <c r="P287" i="1" s="1"/>
  <c r="Q287" i="1" s="1"/>
  <c r="R287" i="1" s="1"/>
  <c r="S287" i="1" s="1"/>
  <c r="T287" i="1" s="1"/>
  <c r="U287" i="1" s="1"/>
  <c r="V287" i="1" s="1"/>
  <c r="W287" i="1" s="1"/>
  <c r="X287" i="1" s="1"/>
  <c r="Y287" i="1" s="1"/>
  <c r="Z287" i="1" s="1"/>
  <c r="AA287" i="1" s="1"/>
  <c r="AB287" i="1" s="1"/>
  <c r="AC287" i="1" s="1"/>
  <c r="AD287" i="1" s="1"/>
  <c r="AE287" i="1" s="1"/>
  <c r="AF287" i="1" s="1"/>
  <c r="AG287" i="1" s="1"/>
  <c r="AH287" i="1" s="1"/>
  <c r="AI287" i="1" s="1"/>
  <c r="AJ287" i="1" s="1"/>
  <c r="AK287" i="1" s="1"/>
  <c r="B37" i="8"/>
  <c r="B69" i="1"/>
  <c r="B116" i="8"/>
  <c r="B117" i="8"/>
  <c r="B43" i="8"/>
  <c r="C119" i="8"/>
  <c r="C128" i="8"/>
  <c r="B77" i="1"/>
  <c r="B125" i="8"/>
  <c r="B49" i="8"/>
  <c r="B119" i="8"/>
  <c r="J177" i="1"/>
  <c r="N131" i="8"/>
  <c r="D27" i="8"/>
  <c r="H122" i="8"/>
  <c r="D60" i="1"/>
  <c r="D73" i="1"/>
  <c r="E60" i="1"/>
  <c r="H252" i="1"/>
  <c r="G285" i="1"/>
  <c r="C285" i="1"/>
  <c r="B252" i="1"/>
  <c r="D125" i="8"/>
  <c r="D127" i="8"/>
  <c r="J267" i="1"/>
  <c r="J304" i="1"/>
  <c r="I317" i="1"/>
  <c r="I305" i="1"/>
  <c r="I308" i="1"/>
  <c r="G300" i="1"/>
  <c r="G318" i="1"/>
  <c r="H302" i="1"/>
  <c r="C69" i="1"/>
  <c r="C108" i="1" s="1"/>
  <c r="C127" i="1"/>
  <c r="C117" i="8"/>
  <c r="C43" i="8"/>
  <c r="B128" i="8"/>
  <c r="B63" i="8"/>
  <c r="B67" i="8" s="1"/>
  <c r="C65" i="8" s="1"/>
  <c r="C66" i="8" s="1"/>
  <c r="B126" i="8"/>
  <c r="K295" i="1"/>
  <c r="K296" i="1" s="1"/>
  <c r="L288" i="1"/>
  <c r="K290" i="1"/>
  <c r="K289" i="1"/>
  <c r="N270" i="1"/>
  <c r="O269" i="1"/>
  <c r="P269" i="1" s="1"/>
  <c r="Q269" i="1" s="1"/>
  <c r="Q270" i="1" s="1"/>
  <c r="F63" i="1"/>
  <c r="F74" i="1"/>
  <c r="F76" i="1"/>
  <c r="F129" i="8"/>
  <c r="F73" i="1"/>
  <c r="F75" i="1"/>
  <c r="F72" i="1"/>
  <c r="F64" i="1"/>
  <c r="F68" i="1"/>
  <c r="F120" i="8" s="1"/>
  <c r="F138" i="8" s="1"/>
  <c r="F71" i="1"/>
  <c r="F125" i="8" s="1"/>
  <c r="G62" i="1"/>
  <c r="F65" i="1"/>
  <c r="F67" i="1"/>
  <c r="F66" i="1"/>
  <c r="C134" i="8"/>
  <c r="E24" i="8"/>
  <c r="D16" i="8"/>
  <c r="F15" i="8"/>
  <c r="AB168" i="8"/>
  <c r="K136" i="8"/>
  <c r="K140" i="8" s="1"/>
  <c r="K168" i="8" s="1"/>
  <c r="K139" i="8"/>
  <c r="AB131" i="8"/>
  <c r="X136" i="8"/>
  <c r="X140" i="8"/>
  <c r="X168" i="8" s="1"/>
  <c r="P136" i="8"/>
  <c r="P140" i="8"/>
  <c r="B8" i="2"/>
  <c r="C5" i="5"/>
  <c r="B79" i="5"/>
  <c r="B42" i="5"/>
  <c r="B104" i="5"/>
  <c r="E267" i="8"/>
  <c r="F267" i="8" s="1"/>
  <c r="G267" i="8" s="1"/>
  <c r="H267" i="8" s="1"/>
  <c r="I267" i="8" s="1"/>
  <c r="J267" i="8" s="1"/>
  <c r="J276" i="8" s="1"/>
  <c r="D276" i="8"/>
  <c r="H140" i="8"/>
  <c r="H168" i="8" s="1"/>
  <c r="C57" i="8"/>
  <c r="D57" i="8"/>
  <c r="N13" i="2"/>
  <c r="N14" i="2"/>
  <c r="D19" i="8"/>
  <c r="E25" i="8"/>
  <c r="F25" i="8" s="1"/>
  <c r="B236" i="8"/>
  <c r="L278" i="1"/>
  <c r="K281" i="1"/>
  <c r="D33" i="8"/>
  <c r="AD186" i="8"/>
  <c r="D52" i="1"/>
  <c r="N186" i="8"/>
  <c r="AB186" i="8"/>
  <c r="D22" i="8"/>
  <c r="E21" i="8"/>
  <c r="F21" i="8" s="1"/>
  <c r="AA140" i="8"/>
  <c r="AA168" i="8"/>
  <c r="J13" i="2"/>
  <c r="J14" i="2"/>
  <c r="J186" i="8"/>
  <c r="AD13" i="2"/>
  <c r="AD14" i="2" s="1"/>
  <c r="V168" i="8"/>
  <c r="R186" i="8"/>
  <c r="AA186" i="8"/>
  <c r="AA13" i="2"/>
  <c r="AA14" i="2" s="1"/>
  <c r="F9" i="8"/>
  <c r="G9" i="8" s="1"/>
  <c r="W168" i="8"/>
  <c r="AG13" i="2"/>
  <c r="AG14" i="2" s="1"/>
  <c r="E10" i="8"/>
  <c r="L254" i="1"/>
  <c r="O271" i="1"/>
  <c r="O274" i="1" s="1"/>
  <c r="N274" i="1"/>
  <c r="L257" i="1"/>
  <c r="M253" i="1"/>
  <c r="J168" i="8"/>
  <c r="W186" i="8"/>
  <c r="AG186" i="8"/>
  <c r="L311" i="1"/>
  <c r="K315" i="1"/>
  <c r="K312" i="1"/>
  <c r="G75" i="1"/>
  <c r="G68" i="1"/>
  <c r="G120" i="8"/>
  <c r="G65" i="1"/>
  <c r="G73" i="1"/>
  <c r="G63" i="1"/>
  <c r="G76" i="1"/>
  <c r="G129" i="8" s="1"/>
  <c r="G71" i="1"/>
  <c r="G66" i="1"/>
  <c r="G64" i="1"/>
  <c r="G67" i="1"/>
  <c r="G119" i="8" s="1"/>
  <c r="G72" i="1"/>
  <c r="G126" i="8"/>
  <c r="G74" i="1"/>
  <c r="F126" i="8"/>
  <c r="O270" i="1"/>
  <c r="L295" i="1"/>
  <c r="L290" i="1"/>
  <c r="C118" i="8"/>
  <c r="C135" i="8"/>
  <c r="I302" i="1"/>
  <c r="H300" i="1"/>
  <c r="H318" i="1"/>
  <c r="K267" i="1"/>
  <c r="L267" i="1" s="1"/>
  <c r="D128" i="8"/>
  <c r="D130" i="8"/>
  <c r="D131" i="8" s="1"/>
  <c r="J187" i="1"/>
  <c r="J198" i="1"/>
  <c r="K177" i="1"/>
  <c r="C49" i="8"/>
  <c r="B53" i="8"/>
  <c r="C51" i="8" s="1"/>
  <c r="C52" i="8" s="1"/>
  <c r="C53" i="8" s="1"/>
  <c r="D51" i="8" s="1"/>
  <c r="D52" i="8" s="1"/>
  <c r="D53" i="8" s="1"/>
  <c r="C121" i="8"/>
  <c r="C122" i="8" s="1"/>
  <c r="B135" i="8"/>
  <c r="B108" i="1"/>
  <c r="H265" i="1"/>
  <c r="H283" i="1"/>
  <c r="I258" i="1"/>
  <c r="H266" i="1"/>
  <c r="B89" i="8"/>
  <c r="B93" i="8"/>
  <c r="K13" i="2"/>
  <c r="K14" i="2" s="1"/>
  <c r="C136" i="8"/>
  <c r="F77" i="1"/>
  <c r="F116" i="8"/>
  <c r="J317" i="1"/>
  <c r="J305" i="1"/>
  <c r="J308" i="1"/>
  <c r="K304" i="1"/>
  <c r="D77" i="1"/>
  <c r="B284" i="1"/>
  <c r="C284" i="1"/>
  <c r="D284" i="1" s="1"/>
  <c r="E284" i="1"/>
  <c r="F284" i="1" s="1"/>
  <c r="G284" i="1" s="1"/>
  <c r="H284" i="1" s="1"/>
  <c r="I284" i="1"/>
  <c r="J284" i="1" s="1"/>
  <c r="K284" i="1" s="1"/>
  <c r="L284" i="1" s="1"/>
  <c r="M284" i="1" s="1"/>
  <c r="N284" i="1" s="1"/>
  <c r="O284" i="1" s="1"/>
  <c r="P284" i="1" s="1"/>
  <c r="Q284" i="1" s="1"/>
  <c r="R284" i="1" s="1"/>
  <c r="S284" i="1" s="1"/>
  <c r="T284" i="1" s="1"/>
  <c r="U284" i="1" s="1"/>
  <c r="V284" i="1" s="1"/>
  <c r="W284" i="1" s="1"/>
  <c r="X284" i="1" s="1"/>
  <c r="Y284" i="1" s="1"/>
  <c r="Z284" i="1" s="1"/>
  <c r="AA284" i="1" s="1"/>
  <c r="AB284" i="1" s="1"/>
  <c r="AC284" i="1" s="1"/>
  <c r="AD284" i="1" s="1"/>
  <c r="AE284" i="1" s="1"/>
  <c r="AF284" i="1" s="1"/>
  <c r="AG284" i="1" s="1"/>
  <c r="AH284" i="1" s="1"/>
  <c r="AI284" i="1" s="1"/>
  <c r="AJ284" i="1" s="1"/>
  <c r="AK284" i="1" s="1"/>
  <c r="B285" i="1"/>
  <c r="H285" i="1"/>
  <c r="I252" i="1"/>
  <c r="B121" i="8"/>
  <c r="B137" i="8"/>
  <c r="B127" i="8"/>
  <c r="B77" i="8"/>
  <c r="B81" i="8" s="1"/>
  <c r="C79" i="8" s="1"/>
  <c r="K186" i="8"/>
  <c r="E8" i="8"/>
  <c r="E19" i="8"/>
  <c r="H13" i="2"/>
  <c r="H14" i="2" s="1"/>
  <c r="H186" i="8"/>
  <c r="B109" i="5"/>
  <c r="B107" i="5"/>
  <c r="C79" i="5"/>
  <c r="B108" i="5"/>
  <c r="B105" i="5"/>
  <c r="B103" i="5"/>
  <c r="E276" i="8"/>
  <c r="C104" i="5"/>
  <c r="F14" i="8"/>
  <c r="G14" i="8" s="1"/>
  <c r="C183" i="8"/>
  <c r="F127" i="8"/>
  <c r="P271" i="1"/>
  <c r="P274" i="1" s="1"/>
  <c r="L312" i="1"/>
  <c r="M311" i="1"/>
  <c r="L315" i="1"/>
  <c r="M257" i="1"/>
  <c r="N253" i="1"/>
  <c r="N257" i="1" s="1"/>
  <c r="F134" i="8"/>
  <c r="K198" i="1"/>
  <c r="G128" i="8"/>
  <c r="G130" i="8" s="1"/>
  <c r="J252" i="1"/>
  <c r="J285" i="1" s="1"/>
  <c r="I285" i="1"/>
  <c r="K308" i="1"/>
  <c r="L304" i="1"/>
  <c r="K305" i="1"/>
  <c r="J258" i="1"/>
  <c r="I265" i="1"/>
  <c r="I283" i="1" s="1"/>
  <c r="I266" i="1"/>
  <c r="J199" i="1"/>
  <c r="J24" i="5"/>
  <c r="P270" i="1"/>
  <c r="G125" i="8"/>
  <c r="G127" i="8" s="1"/>
  <c r="G131" i="8" s="1"/>
  <c r="G116" i="8"/>
  <c r="D79" i="5"/>
  <c r="E79" i="5" s="1"/>
  <c r="F79" i="5" s="1"/>
  <c r="G79" i="5" s="1"/>
  <c r="H79" i="5"/>
  <c r="I79" i="5" s="1"/>
  <c r="J79" i="5" s="1"/>
  <c r="K79" i="5" s="1"/>
  <c r="L79" i="5" s="1"/>
  <c r="M79" i="5" s="1"/>
  <c r="N79" i="5" s="1"/>
  <c r="O79" i="5" s="1"/>
  <c r="P79" i="5" s="1"/>
  <c r="Q79" i="5" s="1"/>
  <c r="R79" i="5" s="1"/>
  <c r="S79" i="5" s="1"/>
  <c r="T79" i="5" s="1"/>
  <c r="U79" i="5" s="1"/>
  <c r="V79" i="5" s="1"/>
  <c r="W79" i="5" s="1"/>
  <c r="X79" i="5" s="1"/>
  <c r="Y79" i="5" s="1"/>
  <c r="Z79" i="5" s="1"/>
  <c r="AA79" i="5" s="1"/>
  <c r="AB79" i="5" s="1"/>
  <c r="AC79" i="5" s="1"/>
  <c r="AD79" i="5" s="1"/>
  <c r="AE79" i="5" s="1"/>
  <c r="AF79" i="5" s="1"/>
  <c r="AG79" i="5" s="1"/>
  <c r="AH79" i="5" s="1"/>
  <c r="C103" i="5"/>
  <c r="F276" i="8"/>
  <c r="G25" i="8"/>
  <c r="G137" i="8"/>
  <c r="M312" i="1"/>
  <c r="N311" i="1"/>
  <c r="M315" i="1"/>
  <c r="O253" i="1"/>
  <c r="O257" i="1" s="1"/>
  <c r="R269" i="1"/>
  <c r="K258" i="1"/>
  <c r="L258" i="1" s="1"/>
  <c r="J266" i="1"/>
  <c r="J265" i="1"/>
  <c r="K252" i="1"/>
  <c r="K285" i="1" s="1"/>
  <c r="M304" i="1"/>
  <c r="M308" i="1"/>
  <c r="L308" i="1"/>
  <c r="L305" i="1"/>
  <c r="G276" i="8"/>
  <c r="P253" i="1"/>
  <c r="Q253" i="1" s="1"/>
  <c r="Q257" i="1" s="1"/>
  <c r="N304" i="1"/>
  <c r="L265" i="1"/>
  <c r="K265" i="1"/>
  <c r="K266" i="1"/>
  <c r="L252" i="1"/>
  <c r="H276" i="8"/>
  <c r="M258" i="1"/>
  <c r="N258" i="1" s="1"/>
  <c r="O258" i="1" s="1"/>
  <c r="P258" i="1" s="1"/>
  <c r="Q258" i="1" s="1"/>
  <c r="R258" i="1" s="1"/>
  <c r="S258" i="1" s="1"/>
  <c r="T258" i="1" s="1"/>
  <c r="U258" i="1" s="1"/>
  <c r="N305" i="1"/>
  <c r="N308" i="1"/>
  <c r="O304" i="1"/>
  <c r="I276" i="8"/>
  <c r="R253" i="1"/>
  <c r="O305" i="1"/>
  <c r="K267" i="8"/>
  <c r="K276" i="8" s="1"/>
  <c r="L267" i="8"/>
  <c r="B283" i="8"/>
  <c r="M305" i="1"/>
  <c r="Q140" i="8"/>
  <c r="Q168" i="8" s="1"/>
  <c r="B183" i="8"/>
  <c r="B234" i="8"/>
  <c r="U140" i="8"/>
  <c r="I140" i="8"/>
  <c r="I186" i="8" s="1"/>
  <c r="AE140" i="8"/>
  <c r="AF140" i="8"/>
  <c r="AF168" i="8" s="1"/>
  <c r="B24" i="7"/>
  <c r="B25" i="7"/>
  <c r="D138" i="8"/>
  <c r="C127" i="8"/>
  <c r="E74" i="1"/>
  <c r="E71" i="1"/>
  <c r="E68" i="1"/>
  <c r="E120" i="8" s="1"/>
  <c r="E76" i="1"/>
  <c r="E129" i="8"/>
  <c r="E138" i="8" s="1"/>
  <c r="G52" i="1"/>
  <c r="H131" i="8"/>
  <c r="AC139" i="8"/>
  <c r="AC140" i="8"/>
  <c r="AA122" i="8"/>
  <c r="F317" i="1"/>
  <c r="B283" i="1"/>
  <c r="B318" i="1"/>
  <c r="C390" i="1"/>
  <c r="B417" i="1"/>
  <c r="L263" i="1"/>
  <c r="H419" i="1"/>
  <c r="H18" i="7" s="1"/>
  <c r="S151" i="8"/>
  <c r="S154" i="8"/>
  <c r="S164" i="8" s="1"/>
  <c r="AH140" i="8"/>
  <c r="F26" i="8"/>
  <c r="G26" i="8"/>
  <c r="H255" i="1"/>
  <c r="H257" i="1"/>
  <c r="W151" i="8"/>
  <c r="W154" i="8" s="1"/>
  <c r="W164" i="8" s="1"/>
  <c r="T137" i="8"/>
  <c r="T139" i="8"/>
  <c r="T140" i="8" s="1"/>
  <c r="E52" i="1"/>
  <c r="D119" i="8"/>
  <c r="D121" i="8"/>
  <c r="X13" i="2"/>
  <c r="X14" i="2" s="1"/>
  <c r="X186" i="8"/>
  <c r="G121" i="8"/>
  <c r="P168" i="8"/>
  <c r="C61" i="8"/>
  <c r="D59" i="8"/>
  <c r="D60" i="8" s="1"/>
  <c r="D61" i="8" s="1"/>
  <c r="B130" i="8"/>
  <c r="B131" i="8"/>
  <c r="B138" i="8"/>
  <c r="B139" i="8"/>
  <c r="C138" i="8"/>
  <c r="C17" i="8"/>
  <c r="D11" i="8"/>
  <c r="E128" i="8"/>
  <c r="J439" i="1"/>
  <c r="I204" i="1"/>
  <c r="I198" i="1"/>
  <c r="I181" i="1"/>
  <c r="I7" i="5" s="1"/>
  <c r="I183" i="1"/>
  <c r="I9" i="5" s="1"/>
  <c r="I184" i="1"/>
  <c r="I196" i="1"/>
  <c r="I17" i="5" s="1"/>
  <c r="I189" i="1"/>
  <c r="E198" i="1"/>
  <c r="F207" i="1"/>
  <c r="I207" i="1" s="1"/>
  <c r="F217" i="1"/>
  <c r="F208" i="1"/>
  <c r="H208" i="1" s="1"/>
  <c r="F223" i="1"/>
  <c r="G196" i="1"/>
  <c r="G185" i="1"/>
  <c r="G223" i="1"/>
  <c r="G249" i="1" s="1"/>
  <c r="E200" i="1"/>
  <c r="E196" i="1"/>
  <c r="F219" i="1"/>
  <c r="F218" i="1"/>
  <c r="H218" i="1" s="1"/>
  <c r="F189" i="1"/>
  <c r="G198" i="1"/>
  <c r="G247" i="1" s="1"/>
  <c r="G218" i="1"/>
  <c r="G181" i="1"/>
  <c r="G7" i="5" s="1"/>
  <c r="G194" i="1"/>
  <c r="H195" i="1"/>
  <c r="H181" i="1"/>
  <c r="H196" i="1"/>
  <c r="H17" i="5" s="1"/>
  <c r="C183" i="1"/>
  <c r="D185" i="1"/>
  <c r="D234" i="1" s="1"/>
  <c r="C187" i="1"/>
  <c r="D198" i="1"/>
  <c r="D24" i="5" s="1"/>
  <c r="C192" i="1"/>
  <c r="D184" i="1"/>
  <c r="D10" i="5" s="1"/>
  <c r="C185" i="1"/>
  <c r="D194" i="1"/>
  <c r="D243" i="1" s="1"/>
  <c r="E192" i="1"/>
  <c r="E189" i="1"/>
  <c r="F187" i="1"/>
  <c r="F184" i="1"/>
  <c r="F233" i="1" s="1"/>
  <c r="F192" i="1"/>
  <c r="G192" i="1"/>
  <c r="G221" i="1"/>
  <c r="G222" i="1"/>
  <c r="G207" i="1"/>
  <c r="G219" i="1"/>
  <c r="H187" i="1"/>
  <c r="E194" i="1"/>
  <c r="E181" i="1"/>
  <c r="F206" i="1"/>
  <c r="F196" i="1"/>
  <c r="F216" i="1"/>
  <c r="G200" i="1"/>
  <c r="G215" i="1"/>
  <c r="G216" i="1"/>
  <c r="H192" i="1"/>
  <c r="H183" i="1"/>
  <c r="H189" i="1"/>
  <c r="H205" i="1"/>
  <c r="C184" i="1"/>
  <c r="C182" i="1"/>
  <c r="D189" i="1"/>
  <c r="C200" i="1"/>
  <c r="D196" i="1"/>
  <c r="D181" i="1"/>
  <c r="C418" i="1"/>
  <c r="I187" i="1"/>
  <c r="I192" i="1"/>
  <c r="I200" i="1"/>
  <c r="E183" i="1"/>
  <c r="E185" i="1"/>
  <c r="E11" i="5" s="1"/>
  <c r="F215" i="1"/>
  <c r="F221" i="1"/>
  <c r="F193" i="1"/>
  <c r="G206" i="1"/>
  <c r="G232" i="1" s="1"/>
  <c r="G46" i="5" s="1"/>
  <c r="G189" i="1"/>
  <c r="G212" i="1"/>
  <c r="G238" i="1" s="1"/>
  <c r="H185" i="1"/>
  <c r="H193" i="1"/>
  <c r="H14" i="5" s="1"/>
  <c r="E187" i="1"/>
  <c r="F181" i="1"/>
  <c r="F183" i="1"/>
  <c r="F210" i="1"/>
  <c r="J210" i="1" s="1"/>
  <c r="F212" i="1"/>
  <c r="G210" i="1"/>
  <c r="G195" i="1"/>
  <c r="G182" i="1"/>
  <c r="G183" i="1"/>
  <c r="H182" i="1"/>
  <c r="C193" i="1"/>
  <c r="D195" i="1"/>
  <c r="C198" i="1"/>
  <c r="D193" i="1"/>
  <c r="S436" i="1"/>
  <c r="C181" i="1"/>
  <c r="D182" i="1"/>
  <c r="D187" i="1"/>
  <c r="D192" i="1"/>
  <c r="D13" i="5" s="1"/>
  <c r="E184" i="1"/>
  <c r="E182" i="1"/>
  <c r="E231" i="1" s="1"/>
  <c r="F200" i="1"/>
  <c r="F182" i="1"/>
  <c r="F205" i="1"/>
  <c r="G208" i="1"/>
  <c r="G217" i="1"/>
  <c r="G205" i="1"/>
  <c r="H200" i="1"/>
  <c r="H194" i="1"/>
  <c r="E195" i="1"/>
  <c r="E193" i="1"/>
  <c r="F195" i="1"/>
  <c r="F185" i="1"/>
  <c r="F194" i="1"/>
  <c r="F198" i="1"/>
  <c r="G187" i="1"/>
  <c r="G193" i="1"/>
  <c r="G184" i="1"/>
  <c r="C195" i="1"/>
  <c r="C244" i="1" s="1"/>
  <c r="C189" i="1"/>
  <c r="D183" i="1"/>
  <c r="C196" i="1"/>
  <c r="C194" i="1"/>
  <c r="D200" i="1"/>
  <c r="H184" i="1"/>
  <c r="H198" i="1"/>
  <c r="W131" i="8"/>
  <c r="B308" i="8"/>
  <c r="B306" i="8"/>
  <c r="B299" i="8" s="1"/>
  <c r="B64" i="5"/>
  <c r="B65" i="5" s="1"/>
  <c r="N298" i="1"/>
  <c r="J421" i="1"/>
  <c r="E135" i="8"/>
  <c r="K131" i="8"/>
  <c r="I293" i="1"/>
  <c r="J292" i="1"/>
  <c r="AA127" i="8"/>
  <c r="AA131" i="8" s="1"/>
  <c r="L137" i="8"/>
  <c r="L139" i="8" s="1"/>
  <c r="L140" i="8"/>
  <c r="H293" i="1"/>
  <c r="I421" i="1"/>
  <c r="C318" i="1"/>
  <c r="Z127" i="8"/>
  <c r="Z131" i="8" s="1"/>
  <c r="AD130" i="8"/>
  <c r="AD131" i="8" s="1"/>
  <c r="AG16" i="2"/>
  <c r="E66" i="1"/>
  <c r="E65" i="1"/>
  <c r="D116" i="8"/>
  <c r="D134" i="8"/>
  <c r="D136" i="8" s="1"/>
  <c r="D69" i="1"/>
  <c r="E118" i="8"/>
  <c r="D49" i="8"/>
  <c r="D135" i="8"/>
  <c r="D118" i="8"/>
  <c r="D122" i="8"/>
  <c r="D387" i="1"/>
  <c r="M263" i="1"/>
  <c r="I419" i="1"/>
  <c r="I7" i="7" s="1"/>
  <c r="D390" i="1"/>
  <c r="C417" i="1"/>
  <c r="I168" i="8"/>
  <c r="I13" i="2"/>
  <c r="I14" i="2" s="1"/>
  <c r="M168" i="8"/>
  <c r="G15" i="8"/>
  <c r="H26" i="8" s="1"/>
  <c r="I26" i="8" s="1"/>
  <c r="J26" i="8" s="1"/>
  <c r="AH186" i="8"/>
  <c r="H7" i="7"/>
  <c r="AE186" i="8"/>
  <c r="AE168" i="8"/>
  <c r="AE13" i="2"/>
  <c r="AE14" i="2"/>
  <c r="U186" i="8"/>
  <c r="U168" i="8"/>
  <c r="U13" i="2"/>
  <c r="U14" i="2"/>
  <c r="D137" i="8"/>
  <c r="D139" i="8" s="1"/>
  <c r="L186" i="8"/>
  <c r="J293" i="1"/>
  <c r="K292" i="1"/>
  <c r="J10" i="7"/>
  <c r="J21" i="7"/>
  <c r="B167" i="8"/>
  <c r="C243" i="1"/>
  <c r="C52" i="5" s="1"/>
  <c r="C89" i="5" s="1"/>
  <c r="C15" i="5"/>
  <c r="C16" i="5"/>
  <c r="C53" i="5"/>
  <c r="C90" i="5" s="1"/>
  <c r="F199" i="1"/>
  <c r="F234" i="1"/>
  <c r="F48" i="5" s="1"/>
  <c r="F85" i="5" s="1"/>
  <c r="F11" i="5"/>
  <c r="H15" i="5"/>
  <c r="E8" i="5"/>
  <c r="E45" i="5"/>
  <c r="D241" i="1"/>
  <c r="D50" i="5" s="1"/>
  <c r="D87" i="5"/>
  <c r="T436" i="1"/>
  <c r="U436" i="1" s="1"/>
  <c r="V436" i="1" s="1"/>
  <c r="W436" i="1" s="1"/>
  <c r="X436" i="1"/>
  <c r="Y436" i="1" s="1"/>
  <c r="Z436" i="1" s="1"/>
  <c r="C24" i="5"/>
  <c r="G9" i="5"/>
  <c r="I212" i="1"/>
  <c r="H212" i="1"/>
  <c r="F232" i="1"/>
  <c r="F46" i="5" s="1"/>
  <c r="F9" i="5"/>
  <c r="F83" i="5" s="1"/>
  <c r="E188" i="1"/>
  <c r="E20" i="5"/>
  <c r="E236" i="1"/>
  <c r="E57" i="5"/>
  <c r="I13" i="5"/>
  <c r="D230" i="1"/>
  <c r="D44" i="5"/>
  <c r="D7" i="5"/>
  <c r="C249" i="1"/>
  <c r="C63" i="5" s="1"/>
  <c r="C26" i="5"/>
  <c r="C8" i="5"/>
  <c r="C231" i="1"/>
  <c r="C45" i="5" s="1"/>
  <c r="C82" i="5" s="1"/>
  <c r="H9" i="5"/>
  <c r="G63" i="5"/>
  <c r="G100" i="5" s="1"/>
  <c r="G26" i="5"/>
  <c r="F245" i="1"/>
  <c r="F54" i="5" s="1"/>
  <c r="F17" i="5"/>
  <c r="E230" i="1"/>
  <c r="E7" i="5"/>
  <c r="H188" i="1"/>
  <c r="H20" i="5"/>
  <c r="G13" i="5"/>
  <c r="F47" i="5"/>
  <c r="F84" i="5" s="1"/>
  <c r="F10" i="5"/>
  <c r="D15" i="5"/>
  <c r="D52" i="5"/>
  <c r="D233" i="1"/>
  <c r="D47" i="5" s="1"/>
  <c r="D247" i="1"/>
  <c r="D61" i="5" s="1"/>
  <c r="D98" i="5" s="1"/>
  <c r="D199" i="1"/>
  <c r="D11" i="5"/>
  <c r="D48" i="5"/>
  <c r="H16" i="5"/>
  <c r="G230" i="1"/>
  <c r="G44" i="5" s="1"/>
  <c r="G24" i="5"/>
  <c r="G61" i="5"/>
  <c r="G199" i="1"/>
  <c r="H244" i="1"/>
  <c r="H53" i="5" s="1"/>
  <c r="I218" i="1"/>
  <c r="G17" i="5"/>
  <c r="I208" i="1"/>
  <c r="H207" i="1"/>
  <c r="I22" i="5"/>
  <c r="I10" i="5"/>
  <c r="I230" i="1"/>
  <c r="I44" i="5" s="1"/>
  <c r="K439" i="1"/>
  <c r="J205" i="1" s="1"/>
  <c r="J204" i="1"/>
  <c r="H199" i="1"/>
  <c r="H24" i="5"/>
  <c r="D249" i="1"/>
  <c r="D63" i="5" s="1"/>
  <c r="D26" i="5"/>
  <c r="C245" i="1"/>
  <c r="C54" i="5"/>
  <c r="C17" i="5"/>
  <c r="C238" i="1"/>
  <c r="C59" i="5" s="1"/>
  <c r="C22" i="5"/>
  <c r="G233" i="1"/>
  <c r="G47" i="5"/>
  <c r="G10" i="5"/>
  <c r="G188" i="1"/>
  <c r="G21" i="5" s="1"/>
  <c r="G20" i="5"/>
  <c r="F243" i="1"/>
  <c r="F52" i="5" s="1"/>
  <c r="F15" i="5"/>
  <c r="F89" i="5" s="1"/>
  <c r="F16" i="5"/>
  <c r="F244" i="1"/>
  <c r="F53" i="5" s="1"/>
  <c r="F304" i="8" s="1"/>
  <c r="E16" i="5"/>
  <c r="E244" i="1"/>
  <c r="E53" i="5" s="1"/>
  <c r="H26" i="5"/>
  <c r="I205" i="1"/>
  <c r="F249" i="1"/>
  <c r="F63" i="5" s="1"/>
  <c r="F100" i="5" s="1"/>
  <c r="F26" i="5"/>
  <c r="E233" i="1"/>
  <c r="E47" i="5"/>
  <c r="E10" i="5"/>
  <c r="D236" i="1"/>
  <c r="D57" i="5" s="1"/>
  <c r="D188" i="1"/>
  <c r="D237" i="1" s="1"/>
  <c r="D20" i="5"/>
  <c r="C230" i="1"/>
  <c r="C44" i="5" s="1"/>
  <c r="C7" i="5"/>
  <c r="D242" i="1"/>
  <c r="D51" i="5"/>
  <c r="D14" i="5"/>
  <c r="D244" i="1"/>
  <c r="D53" i="5" s="1"/>
  <c r="D304" i="8" s="1"/>
  <c r="D16" i="5"/>
  <c r="H231" i="1"/>
  <c r="H45" i="5"/>
  <c r="H82" i="5" s="1"/>
  <c r="H8" i="5"/>
  <c r="G231" i="1"/>
  <c r="G45" i="5" s="1"/>
  <c r="G82" i="5" s="1"/>
  <c r="G8" i="5"/>
  <c r="H210" i="1"/>
  <c r="I210" i="1"/>
  <c r="H11" i="5"/>
  <c r="H234" i="1"/>
  <c r="H48" i="5"/>
  <c r="G59" i="5"/>
  <c r="G96" i="5" s="1"/>
  <c r="G22" i="5"/>
  <c r="F14" i="5"/>
  <c r="F242" i="1"/>
  <c r="F51" i="5"/>
  <c r="F88" i="5" s="1"/>
  <c r="H215" i="1"/>
  <c r="H241" i="1"/>
  <c r="H50" i="5" s="1"/>
  <c r="H87" i="5" s="1"/>
  <c r="I215" i="1"/>
  <c r="I241" i="1"/>
  <c r="I50" i="5" s="1"/>
  <c r="I87" i="5"/>
  <c r="E232" i="1"/>
  <c r="E46" i="5"/>
  <c r="E83" i="5" s="1"/>
  <c r="E9" i="5"/>
  <c r="I20" i="5"/>
  <c r="I188" i="1"/>
  <c r="C6" i="7"/>
  <c r="C17" i="7"/>
  <c r="D245" i="1"/>
  <c r="D54" i="5"/>
  <c r="D17" i="5"/>
  <c r="D238" i="1"/>
  <c r="D59" i="5" s="1"/>
  <c r="D22" i="5"/>
  <c r="C233" i="1"/>
  <c r="C47" i="5"/>
  <c r="C84" i="5" s="1"/>
  <c r="C10" i="5"/>
  <c r="H22" i="5"/>
  <c r="H238" i="1"/>
  <c r="H59" i="5"/>
  <c r="H96" i="5" s="1"/>
  <c r="H13" i="5"/>
  <c r="I216" i="1"/>
  <c r="H216" i="1"/>
  <c r="H242" i="1"/>
  <c r="H51" i="5" s="1"/>
  <c r="H88" i="5" s="1"/>
  <c r="I206" i="1"/>
  <c r="H206" i="1"/>
  <c r="H232" i="1"/>
  <c r="H46" i="5" s="1"/>
  <c r="H83" i="5" s="1"/>
  <c r="E15" i="5"/>
  <c r="E243" i="1"/>
  <c r="E52" i="5" s="1"/>
  <c r="F13" i="5"/>
  <c r="F241" i="1"/>
  <c r="F50" i="5"/>
  <c r="F188" i="1"/>
  <c r="F236" i="1"/>
  <c r="F57" i="5" s="1"/>
  <c r="F94" i="5" s="1"/>
  <c r="F20" i="5"/>
  <c r="E241" i="1"/>
  <c r="E50" i="5"/>
  <c r="E13" i="5"/>
  <c r="C234" i="1"/>
  <c r="C48" i="5" s="1"/>
  <c r="C11" i="5"/>
  <c r="C241" i="1"/>
  <c r="C50" i="5"/>
  <c r="C87" i="5" s="1"/>
  <c r="C13" i="5"/>
  <c r="C236" i="1"/>
  <c r="C57" i="5" s="1"/>
  <c r="C188" i="1"/>
  <c r="C20" i="5"/>
  <c r="C232" i="1"/>
  <c r="C46" i="5" s="1"/>
  <c r="C9" i="5"/>
  <c r="H7" i="5"/>
  <c r="H230" i="1"/>
  <c r="H44" i="5"/>
  <c r="H301" i="8" s="1"/>
  <c r="G243" i="1"/>
  <c r="G52" i="5"/>
  <c r="G89" i="5" s="1"/>
  <c r="G15" i="5"/>
  <c r="F238" i="1"/>
  <c r="F59" i="5" s="1"/>
  <c r="F309" i="8" s="1"/>
  <c r="F22" i="5"/>
  <c r="H219" i="1"/>
  <c r="H245" i="1"/>
  <c r="H54" i="5" s="1"/>
  <c r="H91" i="5"/>
  <c r="I219" i="1"/>
  <c r="I245" i="1"/>
  <c r="I54" i="5" s="1"/>
  <c r="I91" i="5" s="1"/>
  <c r="E249" i="1"/>
  <c r="E63" i="5"/>
  <c r="E100" i="5" s="1"/>
  <c r="E26" i="5"/>
  <c r="G234" i="1"/>
  <c r="G48" i="5" s="1"/>
  <c r="G11" i="5"/>
  <c r="H223" i="1"/>
  <c r="H249" i="1"/>
  <c r="H63" i="5" s="1"/>
  <c r="I223" i="1"/>
  <c r="H217" i="1"/>
  <c r="H243" i="1" s="1"/>
  <c r="H52" i="5"/>
  <c r="H303" i="8" s="1"/>
  <c r="I217" i="1"/>
  <c r="E247" i="1"/>
  <c r="E61" i="5" s="1"/>
  <c r="E98" i="5" s="1"/>
  <c r="E24" i="5"/>
  <c r="E199" i="1"/>
  <c r="I24" i="5"/>
  <c r="I199" i="1"/>
  <c r="E11" i="8"/>
  <c r="E22" i="8"/>
  <c r="T13" i="2"/>
  <c r="T14" i="2" s="1"/>
  <c r="T186" i="8"/>
  <c r="T168" i="8"/>
  <c r="E49" i="8"/>
  <c r="E51" i="8" s="1"/>
  <c r="E52" i="8" s="1"/>
  <c r="E53" i="8" s="1"/>
  <c r="D108" i="1"/>
  <c r="D127" i="1" s="1"/>
  <c r="D412" i="1"/>
  <c r="E387" i="1"/>
  <c r="J217" i="1"/>
  <c r="J223" i="1"/>
  <c r="J219" i="1"/>
  <c r="J245" i="1" s="1"/>
  <c r="J54" i="5" s="1"/>
  <c r="J91" i="5" s="1"/>
  <c r="J206" i="1"/>
  <c r="J216" i="1"/>
  <c r="H100" i="5"/>
  <c r="F87" i="5"/>
  <c r="J215" i="1"/>
  <c r="J241" i="1" s="1"/>
  <c r="J50" i="5" s="1"/>
  <c r="J87" i="5" s="1"/>
  <c r="E84" i="5"/>
  <c r="H15" i="8"/>
  <c r="I15" i="8" s="1"/>
  <c r="J15" i="8" s="1"/>
  <c r="K15" i="8" s="1"/>
  <c r="D417" i="1"/>
  <c r="N263" i="1"/>
  <c r="J419" i="1"/>
  <c r="J18" i="7" s="1"/>
  <c r="D140" i="8"/>
  <c r="D186" i="8" s="1"/>
  <c r="H89" i="5"/>
  <c r="H90" i="5"/>
  <c r="E470" i="1"/>
  <c r="I25" i="5"/>
  <c r="F96" i="5"/>
  <c r="C21" i="5"/>
  <c r="F21" i="5"/>
  <c r="D96" i="5"/>
  <c r="I21" i="5"/>
  <c r="G309" i="8"/>
  <c r="D90" i="5"/>
  <c r="D88" i="5"/>
  <c r="D58" i="5"/>
  <c r="D308" i="8" s="1"/>
  <c r="E90" i="5"/>
  <c r="F90" i="5"/>
  <c r="G84" i="5"/>
  <c r="C309" i="8"/>
  <c r="C96" i="5"/>
  <c r="C91" i="5"/>
  <c r="D100" i="5"/>
  <c r="K204" i="1"/>
  <c r="L439" i="1"/>
  <c r="J181" i="1"/>
  <c r="J230" i="1" s="1"/>
  <c r="J44" i="5" s="1"/>
  <c r="J195" i="1"/>
  <c r="J194" i="1"/>
  <c r="J15" i="5" s="1"/>
  <c r="J192" i="1"/>
  <c r="J200" i="1"/>
  <c r="J249" i="1" s="1"/>
  <c r="J185" i="1"/>
  <c r="J183" i="1"/>
  <c r="J9" i="5" s="1"/>
  <c r="J196" i="1"/>
  <c r="J182" i="1"/>
  <c r="J231" i="1" s="1"/>
  <c r="J45" i="5" s="1"/>
  <c r="J189" i="1"/>
  <c r="J193" i="1"/>
  <c r="J14" i="5" s="1"/>
  <c r="J184" i="1"/>
  <c r="J207" i="1"/>
  <c r="J208" i="1"/>
  <c r="J234" i="1" s="1"/>
  <c r="J48" i="5" s="1"/>
  <c r="J85" i="5" s="1"/>
  <c r="G248" i="1"/>
  <c r="G62" i="5" s="1"/>
  <c r="G25" i="5"/>
  <c r="D248" i="1"/>
  <c r="D62" i="5" s="1"/>
  <c r="D99" i="5"/>
  <c r="D25" i="5"/>
  <c r="D84" i="5"/>
  <c r="D89" i="5"/>
  <c r="E44" i="5"/>
  <c r="F91" i="5"/>
  <c r="C100" i="5"/>
  <c r="D81" i="5"/>
  <c r="D301" i="8"/>
  <c r="AA436" i="1"/>
  <c r="AB436" i="1" s="1"/>
  <c r="E25" i="5"/>
  <c r="E248" i="1"/>
  <c r="E62" i="5"/>
  <c r="E99" i="5" s="1"/>
  <c r="C305" i="8"/>
  <c r="E89" i="5"/>
  <c r="H85" i="5"/>
  <c r="D94" i="5"/>
  <c r="F303" i="8"/>
  <c r="H25" i="5"/>
  <c r="I301" i="8"/>
  <c r="J218" i="1"/>
  <c r="G81" i="5"/>
  <c r="D85" i="5"/>
  <c r="H21" i="5"/>
  <c r="E307" i="8"/>
  <c r="E237" i="1"/>
  <c r="E58" i="5" s="1"/>
  <c r="E21" i="5"/>
  <c r="J212" i="1"/>
  <c r="J238" i="1" s="1"/>
  <c r="F25" i="5"/>
  <c r="K293" i="1"/>
  <c r="L292" i="1"/>
  <c r="F387" i="1"/>
  <c r="E460" i="1"/>
  <c r="E482" i="1"/>
  <c r="D415" i="1"/>
  <c r="D33" i="5"/>
  <c r="J7" i="7"/>
  <c r="K419" i="1"/>
  <c r="K18" i="7" s="1"/>
  <c r="E308" i="8"/>
  <c r="J10" i="5"/>
  <c r="J233" i="1"/>
  <c r="J47" i="5"/>
  <c r="J59" i="5"/>
  <c r="J22" i="5"/>
  <c r="J17" i="5"/>
  <c r="J11" i="5"/>
  <c r="J13" i="5"/>
  <c r="J16" i="5"/>
  <c r="J244" i="1"/>
  <c r="J53" i="5" s="1"/>
  <c r="J304" i="8" s="1"/>
  <c r="M439" i="1"/>
  <c r="N439" i="1" s="1"/>
  <c r="N204" i="1" s="1"/>
  <c r="L204" i="1"/>
  <c r="K185" i="1"/>
  <c r="K11" i="5" s="1"/>
  <c r="K194" i="1"/>
  <c r="K200" i="1"/>
  <c r="K26" i="5" s="1"/>
  <c r="K184" i="1"/>
  <c r="K192" i="1"/>
  <c r="K13" i="5" s="1"/>
  <c r="K212" i="1"/>
  <c r="K207" i="1"/>
  <c r="K216" i="1"/>
  <c r="K218" i="1"/>
  <c r="K206" i="1"/>
  <c r="K217" i="1"/>
  <c r="L293" i="1"/>
  <c r="M292" i="1"/>
  <c r="AC436" i="1"/>
  <c r="AD436" i="1" s="1"/>
  <c r="AE436" i="1" s="1"/>
  <c r="E81" i="5"/>
  <c r="J8" i="5"/>
  <c r="J232" i="1"/>
  <c r="J46" i="5" s="1"/>
  <c r="J83" i="5" s="1"/>
  <c r="J63" i="5"/>
  <c r="J7" i="5"/>
  <c r="J18" i="5" s="1"/>
  <c r="J84" i="5"/>
  <c r="K7" i="7"/>
  <c r="AF436" i="1"/>
  <c r="AG436" i="1" s="1"/>
  <c r="AH436" i="1" s="1"/>
  <c r="K10" i="5"/>
  <c r="K15" i="5"/>
  <c r="M204" i="1"/>
  <c r="M293" i="1"/>
  <c r="N292" i="1"/>
  <c r="J90" i="5"/>
  <c r="J305" i="8"/>
  <c r="V258" i="1"/>
  <c r="W258" i="1" s="1"/>
  <c r="X258" i="1"/>
  <c r="Y258" i="1"/>
  <c r="Z258" i="1"/>
  <c r="AA258" i="1"/>
  <c r="AB258" i="1"/>
  <c r="AC258" i="1" s="1"/>
  <c r="AD258" i="1"/>
  <c r="AE258" i="1" s="1"/>
  <c r="AF258" i="1"/>
  <c r="AG258" i="1" s="1"/>
  <c r="AH258" i="1"/>
  <c r="AI258" i="1"/>
  <c r="AJ258" i="1"/>
  <c r="AK258" i="1"/>
  <c r="B274" i="8"/>
  <c r="C272" i="8" s="1"/>
  <c r="C271" i="8" s="1"/>
  <c r="C274" i="8"/>
  <c r="D274" i="8"/>
  <c r="E272" i="8" s="1"/>
  <c r="B272" i="8"/>
  <c r="B271" i="8" s="1"/>
  <c r="D272" i="8"/>
  <c r="D271" i="8" s="1"/>
  <c r="B13" i="7" l="1"/>
  <c r="B14" i="7" s="1"/>
  <c r="C7" i="14" s="1"/>
  <c r="B106" i="5"/>
  <c r="B110" i="5"/>
  <c r="J211" i="1"/>
  <c r="J236" i="1"/>
  <c r="J57" i="5" s="1"/>
  <c r="G83" i="5"/>
  <c r="O292" i="1"/>
  <c r="N293" i="1"/>
  <c r="J82" i="5"/>
  <c r="J81" i="5"/>
  <c r="J301" i="8"/>
  <c r="K26" i="8"/>
  <c r="O439" i="1"/>
  <c r="J243" i="1"/>
  <c r="J52" i="5" s="1"/>
  <c r="J26" i="5"/>
  <c r="J242" i="1"/>
  <c r="J51" i="5" s="1"/>
  <c r="J302" i="8" s="1"/>
  <c r="K233" i="1"/>
  <c r="K47" i="5" s="1"/>
  <c r="K84" i="5" s="1"/>
  <c r="K243" i="1"/>
  <c r="K52" i="5" s="1"/>
  <c r="F49" i="8"/>
  <c r="C303" i="8"/>
  <c r="E95" i="5"/>
  <c r="H27" i="5"/>
  <c r="I81" i="5"/>
  <c r="H81" i="5"/>
  <c r="C304" i="8"/>
  <c r="F305" i="8"/>
  <c r="G99" i="5"/>
  <c r="D21" i="5"/>
  <c r="G303" i="8"/>
  <c r="E492" i="1"/>
  <c r="O263" i="1"/>
  <c r="I18" i="7"/>
  <c r="D407" i="1"/>
  <c r="D34" i="5"/>
  <c r="D36" i="5" s="1"/>
  <c r="D35" i="5"/>
  <c r="F22" i="8"/>
  <c r="G22" i="8" s="1"/>
  <c r="F11" i="8"/>
  <c r="G85" i="5"/>
  <c r="C83" i="5"/>
  <c r="C237" i="1"/>
  <c r="C58" i="5" s="1"/>
  <c r="C407" i="1"/>
  <c r="C85" i="5"/>
  <c r="E87" i="5"/>
  <c r="E301" i="8"/>
  <c r="E303" i="8"/>
  <c r="I232" i="1"/>
  <c r="I46" i="5" s="1"/>
  <c r="I83" i="5" s="1"/>
  <c r="D309" i="8"/>
  <c r="D91" i="5"/>
  <c r="D305" i="8"/>
  <c r="H305" i="8"/>
  <c r="D307" i="8"/>
  <c r="D306" i="8" s="1"/>
  <c r="D64" i="5"/>
  <c r="E304" i="8"/>
  <c r="E94" i="5"/>
  <c r="E390" i="1"/>
  <c r="D418" i="1"/>
  <c r="E119" i="8"/>
  <c r="E69" i="1"/>
  <c r="I10" i="7"/>
  <c r="I21" i="7"/>
  <c r="L168" i="8"/>
  <c r="L13" i="2"/>
  <c r="L14" i="2" s="1"/>
  <c r="K421" i="1"/>
  <c r="O298" i="1"/>
  <c r="B321" i="8"/>
  <c r="M267" i="8"/>
  <c r="L276" i="8"/>
  <c r="P304" i="1"/>
  <c r="O308" i="1"/>
  <c r="P257" i="1"/>
  <c r="Q271" i="1"/>
  <c r="O311" i="1"/>
  <c r="N315" i="1"/>
  <c r="N312" i="1"/>
  <c r="J25" i="5"/>
  <c r="K317" i="1"/>
  <c r="C108" i="5"/>
  <c r="C107" i="5"/>
  <c r="C105" i="5"/>
  <c r="C106" i="5" s="1"/>
  <c r="C109" i="5"/>
  <c r="F8" i="8"/>
  <c r="F19" i="8"/>
  <c r="C63" i="8"/>
  <c r="B323" i="8"/>
  <c r="C91" i="8"/>
  <c r="C92" i="8" s="1"/>
  <c r="K187" i="1"/>
  <c r="L177" i="1"/>
  <c r="L210" i="1" s="1"/>
  <c r="L211" i="1" s="1"/>
  <c r="K182" i="1"/>
  <c r="K196" i="1"/>
  <c r="K195" i="1"/>
  <c r="K189" i="1"/>
  <c r="K183" i="1"/>
  <c r="K181" i="1"/>
  <c r="K193" i="1"/>
  <c r="K208" i="1"/>
  <c r="K234" i="1" s="1"/>
  <c r="K48" i="5" s="1"/>
  <c r="K205" i="1"/>
  <c r="K219" i="1"/>
  <c r="K215" i="1"/>
  <c r="K241" i="1" s="1"/>
  <c r="K50" i="5" s="1"/>
  <c r="K87" i="5" s="1"/>
  <c r="K223" i="1"/>
  <c r="K249" i="1" s="1"/>
  <c r="K63" i="5" s="1"/>
  <c r="K100" i="5" s="1"/>
  <c r="J188" i="1"/>
  <c r="J20" i="5"/>
  <c r="G117" i="8"/>
  <c r="G69" i="1"/>
  <c r="G108" i="1" s="1"/>
  <c r="C92" i="1"/>
  <c r="G77" i="1"/>
  <c r="F10" i="8"/>
  <c r="G10" i="8" s="1"/>
  <c r="C130" i="8"/>
  <c r="C137" i="8"/>
  <c r="C139" i="8" s="1"/>
  <c r="C140" i="8" s="1"/>
  <c r="B47" i="8"/>
  <c r="C45" i="8" s="1"/>
  <c r="C46" i="8" s="1"/>
  <c r="C47" i="8" s="1"/>
  <c r="D45" i="8" s="1"/>
  <c r="D46" i="8" s="1"/>
  <c r="B83" i="8"/>
  <c r="B87" i="8" s="1"/>
  <c r="B134" i="8"/>
  <c r="B136" i="8" s="1"/>
  <c r="B140" i="8" s="1"/>
  <c r="B118" i="8"/>
  <c r="B122" i="8" s="1"/>
  <c r="C37" i="8"/>
  <c r="B41" i="8"/>
  <c r="C39" i="8" s="1"/>
  <c r="C40" i="8" s="1"/>
  <c r="J100" i="5"/>
  <c r="J96" i="5"/>
  <c r="J309" i="8"/>
  <c r="G387" i="1"/>
  <c r="D13" i="2"/>
  <c r="D14" i="2" s="1"/>
  <c r="D168" i="8"/>
  <c r="C94" i="5"/>
  <c r="H309" i="8"/>
  <c r="I211" i="1"/>
  <c r="I237" i="1" s="1"/>
  <c r="I58" i="5" s="1"/>
  <c r="I236" i="1"/>
  <c r="I57" i="5" s="1"/>
  <c r="H211" i="1"/>
  <c r="H237" i="1" s="1"/>
  <c r="H58" i="5" s="1"/>
  <c r="H236" i="1"/>
  <c r="H57" i="5" s="1"/>
  <c r="H302" i="8"/>
  <c r="C301" i="8"/>
  <c r="C81" i="5"/>
  <c r="G27" i="5"/>
  <c r="E82" i="5"/>
  <c r="G211" i="1"/>
  <c r="G237" i="1" s="1"/>
  <c r="G236" i="1"/>
  <c r="G57" i="5" s="1"/>
  <c r="K210" i="1"/>
  <c r="K211" i="1" s="1"/>
  <c r="F211" i="1"/>
  <c r="F237" i="1" s="1"/>
  <c r="F58" i="5" s="1"/>
  <c r="F230" i="1"/>
  <c r="F44" i="5" s="1"/>
  <c r="F7" i="5"/>
  <c r="I221" i="1"/>
  <c r="K221" i="1"/>
  <c r="H221" i="1"/>
  <c r="L221" i="1"/>
  <c r="L222" i="1" s="1"/>
  <c r="F222" i="1"/>
  <c r="F248" i="1" s="1"/>
  <c r="F62" i="5" s="1"/>
  <c r="F99" i="5" s="1"/>
  <c r="J221" i="1"/>
  <c r="E234" i="1"/>
  <c r="E407" i="1"/>
  <c r="I26" i="5"/>
  <c r="I27" i="5" s="1"/>
  <c r="I249" i="1"/>
  <c r="I63" i="5" s="1"/>
  <c r="I100" i="5" s="1"/>
  <c r="AC13" i="2"/>
  <c r="AC14" i="2" s="1"/>
  <c r="AC186" i="8"/>
  <c r="AC168" i="8"/>
  <c r="E125" i="8"/>
  <c r="E77" i="1"/>
  <c r="F109" i="1" s="1"/>
  <c r="F128" i="1" s="1"/>
  <c r="E57" i="8"/>
  <c r="C131" i="8"/>
  <c r="AF13" i="2"/>
  <c r="AF14" i="2" s="1"/>
  <c r="AF186" i="8"/>
  <c r="Q186" i="8"/>
  <c r="Q13" i="2"/>
  <c r="Q14" i="2" s="1"/>
  <c r="S253" i="1"/>
  <c r="R257" i="1"/>
  <c r="M252" i="1"/>
  <c r="L285" i="1"/>
  <c r="S269" i="1"/>
  <c r="R270" i="1"/>
  <c r="H25" i="8"/>
  <c r="I25" i="8" s="1"/>
  <c r="H14" i="8"/>
  <c r="K199" i="1"/>
  <c r="K24" i="5"/>
  <c r="C80" i="8"/>
  <c r="F110" i="1"/>
  <c r="B127" i="1"/>
  <c r="M254" i="1"/>
  <c r="L255" i="1"/>
  <c r="L260" i="1"/>
  <c r="L261" i="1"/>
  <c r="L256" i="1"/>
  <c r="H9" i="8"/>
  <c r="I9" i="8" s="1"/>
  <c r="G21" i="8"/>
  <c r="H21" i="8" s="1"/>
  <c r="E33" i="8"/>
  <c r="D75" i="8"/>
  <c r="D104" i="8" s="1"/>
  <c r="M278" i="1"/>
  <c r="L281" i="1"/>
  <c r="E27" i="8"/>
  <c r="E16" i="8"/>
  <c r="D17" i="8"/>
  <c r="C83" i="8"/>
  <c r="D43" i="8"/>
  <c r="Y186" i="8"/>
  <c r="Y13" i="2"/>
  <c r="Y14" i="2" s="1"/>
  <c r="Z13" i="2"/>
  <c r="Z14" i="2" s="1"/>
  <c r="Z168" i="8"/>
  <c r="K255" i="1"/>
  <c r="K256" i="1"/>
  <c r="K260" i="1"/>
  <c r="K261" i="1"/>
  <c r="M13" i="2"/>
  <c r="M14" i="2" s="1"/>
  <c r="M186" i="8"/>
  <c r="O13" i="2"/>
  <c r="O14" i="2" s="1"/>
  <c r="O168" i="8"/>
  <c r="O186" i="8"/>
  <c r="G98" i="5"/>
  <c r="H10" i="5"/>
  <c r="H18" i="5" s="1"/>
  <c r="H28" i="5" s="1"/>
  <c r="H233" i="1"/>
  <c r="H47" i="5" s="1"/>
  <c r="D232" i="1"/>
  <c r="D46" i="5" s="1"/>
  <c r="D83" i="5" s="1"/>
  <c r="D9" i="5"/>
  <c r="G242" i="1"/>
  <c r="G51" i="5" s="1"/>
  <c r="G14" i="5"/>
  <c r="G18" i="5" s="1"/>
  <c r="G28" i="5" s="1"/>
  <c r="F247" i="1"/>
  <c r="F61" i="5" s="1"/>
  <c r="F98" i="5" s="1"/>
  <c r="F24" i="5"/>
  <c r="F27" i="5" s="1"/>
  <c r="E242" i="1"/>
  <c r="E51" i="5" s="1"/>
  <c r="E14" i="5"/>
  <c r="E18" i="5" s="1"/>
  <c r="F231" i="1"/>
  <c r="F45" i="5" s="1"/>
  <c r="F8" i="5"/>
  <c r="D231" i="1"/>
  <c r="D45" i="5" s="1"/>
  <c r="D8" i="5"/>
  <c r="D18" i="5" s="1"/>
  <c r="C247" i="1"/>
  <c r="C61" i="5" s="1"/>
  <c r="C98" i="5" s="1"/>
  <c r="C199" i="1"/>
  <c r="C242" i="1"/>
  <c r="C51" i="5" s="1"/>
  <c r="C14" i="5"/>
  <c r="C18" i="5" s="1"/>
  <c r="G244" i="1"/>
  <c r="G53" i="5" s="1"/>
  <c r="G16" i="5"/>
  <c r="G241" i="1"/>
  <c r="G50" i="5" s="1"/>
  <c r="E238" i="1"/>
  <c r="E59" i="5" s="1"/>
  <c r="E22" i="5"/>
  <c r="E27" i="5" s="1"/>
  <c r="E245" i="1"/>
  <c r="E54" i="5" s="1"/>
  <c r="E17" i="5"/>
  <c r="G245" i="1"/>
  <c r="G54" i="5" s="1"/>
  <c r="I238" i="1"/>
  <c r="I59" i="5" s="1"/>
  <c r="I233" i="1"/>
  <c r="I47" i="5" s="1"/>
  <c r="I84" i="5" s="1"/>
  <c r="I194" i="1"/>
  <c r="I185" i="1"/>
  <c r="I195" i="1"/>
  <c r="I193" i="1"/>
  <c r="I182" i="1"/>
  <c r="E130" i="8"/>
  <c r="AH168" i="8"/>
  <c r="AH13" i="2"/>
  <c r="AH14" i="2" s="1"/>
  <c r="C281" i="8"/>
  <c r="C280" i="8" s="1"/>
  <c r="C283" i="8"/>
  <c r="B281" i="8"/>
  <c r="J283" i="1"/>
  <c r="G134" i="8"/>
  <c r="M267" i="1"/>
  <c r="L266" i="1"/>
  <c r="I300" i="1"/>
  <c r="I318" i="1" s="1"/>
  <c r="J302" i="1"/>
  <c r="L296" i="1"/>
  <c r="L317" i="1"/>
  <c r="G138" i="8"/>
  <c r="G139" i="8" s="1"/>
  <c r="C42" i="5"/>
  <c r="D5" i="5"/>
  <c r="P13" i="2"/>
  <c r="P14" i="2" s="1"/>
  <c r="P186" i="8"/>
  <c r="F13" i="8"/>
  <c r="F24" i="8"/>
  <c r="G24" i="8" s="1"/>
  <c r="F119" i="8"/>
  <c r="F117" i="8"/>
  <c r="F135" i="8" s="1"/>
  <c r="F136" i="8" s="1"/>
  <c r="F69" i="1"/>
  <c r="F108" i="1" s="1"/>
  <c r="F128" i="8"/>
  <c r="F130" i="8" s="1"/>
  <c r="F131" i="8" s="1"/>
  <c r="M288" i="1"/>
  <c r="L289" i="1"/>
  <c r="B165" i="8"/>
  <c r="B326" i="8"/>
  <c r="B75" i="5"/>
  <c r="V186" i="8"/>
  <c r="V13" i="2"/>
  <c r="V14" i="2" s="1"/>
  <c r="R13" i="2"/>
  <c r="R14" i="2" s="1"/>
  <c r="R168" i="8"/>
  <c r="L282" i="8"/>
  <c r="S140" i="8"/>
  <c r="C69" i="8"/>
  <c r="K276" i="1"/>
  <c r="E266" i="1"/>
  <c r="E265" i="1"/>
  <c r="G7" i="7"/>
  <c r="B111" i="5" l="1"/>
  <c r="E28" i="5"/>
  <c r="K85" i="5"/>
  <c r="G58" i="5"/>
  <c r="E283" i="1"/>
  <c r="B29" i="5"/>
  <c r="B32" i="5" s="1"/>
  <c r="B37" i="5" s="1"/>
  <c r="B38" i="5" s="1"/>
  <c r="L276" i="1"/>
  <c r="K280" i="1"/>
  <c r="K277" i="1"/>
  <c r="S186" i="8"/>
  <c r="S13" i="2"/>
  <c r="S14" i="2" s="1"/>
  <c r="S168" i="8"/>
  <c r="M295" i="1"/>
  <c r="M290" i="1"/>
  <c r="M289" i="1"/>
  <c r="N288" i="1"/>
  <c r="F107" i="1"/>
  <c r="F127" i="1"/>
  <c r="F121" i="8"/>
  <c r="F137" i="8"/>
  <c r="F139" i="8" s="1"/>
  <c r="F140" i="8" s="1"/>
  <c r="G13" i="8"/>
  <c r="H13" i="8" s="1"/>
  <c r="N267" i="1"/>
  <c r="M266" i="1"/>
  <c r="M265" i="1"/>
  <c r="B280" i="8"/>
  <c r="B37" i="6" s="1"/>
  <c r="B170" i="8"/>
  <c r="I242" i="1"/>
  <c r="I51" i="5" s="1"/>
  <c r="I14" i="5"/>
  <c r="I234" i="1"/>
  <c r="I48" i="5" s="1"/>
  <c r="I11" i="5"/>
  <c r="G91" i="5"/>
  <c r="G305" i="8"/>
  <c r="E91" i="5"/>
  <c r="E309" i="8"/>
  <c r="E306" i="8" s="1"/>
  <c r="E96" i="5"/>
  <c r="C25" i="5"/>
  <c r="C27" i="5" s="1"/>
  <c r="C28" i="5" s="1"/>
  <c r="C412" i="1"/>
  <c r="C248" i="1"/>
  <c r="H84" i="5"/>
  <c r="H304" i="8"/>
  <c r="H55" i="5"/>
  <c r="H92" i="5" s="1"/>
  <c r="K282" i="1"/>
  <c r="F16" i="8"/>
  <c r="E17" i="8"/>
  <c r="D234" i="8"/>
  <c r="D183" i="8"/>
  <c r="L282" i="1"/>
  <c r="M256" i="1"/>
  <c r="N254" i="1"/>
  <c r="M260" i="1"/>
  <c r="M261" i="1"/>
  <c r="M255" i="1"/>
  <c r="I14" i="8"/>
  <c r="J14" i="8" s="1"/>
  <c r="N252" i="1"/>
  <c r="M285" i="1"/>
  <c r="S257" i="1"/>
  <c r="T253" i="1"/>
  <c r="F57" i="8"/>
  <c r="E61" i="8"/>
  <c r="F59" i="8" s="1"/>
  <c r="F60" i="8" s="1"/>
  <c r="E127" i="8"/>
  <c r="E131" i="8" s="1"/>
  <c r="E134" i="8"/>
  <c r="E136" i="8" s="1"/>
  <c r="E59" i="8"/>
  <c r="E60" i="8" s="1"/>
  <c r="E48" i="5"/>
  <c r="E464" i="1"/>
  <c r="E486" i="1"/>
  <c r="H247" i="1"/>
  <c r="H61" i="5" s="1"/>
  <c r="H98" i="5" s="1"/>
  <c r="H222" i="1"/>
  <c r="H248" i="1" s="1"/>
  <c r="H62" i="5" s="1"/>
  <c r="H99" i="5" s="1"/>
  <c r="I247" i="1"/>
  <c r="I61" i="5" s="1"/>
  <c r="I98" i="5" s="1"/>
  <c r="I222" i="1"/>
  <c r="I248" i="1" s="1"/>
  <c r="I62" i="5" s="1"/>
  <c r="I99" i="5" s="1"/>
  <c r="F301" i="8"/>
  <c r="F55" i="5"/>
  <c r="F92" i="5" s="1"/>
  <c r="F102" i="5" s="1"/>
  <c r="F81" i="5"/>
  <c r="F308" i="8"/>
  <c r="F95" i="5"/>
  <c r="F101" i="5" s="1"/>
  <c r="G307" i="8"/>
  <c r="G94" i="5"/>
  <c r="G64" i="5"/>
  <c r="G65" i="5" s="1"/>
  <c r="G167" i="8" s="1"/>
  <c r="H300" i="8"/>
  <c r="H95" i="5"/>
  <c r="I308" i="8"/>
  <c r="I95" i="5"/>
  <c r="F307" i="8"/>
  <c r="F306" i="8" s="1"/>
  <c r="H387" i="1"/>
  <c r="C85" i="8"/>
  <c r="B322" i="8"/>
  <c r="B320" i="8" s="1"/>
  <c r="C186" i="8"/>
  <c r="C13" i="2"/>
  <c r="C14" i="2" s="1"/>
  <c r="C168" i="8"/>
  <c r="H10" i="8"/>
  <c r="I10" i="8" s="1"/>
  <c r="G110" i="1"/>
  <c r="G109" i="1"/>
  <c r="G128" i="1" s="1"/>
  <c r="B85" i="1"/>
  <c r="B40" i="13"/>
  <c r="G135" i="8"/>
  <c r="G136" i="8" s="1"/>
  <c r="G140" i="8" s="1"/>
  <c r="G118" i="8"/>
  <c r="G122" i="8" s="1"/>
  <c r="J21" i="5"/>
  <c r="J27" i="5" s="1"/>
  <c r="J28" i="5" s="1"/>
  <c r="J237" i="1"/>
  <c r="J58" i="5" s="1"/>
  <c r="K14" i="5"/>
  <c r="K242" i="1"/>
  <c r="K51" i="5" s="1"/>
  <c r="K232" i="1"/>
  <c r="K46" i="5" s="1"/>
  <c r="K83" i="5" s="1"/>
  <c r="K9" i="5"/>
  <c r="K16" i="5"/>
  <c r="K244" i="1"/>
  <c r="K53" i="5" s="1"/>
  <c r="K8" i="5"/>
  <c r="K231" i="1"/>
  <c r="K45" i="5" s="1"/>
  <c r="K188" i="1"/>
  <c r="K20" i="5"/>
  <c r="K236" i="1"/>
  <c r="K57" i="5" s="1"/>
  <c r="G19" i="8"/>
  <c r="F407" i="1"/>
  <c r="C110" i="5"/>
  <c r="C111" i="5" s="1"/>
  <c r="P311" i="1"/>
  <c r="O315" i="1"/>
  <c r="O312" i="1"/>
  <c r="P305" i="1"/>
  <c r="P308" i="1"/>
  <c r="Q304" i="1"/>
  <c r="N267" i="8"/>
  <c r="M276" i="8"/>
  <c r="K10" i="7"/>
  <c r="K21" i="7"/>
  <c r="E121" i="8"/>
  <c r="E122" i="8" s="1"/>
  <c r="E137" i="8"/>
  <c r="E139" i="8" s="1"/>
  <c r="E418" i="1"/>
  <c r="F390" i="1"/>
  <c r="E417" i="1"/>
  <c r="E64" i="5"/>
  <c r="C410" i="1"/>
  <c r="C31" i="5"/>
  <c r="C30" i="5"/>
  <c r="C29" i="5"/>
  <c r="C32" i="5" s="1"/>
  <c r="C408" i="1"/>
  <c r="G11" i="8"/>
  <c r="H11" i="8" s="1"/>
  <c r="D27" i="5"/>
  <c r="D28" i="5" s="1"/>
  <c r="D95" i="5"/>
  <c r="D101" i="5" s="1"/>
  <c r="O204" i="1"/>
  <c r="P439" i="1"/>
  <c r="L26" i="8"/>
  <c r="L15" i="8"/>
  <c r="M15" i="8" s="1"/>
  <c r="C73" i="8"/>
  <c r="D71" i="8" s="1"/>
  <c r="C89" i="8"/>
  <c r="C93" i="8" s="1"/>
  <c r="D69" i="8"/>
  <c r="N282" i="8"/>
  <c r="P282" i="8" s="1"/>
  <c r="M282" i="8"/>
  <c r="O282" i="8"/>
  <c r="B205" i="8"/>
  <c r="H24" i="8"/>
  <c r="I24" i="8" s="1"/>
  <c r="E5" i="5"/>
  <c r="D42" i="5"/>
  <c r="J300" i="1"/>
  <c r="J318" i="1" s="1"/>
  <c r="K302" i="1"/>
  <c r="F118" i="8"/>
  <c r="D281" i="8"/>
  <c r="D283" i="8"/>
  <c r="I231" i="1"/>
  <c r="I45" i="5" s="1"/>
  <c r="I8" i="5"/>
  <c r="I16" i="5"/>
  <c r="I244" i="1"/>
  <c r="I53" i="5" s="1"/>
  <c r="I15" i="5"/>
  <c r="I243" i="1"/>
  <c r="I52" i="5" s="1"/>
  <c r="I96" i="5"/>
  <c r="I309" i="8"/>
  <c r="G87" i="5"/>
  <c r="G301" i="8"/>
  <c r="G304" i="8"/>
  <c r="G90" i="5"/>
  <c r="C55" i="5"/>
  <c r="C92" i="5" s="1"/>
  <c r="C302" i="8"/>
  <c r="C88" i="5"/>
  <c r="D55" i="5"/>
  <c r="D92" i="5" s="1"/>
  <c r="D302" i="8"/>
  <c r="D300" i="8" s="1"/>
  <c r="D299" i="8" s="1"/>
  <c r="D82" i="5"/>
  <c r="F302" i="8"/>
  <c r="F82" i="5"/>
  <c r="E88" i="5"/>
  <c r="E302" i="8"/>
  <c r="G302" i="8"/>
  <c r="G88" i="5"/>
  <c r="D47" i="8"/>
  <c r="E43" i="8"/>
  <c r="F27" i="8"/>
  <c r="G27" i="8" s="1"/>
  <c r="E412" i="1"/>
  <c r="N278" i="1"/>
  <c r="M281" i="1"/>
  <c r="E75" i="8"/>
  <c r="E104" i="8" s="1"/>
  <c r="F33" i="8"/>
  <c r="F119" i="1"/>
  <c r="K25" i="5"/>
  <c r="J25" i="8"/>
  <c r="K25" i="8" s="1"/>
  <c r="T269" i="1"/>
  <c r="S270" i="1"/>
  <c r="E109" i="1"/>
  <c r="E128" i="1" s="1"/>
  <c r="C110" i="1"/>
  <c r="D110" i="1"/>
  <c r="E110" i="1"/>
  <c r="D109" i="1"/>
  <c r="B148" i="1"/>
  <c r="B110" i="1"/>
  <c r="B109" i="1"/>
  <c r="C109" i="1"/>
  <c r="E408" i="1"/>
  <c r="E410" i="1"/>
  <c r="E31" i="5"/>
  <c r="E29" i="5"/>
  <c r="E30" i="5"/>
  <c r="J247" i="1"/>
  <c r="J61" i="5" s="1"/>
  <c r="J98" i="5" s="1"/>
  <c r="J222" i="1"/>
  <c r="J248" i="1" s="1"/>
  <c r="J62" i="5" s="1"/>
  <c r="J99" i="5" s="1"/>
  <c r="K222" i="1"/>
  <c r="K248" i="1" s="1"/>
  <c r="K62" i="5" s="1"/>
  <c r="K99" i="5" s="1"/>
  <c r="K247" i="1"/>
  <c r="K61" i="5" s="1"/>
  <c r="K98" i="5" s="1"/>
  <c r="F18" i="5"/>
  <c r="F28" i="5" s="1"/>
  <c r="C300" i="8"/>
  <c r="H307" i="8"/>
  <c r="H64" i="5"/>
  <c r="H65" i="5" s="1"/>
  <c r="H167" i="8" s="1"/>
  <c r="H94" i="5"/>
  <c r="I307" i="8"/>
  <c r="I306" i="8" s="1"/>
  <c r="I94" i="5"/>
  <c r="I64" i="5"/>
  <c r="C307" i="8"/>
  <c r="F412" i="1"/>
  <c r="C41" i="8"/>
  <c r="D39" i="8" s="1"/>
  <c r="C77" i="8"/>
  <c r="C81" i="8" s="1"/>
  <c r="D37" i="8"/>
  <c r="B186" i="8"/>
  <c r="B187" i="8" s="1"/>
  <c r="B168" i="8"/>
  <c r="B13" i="2"/>
  <c r="B14" i="2" s="1"/>
  <c r="G127" i="1"/>
  <c r="G107" i="1"/>
  <c r="K7" i="5"/>
  <c r="K18" i="5" s="1"/>
  <c r="K230" i="1"/>
  <c r="K44" i="5" s="1"/>
  <c r="K22" i="5"/>
  <c r="K238" i="1"/>
  <c r="K59" i="5" s="1"/>
  <c r="K245" i="1"/>
  <c r="K54" i="5" s="1"/>
  <c r="K91" i="5" s="1"/>
  <c r="K17" i="5"/>
  <c r="L198" i="1"/>
  <c r="M177" i="1"/>
  <c r="L195" i="1"/>
  <c r="L183" i="1"/>
  <c r="L193" i="1"/>
  <c r="L184" i="1"/>
  <c r="L192" i="1"/>
  <c r="L181" i="1"/>
  <c r="L207" i="1"/>
  <c r="L206" i="1"/>
  <c r="L212" i="1"/>
  <c r="L215" i="1"/>
  <c r="L219" i="1"/>
  <c r="L187" i="1"/>
  <c r="L196" i="1"/>
  <c r="L182" i="1"/>
  <c r="L185" i="1"/>
  <c r="L218" i="1"/>
  <c r="L223" i="1"/>
  <c r="L216" i="1"/>
  <c r="L189" i="1"/>
  <c r="L205" i="1"/>
  <c r="L217" i="1"/>
  <c r="L200" i="1"/>
  <c r="L194" i="1"/>
  <c r="L208" i="1"/>
  <c r="C67" i="8"/>
  <c r="D65" i="8" s="1"/>
  <c r="D66" i="8" s="1"/>
  <c r="D63" i="8"/>
  <c r="G8" i="8"/>
  <c r="F17" i="8"/>
  <c r="R271" i="1"/>
  <c r="Q274" i="1"/>
  <c r="L421" i="1"/>
  <c r="P298" i="1"/>
  <c r="E108" i="1"/>
  <c r="B108" i="8"/>
  <c r="B109" i="8"/>
  <c r="D6" i="7"/>
  <c r="D17" i="7"/>
  <c r="E101" i="5"/>
  <c r="D303" i="8"/>
  <c r="D65" i="5"/>
  <c r="D167" i="8" s="1"/>
  <c r="C95" i="5"/>
  <c r="D410" i="1"/>
  <c r="D416" i="1" s="1"/>
  <c r="D31" i="5"/>
  <c r="D408" i="1"/>
  <c r="D29" i="5"/>
  <c r="D30" i="5"/>
  <c r="L419" i="1"/>
  <c r="P263" i="1"/>
  <c r="G49" i="8"/>
  <c r="F51" i="8"/>
  <c r="F52" i="8" s="1"/>
  <c r="F53" i="8" s="1"/>
  <c r="G51" i="8" s="1"/>
  <c r="G52" i="8" s="1"/>
  <c r="K89" i="5"/>
  <c r="F64" i="5"/>
  <c r="J88" i="5"/>
  <c r="J55" i="5"/>
  <c r="J92" i="5" s="1"/>
  <c r="J303" i="8"/>
  <c r="J300" i="8" s="1"/>
  <c r="J89" i="5"/>
  <c r="I20" i="8"/>
  <c r="J20" i="8" s="1"/>
  <c r="P292" i="1"/>
  <c r="O293" i="1"/>
  <c r="G55" i="5"/>
  <c r="G92" i="5" s="1"/>
  <c r="J94" i="5"/>
  <c r="J307" i="8"/>
  <c r="B182" i="8" l="1"/>
  <c r="B184" i="8" s="1"/>
  <c r="B188" i="8" s="1"/>
  <c r="B233" i="8"/>
  <c r="B235" i="8" s="1"/>
  <c r="B112" i="5"/>
  <c r="F13" i="2"/>
  <c r="F14" i="2" s="1"/>
  <c r="F168" i="8"/>
  <c r="F186" i="8"/>
  <c r="Q282" i="8"/>
  <c r="S282" i="8" s="1"/>
  <c r="G168" i="8"/>
  <c r="G13" i="2"/>
  <c r="G14" i="2" s="1"/>
  <c r="G186" i="8"/>
  <c r="G53" i="8"/>
  <c r="H49" i="8"/>
  <c r="Q263" i="1"/>
  <c r="M419" i="1"/>
  <c r="E472" i="1"/>
  <c r="E494" i="1"/>
  <c r="Q298" i="1"/>
  <c r="M421" i="1"/>
  <c r="L10" i="7"/>
  <c r="L21" i="7"/>
  <c r="S271" i="1"/>
  <c r="R274" i="1"/>
  <c r="H8" i="8"/>
  <c r="L15" i="5"/>
  <c r="L243" i="1"/>
  <c r="L52" i="5" s="1"/>
  <c r="L22" i="5"/>
  <c r="L238" i="1"/>
  <c r="L59" i="5" s="1"/>
  <c r="L234" i="1"/>
  <c r="L48" i="5" s="1"/>
  <c r="L11" i="5"/>
  <c r="L245" i="1"/>
  <c r="L54" i="5" s="1"/>
  <c r="L17" i="5"/>
  <c r="L241" i="1"/>
  <c r="L50" i="5" s="1"/>
  <c r="L13" i="5"/>
  <c r="L242" i="1"/>
  <c r="L51" i="5" s="1"/>
  <c r="L14" i="5"/>
  <c r="L16" i="5"/>
  <c r="L244" i="1"/>
  <c r="L53" i="5" s="1"/>
  <c r="L199" i="1"/>
  <c r="L24" i="5"/>
  <c r="L247" i="1"/>
  <c r="L61" i="5" s="1"/>
  <c r="G110" i="8"/>
  <c r="G126" i="1"/>
  <c r="C321" i="8"/>
  <c r="D79" i="8"/>
  <c r="F413" i="1"/>
  <c r="F33" i="5"/>
  <c r="F36" i="5" s="1"/>
  <c r="F34" i="5"/>
  <c r="F415" i="1"/>
  <c r="F35" i="5"/>
  <c r="I65" i="5"/>
  <c r="I167" i="8" s="1"/>
  <c r="C9" i="16"/>
  <c r="B128" i="1"/>
  <c r="C13" i="16"/>
  <c r="C23" i="16" s="1"/>
  <c r="B107" i="1"/>
  <c r="E119" i="1"/>
  <c r="B97" i="8"/>
  <c r="C10" i="13" s="1"/>
  <c r="C119" i="1"/>
  <c r="G33" i="8"/>
  <c r="F75" i="8"/>
  <c r="F104" i="8" s="1"/>
  <c r="E413" i="1"/>
  <c r="E35" i="5"/>
  <c r="E415" i="1"/>
  <c r="E34" i="5"/>
  <c r="E33" i="5"/>
  <c r="E83" i="8"/>
  <c r="F43" i="8"/>
  <c r="E45" i="8"/>
  <c r="E46" i="8" s="1"/>
  <c r="E47" i="8" s="1"/>
  <c r="F45" i="8" s="1"/>
  <c r="F46" i="8" s="1"/>
  <c r="I82" i="5"/>
  <c r="I302" i="8"/>
  <c r="I55" i="5"/>
  <c r="D280" i="8"/>
  <c r="F5" i="5"/>
  <c r="E42" i="5"/>
  <c r="D91" i="8"/>
  <c r="D92" i="8" s="1"/>
  <c r="C323" i="8"/>
  <c r="Q439" i="1"/>
  <c r="P204" i="1"/>
  <c r="G390" i="1"/>
  <c r="F418" i="1"/>
  <c r="F417" i="1"/>
  <c r="Q308" i="1"/>
  <c r="R304" i="1"/>
  <c r="Q305" i="1"/>
  <c r="P312" i="1"/>
  <c r="P315" i="1"/>
  <c r="Q311" i="1"/>
  <c r="F408" i="1"/>
  <c r="F30" i="5"/>
  <c r="F31" i="5"/>
  <c r="F410" i="1"/>
  <c r="F29" i="5"/>
  <c r="F32" i="5" s="1"/>
  <c r="F37" i="5" s="1"/>
  <c r="F38" i="5" s="1"/>
  <c r="K307" i="8"/>
  <c r="K64" i="5"/>
  <c r="K94" i="5"/>
  <c r="K21" i="5"/>
  <c r="K237" i="1"/>
  <c r="K58" i="5" s="1"/>
  <c r="I387" i="1"/>
  <c r="G412" i="1"/>
  <c r="F185" i="8"/>
  <c r="F187" i="8" s="1"/>
  <c r="F236" i="8"/>
  <c r="E305" i="8"/>
  <c r="E300" i="8" s="1"/>
  <c r="E299" i="8" s="1"/>
  <c r="E85" i="5"/>
  <c r="E55" i="5"/>
  <c r="E92" i="5" s="1"/>
  <c r="E102" i="5" s="1"/>
  <c r="E140" i="8"/>
  <c r="U253" i="1"/>
  <c r="T257" i="1"/>
  <c r="K14" i="8"/>
  <c r="L14" i="8" s="1"/>
  <c r="O254" i="1"/>
  <c r="N255" i="1"/>
  <c r="N256" i="1"/>
  <c r="N261" i="1"/>
  <c r="N260" i="1"/>
  <c r="H102" i="5"/>
  <c r="C62" i="5"/>
  <c r="N265" i="1"/>
  <c r="N266" i="1"/>
  <c r="O267" i="1"/>
  <c r="O288" i="1"/>
  <c r="N289" i="1"/>
  <c r="N290" i="1"/>
  <c r="N295" i="1"/>
  <c r="K283" i="1"/>
  <c r="C182" i="8"/>
  <c r="C184" i="8" s="1"/>
  <c r="C233" i="8"/>
  <c r="C235" i="8" s="1"/>
  <c r="J64" i="5"/>
  <c r="J65" i="5" s="1"/>
  <c r="J167" i="8" s="1"/>
  <c r="P293" i="1"/>
  <c r="Q292" i="1"/>
  <c r="F65" i="5"/>
  <c r="F167" i="8" s="1"/>
  <c r="K303" i="8"/>
  <c r="L7" i="7"/>
  <c r="L18" i="7"/>
  <c r="D32" i="5"/>
  <c r="D37" i="5" s="1"/>
  <c r="D38" i="5" s="1"/>
  <c r="H22" i="8"/>
  <c r="I22" i="8" s="1"/>
  <c r="E107" i="1"/>
  <c r="E127" i="1"/>
  <c r="D67" i="8"/>
  <c r="E65" i="8" s="1"/>
  <c r="E66" i="8" s="1"/>
  <c r="E63" i="8"/>
  <c r="L249" i="1"/>
  <c r="L63" i="5" s="1"/>
  <c r="L100" i="5" s="1"/>
  <c r="L26" i="5"/>
  <c r="L231" i="1"/>
  <c r="L45" i="5" s="1"/>
  <c r="L8" i="5"/>
  <c r="L188" i="1"/>
  <c r="L236" i="1"/>
  <c r="L57" i="5" s="1"/>
  <c r="L20" i="5"/>
  <c r="L230" i="1"/>
  <c r="L44" i="5" s="1"/>
  <c r="L7" i="5"/>
  <c r="L18" i="5" s="1"/>
  <c r="L233" i="1"/>
  <c r="L47" i="5" s="1"/>
  <c r="L10" i="5"/>
  <c r="L232" i="1"/>
  <c r="L46" i="5" s="1"/>
  <c r="L9" i="5"/>
  <c r="N177" i="1"/>
  <c r="M187" i="1"/>
  <c r="M198" i="1"/>
  <c r="M194" i="1"/>
  <c r="M183" i="1"/>
  <c r="M182" i="1"/>
  <c r="M189" i="1"/>
  <c r="M193" i="1"/>
  <c r="M200" i="1"/>
  <c r="M212" i="1"/>
  <c r="M215" i="1"/>
  <c r="M217" i="1"/>
  <c r="M207" i="1"/>
  <c r="M206" i="1"/>
  <c r="M223" i="1"/>
  <c r="M195" i="1"/>
  <c r="M192" i="1"/>
  <c r="M208" i="1"/>
  <c r="M218" i="1"/>
  <c r="M219" i="1"/>
  <c r="M185" i="1"/>
  <c r="M184" i="1"/>
  <c r="M205" i="1"/>
  <c r="M196" i="1"/>
  <c r="M181" i="1"/>
  <c r="M216" i="1"/>
  <c r="M210" i="1"/>
  <c r="M211" i="1" s="1"/>
  <c r="M221" i="1"/>
  <c r="M222" i="1" s="1"/>
  <c r="K309" i="8"/>
  <c r="K96" i="5"/>
  <c r="K81" i="5"/>
  <c r="K55" i="5"/>
  <c r="K92" i="5" s="1"/>
  <c r="K301" i="8"/>
  <c r="D77" i="8"/>
  <c r="E37" i="8"/>
  <c r="D41" i="8"/>
  <c r="E39" i="8" s="1"/>
  <c r="D40" i="8"/>
  <c r="I101" i="5"/>
  <c r="H101" i="5"/>
  <c r="E32" i="5"/>
  <c r="E416" i="1"/>
  <c r="C107" i="1"/>
  <c r="C128" i="1"/>
  <c r="C12" i="16"/>
  <c r="B119" i="1"/>
  <c r="D128" i="1"/>
  <c r="D107" i="1"/>
  <c r="D119" i="1"/>
  <c r="B98" i="8"/>
  <c r="D11" i="13" s="1"/>
  <c r="U269" i="1"/>
  <c r="T270" i="1"/>
  <c r="J9" i="8"/>
  <c r="K9" i="8" s="1"/>
  <c r="E234" i="8"/>
  <c r="E183" i="8"/>
  <c r="N281" i="1"/>
  <c r="O278" i="1"/>
  <c r="D83" i="8"/>
  <c r="D102" i="5"/>
  <c r="G300" i="8"/>
  <c r="I89" i="5"/>
  <c r="I303" i="8"/>
  <c r="I304" i="8"/>
  <c r="I90" i="5"/>
  <c r="I18" i="5"/>
  <c r="I28" i="5" s="1"/>
  <c r="E281" i="8"/>
  <c r="E283" i="8"/>
  <c r="K300" i="1"/>
  <c r="K318" i="1" s="1"/>
  <c r="L302" i="1"/>
  <c r="R282" i="8"/>
  <c r="D89" i="8"/>
  <c r="D93" i="8" s="1"/>
  <c r="E69" i="8"/>
  <c r="D72" i="8"/>
  <c r="D73" i="8" s="1"/>
  <c r="E71" i="8" s="1"/>
  <c r="M26" i="8"/>
  <c r="N26" i="8" s="1"/>
  <c r="E17" i="7"/>
  <c r="E6" i="7"/>
  <c r="N276" i="8"/>
  <c r="O267" i="8"/>
  <c r="H19" i="8"/>
  <c r="I19" i="8" s="1"/>
  <c r="K27" i="5"/>
  <c r="K28" i="5" s="1"/>
  <c r="K82" i="5"/>
  <c r="K302" i="8"/>
  <c r="K304" i="8"/>
  <c r="K90" i="5"/>
  <c r="K88" i="5"/>
  <c r="J95" i="5"/>
  <c r="J101" i="5" s="1"/>
  <c r="J102" i="5" s="1"/>
  <c r="J308" i="8"/>
  <c r="J306" i="8" s="1"/>
  <c r="J299" i="8" s="1"/>
  <c r="F120" i="1"/>
  <c r="G120" i="1"/>
  <c r="D120" i="1"/>
  <c r="C120" i="1"/>
  <c r="E120" i="1"/>
  <c r="B120" i="1"/>
  <c r="G119" i="1"/>
  <c r="G19" i="2" s="1"/>
  <c r="C86" i="8"/>
  <c r="C87" i="8" s="1"/>
  <c r="C312" i="8"/>
  <c r="C9" i="2" s="1"/>
  <c r="G407" i="1"/>
  <c r="H308" i="8"/>
  <c r="H306" i="8" s="1"/>
  <c r="H299" i="8" s="1"/>
  <c r="F300" i="8"/>
  <c r="F299" i="8" s="1"/>
  <c r="F61" i="8"/>
  <c r="G59" i="8" s="1"/>
  <c r="G60" i="8" s="1"/>
  <c r="G57" i="8"/>
  <c r="O252" i="1"/>
  <c r="N285" i="1"/>
  <c r="I21" i="8"/>
  <c r="J21" i="8" s="1"/>
  <c r="G16" i="8"/>
  <c r="H16" i="8" s="1"/>
  <c r="C35" i="5"/>
  <c r="C34" i="5"/>
  <c r="D413" i="1"/>
  <c r="C415" i="1"/>
  <c r="C416" i="1" s="1"/>
  <c r="C413" i="1"/>
  <c r="C33" i="5"/>
  <c r="C36" i="5" s="1"/>
  <c r="C37" i="5" s="1"/>
  <c r="C38" i="5" s="1"/>
  <c r="I85" i="5"/>
  <c r="I305" i="8"/>
  <c r="I88" i="5"/>
  <c r="B38" i="6"/>
  <c r="B355" i="1"/>
  <c r="I13" i="8"/>
  <c r="J13" i="8" s="1"/>
  <c r="F122" i="8"/>
  <c r="F110" i="8"/>
  <c r="F126" i="1"/>
  <c r="M296" i="1"/>
  <c r="M317" i="1"/>
  <c r="L277" i="1"/>
  <c r="L280" i="1"/>
  <c r="M276" i="1"/>
  <c r="G95" i="5"/>
  <c r="G101" i="5" s="1"/>
  <c r="G102" i="5" s="1"/>
  <c r="G308" i="8"/>
  <c r="G306" i="8" s="1"/>
  <c r="K305" i="8"/>
  <c r="J185" i="8" l="1"/>
  <c r="J187" i="8" s="1"/>
  <c r="J236" i="8"/>
  <c r="E72" i="8"/>
  <c r="G185" i="8"/>
  <c r="G187" i="8" s="1"/>
  <c r="G236" i="8"/>
  <c r="C150" i="8"/>
  <c r="D323" i="8"/>
  <c r="H27" i="8"/>
  <c r="I16" i="8" s="1"/>
  <c r="E40" i="8"/>
  <c r="E466" i="1"/>
  <c r="E488" i="1"/>
  <c r="M245" i="1"/>
  <c r="M54" i="5" s="1"/>
  <c r="M91" i="5" s="1"/>
  <c r="M17" i="5"/>
  <c r="M244" i="1"/>
  <c r="M53" i="5" s="1"/>
  <c r="M16" i="5"/>
  <c r="M15" i="5"/>
  <c r="M243" i="1"/>
  <c r="M52" i="5" s="1"/>
  <c r="E110" i="8"/>
  <c r="E126" i="1"/>
  <c r="N296" i="1"/>
  <c r="N317" i="1"/>
  <c r="H185" i="8"/>
  <c r="H187" i="8" s="1"/>
  <c r="H236" i="8"/>
  <c r="U257" i="1"/>
  <c r="V253" i="1"/>
  <c r="E236" i="8"/>
  <c r="E185" i="8"/>
  <c r="J387" i="1"/>
  <c r="I407" i="1"/>
  <c r="H407" i="1"/>
  <c r="K65" i="5"/>
  <c r="K167" i="8" s="1"/>
  <c r="F17" i="7"/>
  <c r="F6" i="7"/>
  <c r="E65" i="5"/>
  <c r="E167" i="8" s="1"/>
  <c r="I11" i="8"/>
  <c r="J11" i="8" s="1"/>
  <c r="Q204" i="1"/>
  <c r="R439" i="1"/>
  <c r="G5" i="5"/>
  <c r="F42" i="5"/>
  <c r="I300" i="8"/>
  <c r="I299" i="8" s="1"/>
  <c r="F47" i="8"/>
  <c r="G43" i="8"/>
  <c r="F234" i="8"/>
  <c r="F183" i="8"/>
  <c r="L25" i="8"/>
  <c r="M25" i="8" s="1"/>
  <c r="B38" i="13"/>
  <c r="B110" i="8"/>
  <c r="B95" i="8"/>
  <c r="C8" i="13" s="1"/>
  <c r="B126" i="1"/>
  <c r="D80" i="8"/>
  <c r="L304" i="8"/>
  <c r="L90" i="5"/>
  <c r="L96" i="5"/>
  <c r="L309" i="8"/>
  <c r="L303" i="8"/>
  <c r="L89" i="5"/>
  <c r="G17" i="8"/>
  <c r="M10" i="7"/>
  <c r="M21" i="7"/>
  <c r="R298" i="1"/>
  <c r="N421" i="1"/>
  <c r="M7" i="7"/>
  <c r="M18" i="7"/>
  <c r="R263" i="1"/>
  <c r="N419" i="1"/>
  <c r="I49" i="8"/>
  <c r="K20" i="8"/>
  <c r="L20" i="8" s="1"/>
  <c r="M280" i="1"/>
  <c r="M277" i="1"/>
  <c r="N276" i="1"/>
  <c r="M282" i="1"/>
  <c r="P252" i="1"/>
  <c r="O285" i="1"/>
  <c r="B150" i="8"/>
  <c r="G150" i="8"/>
  <c r="M302" i="1"/>
  <c r="L300" i="1"/>
  <c r="L318" i="1" s="1"/>
  <c r="F283" i="8"/>
  <c r="F281" i="8"/>
  <c r="D236" i="8"/>
  <c r="D185" i="8"/>
  <c r="D110" i="8"/>
  <c r="B96" i="8" s="1"/>
  <c r="D9" i="13" s="1"/>
  <c r="D126" i="1"/>
  <c r="D81" i="8"/>
  <c r="M233" i="1"/>
  <c r="M47" i="5" s="1"/>
  <c r="M10" i="5"/>
  <c r="M242" i="1"/>
  <c r="M51" i="5" s="1"/>
  <c r="M14" i="5"/>
  <c r="M8" i="5"/>
  <c r="M231" i="1"/>
  <c r="M45" i="5" s="1"/>
  <c r="M188" i="1"/>
  <c r="M20" i="5"/>
  <c r="M236" i="1"/>
  <c r="M57" i="5" s="1"/>
  <c r="L21" i="5"/>
  <c r="L237" i="1"/>
  <c r="L58" i="5" s="1"/>
  <c r="L82" i="5"/>
  <c r="L302" i="8"/>
  <c r="J22" i="8"/>
  <c r="K22" i="8" s="1"/>
  <c r="I31" i="5"/>
  <c r="L283" i="1"/>
  <c r="G61" i="8"/>
  <c r="H57" i="8"/>
  <c r="G408" i="1"/>
  <c r="G410" i="1"/>
  <c r="G29" i="5"/>
  <c r="G30" i="5"/>
  <c r="G31" i="5"/>
  <c r="D85" i="8"/>
  <c r="D86" i="8" s="1"/>
  <c r="C322" i="8"/>
  <c r="E150" i="8"/>
  <c r="E21" i="2"/>
  <c r="D21" i="2"/>
  <c r="D150" i="8"/>
  <c r="F150" i="8"/>
  <c r="O276" i="8"/>
  <c r="P267" i="8"/>
  <c r="E73" i="8"/>
  <c r="F69" i="8"/>
  <c r="E89" i="8"/>
  <c r="T282" i="8"/>
  <c r="J24" i="8"/>
  <c r="K24" i="8" s="1"/>
  <c r="E280" i="8"/>
  <c r="G299" i="8"/>
  <c r="D87" i="8"/>
  <c r="O281" i="1"/>
  <c r="P278" i="1"/>
  <c r="L9" i="8"/>
  <c r="M9" i="8" s="1"/>
  <c r="V269" i="1"/>
  <c r="U270" i="1"/>
  <c r="C110" i="8"/>
  <c r="C126" i="1"/>
  <c r="E77" i="8"/>
  <c r="E41" i="8"/>
  <c r="F39" i="8" s="1"/>
  <c r="F37" i="8"/>
  <c r="K300" i="8"/>
  <c r="M230" i="1"/>
  <c r="M44" i="5" s="1"/>
  <c r="M7" i="5"/>
  <c r="M11" i="5"/>
  <c r="M234" i="1"/>
  <c r="M48" i="5" s="1"/>
  <c r="M13" i="5"/>
  <c r="M241" i="1"/>
  <c r="M50" i="5" s="1"/>
  <c r="M87" i="5" s="1"/>
  <c r="M26" i="5"/>
  <c r="M249" i="1"/>
  <c r="M63" i="5" s="1"/>
  <c r="M100" i="5" s="1"/>
  <c r="M22" i="5"/>
  <c r="M238" i="1"/>
  <c r="M59" i="5" s="1"/>
  <c r="M232" i="1"/>
  <c r="M46" i="5" s="1"/>
  <c r="M9" i="5"/>
  <c r="M199" i="1"/>
  <c r="M247" i="1"/>
  <c r="M61" i="5" s="1"/>
  <c r="M98" i="5" s="1"/>
  <c r="M24" i="5"/>
  <c r="N187" i="1"/>
  <c r="N198" i="1"/>
  <c r="N196" i="1"/>
  <c r="N185" i="1"/>
  <c r="N189" i="1"/>
  <c r="N182" i="1"/>
  <c r="N183" i="1"/>
  <c r="N207" i="1"/>
  <c r="N219" i="1"/>
  <c r="N218" i="1"/>
  <c r="N205" i="1"/>
  <c r="N216" i="1"/>
  <c r="N217" i="1"/>
  <c r="O177" i="1"/>
  <c r="N193" i="1"/>
  <c r="N184" i="1"/>
  <c r="N195" i="1"/>
  <c r="N206" i="1"/>
  <c r="N208" i="1"/>
  <c r="N223" i="1"/>
  <c r="N194" i="1"/>
  <c r="N181" i="1"/>
  <c r="N215" i="1"/>
  <c r="N200" i="1"/>
  <c r="N192" i="1"/>
  <c r="N212" i="1"/>
  <c r="N210" i="1"/>
  <c r="N211" i="1" s="1"/>
  <c r="N221" i="1"/>
  <c r="N222" i="1" s="1"/>
  <c r="L83" i="5"/>
  <c r="L84" i="5"/>
  <c r="L55" i="5"/>
  <c r="L92" i="5" s="1"/>
  <c r="L81" i="5"/>
  <c r="L301" i="8"/>
  <c r="L94" i="5"/>
  <c r="L307" i="8"/>
  <c r="E67" i="8"/>
  <c r="F65" i="8" s="1"/>
  <c r="F66" i="8" s="1"/>
  <c r="F63" i="8"/>
  <c r="R292" i="1"/>
  <c r="Q293" i="1"/>
  <c r="P288" i="1"/>
  <c r="O290" i="1"/>
  <c r="O289" i="1"/>
  <c r="O295" i="1"/>
  <c r="O266" i="1"/>
  <c r="P267" i="1"/>
  <c r="O265" i="1"/>
  <c r="C99" i="5"/>
  <c r="C101" i="5" s="1"/>
  <c r="C102" i="5" s="1"/>
  <c r="C308" i="8"/>
  <c r="C306" i="8" s="1"/>
  <c r="C299" i="8" s="1"/>
  <c r="C64" i="5"/>
  <c r="C65" i="5" s="1"/>
  <c r="C167" i="8" s="1"/>
  <c r="N282" i="1"/>
  <c r="O256" i="1"/>
  <c r="O255" i="1"/>
  <c r="P254" i="1"/>
  <c r="O261" i="1"/>
  <c r="O260" i="1"/>
  <c r="E168" i="8"/>
  <c r="E186" i="8"/>
  <c r="E13" i="2"/>
  <c r="E14" i="2" s="1"/>
  <c r="G33" i="5"/>
  <c r="G34" i="5"/>
  <c r="G413" i="1"/>
  <c r="G415" i="1"/>
  <c r="G35" i="5"/>
  <c r="J10" i="8"/>
  <c r="K10" i="8" s="1"/>
  <c r="K308" i="8"/>
  <c r="K306" i="8" s="1"/>
  <c r="K95" i="5"/>
  <c r="K101" i="5"/>
  <c r="K102" i="5" s="1"/>
  <c r="F416" i="1"/>
  <c r="Q315" i="1"/>
  <c r="R311" i="1"/>
  <c r="Q312" i="1"/>
  <c r="R308" i="1"/>
  <c r="R305" i="1"/>
  <c r="S304" i="1"/>
  <c r="G418" i="1"/>
  <c r="G417" i="1"/>
  <c r="H390" i="1"/>
  <c r="N15" i="8"/>
  <c r="O15" i="8" s="1"/>
  <c r="I92" i="5"/>
  <c r="I102" i="5" s="1"/>
  <c r="E36" i="5"/>
  <c r="E37" i="5" s="1"/>
  <c r="E38" i="5" s="1"/>
  <c r="G75" i="8"/>
  <c r="G104" i="8" s="1"/>
  <c r="H33" i="8"/>
  <c r="C320" i="8"/>
  <c r="C348" i="8"/>
  <c r="L98" i="5"/>
  <c r="L25" i="5"/>
  <c r="L27" i="5" s="1"/>
  <c r="L28" i="5" s="1"/>
  <c r="L248" i="1"/>
  <c r="L62" i="5" s="1"/>
  <c r="L88" i="5"/>
  <c r="L87" i="5"/>
  <c r="L91" i="5"/>
  <c r="L85" i="5"/>
  <c r="L305" i="8"/>
  <c r="I8" i="8"/>
  <c r="H17" i="8"/>
  <c r="T271" i="1"/>
  <c r="S274" i="1"/>
  <c r="H51" i="8"/>
  <c r="H52" i="8" s="1"/>
  <c r="H53" i="8" s="1"/>
  <c r="I51" i="8" s="1"/>
  <c r="I52" i="8" s="1"/>
  <c r="K236" i="8" l="1"/>
  <c r="K185" i="8"/>
  <c r="K187" i="8" s="1"/>
  <c r="I185" i="8"/>
  <c r="I187" i="8" s="1"/>
  <c r="I236" i="8"/>
  <c r="U271" i="1"/>
  <c r="T274" i="1"/>
  <c r="J8" i="8"/>
  <c r="I17" i="8"/>
  <c r="L99" i="5"/>
  <c r="I33" i="8"/>
  <c r="H75" i="8"/>
  <c r="H104" i="8" s="1"/>
  <c r="H418" i="1"/>
  <c r="I390" i="1"/>
  <c r="H417" i="1"/>
  <c r="G6" i="7"/>
  <c r="G17" i="7"/>
  <c r="S308" i="1"/>
  <c r="S305" i="1"/>
  <c r="T304" i="1"/>
  <c r="O282" i="1"/>
  <c r="P256" i="1"/>
  <c r="Q254" i="1"/>
  <c r="P255" i="1"/>
  <c r="P261" i="1"/>
  <c r="P260" i="1"/>
  <c r="P290" i="1"/>
  <c r="P289" i="1"/>
  <c r="Q288" i="1"/>
  <c r="P295" i="1"/>
  <c r="S292" i="1"/>
  <c r="R293" i="1"/>
  <c r="F67" i="8"/>
  <c r="G63" i="8"/>
  <c r="L101" i="5"/>
  <c r="L102" i="5" s="1"/>
  <c r="N249" i="1"/>
  <c r="N63" i="5" s="1"/>
  <c r="N26" i="5"/>
  <c r="N230" i="1"/>
  <c r="N44" i="5" s="1"/>
  <c r="N7" i="5"/>
  <c r="N233" i="1"/>
  <c r="N47" i="5" s="1"/>
  <c r="N10" i="5"/>
  <c r="P177" i="1"/>
  <c r="O187" i="1"/>
  <c r="O198" i="1"/>
  <c r="O221" i="1"/>
  <c r="O222" i="1" s="1"/>
  <c r="O210" i="1"/>
  <c r="O211" i="1" s="1"/>
  <c r="O192" i="1"/>
  <c r="O193" i="1"/>
  <c r="O184" i="1"/>
  <c r="O196" i="1"/>
  <c r="O182" i="1"/>
  <c r="O185" i="1"/>
  <c r="O195" i="1"/>
  <c r="O208" i="1"/>
  <c r="O216" i="1"/>
  <c r="O217" i="1"/>
  <c r="O207" i="1"/>
  <c r="O206" i="1"/>
  <c r="O181" i="1"/>
  <c r="O194" i="1"/>
  <c r="O189" i="1"/>
  <c r="O218" i="1"/>
  <c r="O223" i="1"/>
  <c r="O215" i="1"/>
  <c r="O183" i="1"/>
  <c r="O200" i="1"/>
  <c r="O205" i="1"/>
  <c r="O212" i="1"/>
  <c r="O219" i="1"/>
  <c r="N8" i="5"/>
  <c r="N231" i="1"/>
  <c r="N45" i="5" s="1"/>
  <c r="N11" i="5"/>
  <c r="N234" i="1"/>
  <c r="N48" i="5" s="1"/>
  <c r="N24" i="5"/>
  <c r="N199" i="1"/>
  <c r="N247" i="1"/>
  <c r="N61" i="5" s="1"/>
  <c r="N98" i="5" s="1"/>
  <c r="M25" i="5"/>
  <c r="M248" i="1"/>
  <c r="M62" i="5" s="1"/>
  <c r="M83" i="5"/>
  <c r="M81" i="5"/>
  <c r="M301" i="8"/>
  <c r="M55" i="5"/>
  <c r="F77" i="8"/>
  <c r="G37" i="8"/>
  <c r="W269" i="1"/>
  <c r="V270" i="1"/>
  <c r="Q278" i="1"/>
  <c r="P281" i="1"/>
  <c r="D322" i="8"/>
  <c r="E85" i="8"/>
  <c r="E86" i="8" s="1"/>
  <c r="E87" i="8" s="1"/>
  <c r="F71" i="8"/>
  <c r="G32" i="5"/>
  <c r="H59" i="8"/>
  <c r="H60" i="8" s="1"/>
  <c r="M307" i="8"/>
  <c r="M94" i="5"/>
  <c r="M64" i="5"/>
  <c r="M65" i="5" s="1"/>
  <c r="M167" i="8" s="1"/>
  <c r="M237" i="1"/>
  <c r="M58" i="5" s="1"/>
  <c r="M21" i="5"/>
  <c r="M88" i="5"/>
  <c r="M84" i="5"/>
  <c r="D321" i="8"/>
  <c r="E79" i="8"/>
  <c r="G281" i="8"/>
  <c r="G283" i="8"/>
  <c r="N302" i="1"/>
  <c r="M300" i="1"/>
  <c r="M318" i="1" s="1"/>
  <c r="P285" i="1"/>
  <c r="Q252" i="1"/>
  <c r="K21" i="8"/>
  <c r="L21" i="8" s="1"/>
  <c r="N280" i="1"/>
  <c r="O276" i="1"/>
  <c r="N277" i="1"/>
  <c r="M283" i="1"/>
  <c r="J49" i="8"/>
  <c r="I53" i="8"/>
  <c r="S263" i="1"/>
  <c r="O419" i="1"/>
  <c r="N25" i="8"/>
  <c r="O25" i="8" s="1"/>
  <c r="F83" i="8"/>
  <c r="H5" i="5"/>
  <c r="G42" i="5"/>
  <c r="K387" i="1"/>
  <c r="M303" i="8"/>
  <c r="M89" i="5"/>
  <c r="E91" i="8"/>
  <c r="E92" i="8" s="1"/>
  <c r="E93" i="8" s="1"/>
  <c r="G183" i="8"/>
  <c r="G234" i="8"/>
  <c r="P15" i="8"/>
  <c r="Q15" i="8" s="1"/>
  <c r="R312" i="1"/>
  <c r="R315" i="1"/>
  <c r="S311" i="1"/>
  <c r="G36" i="5"/>
  <c r="C185" i="8"/>
  <c r="C187" i="8" s="1"/>
  <c r="C188" i="8" s="1"/>
  <c r="C236" i="8"/>
  <c r="C112" i="5"/>
  <c r="P265" i="1"/>
  <c r="Q267" i="1"/>
  <c r="P266" i="1"/>
  <c r="O296" i="1"/>
  <c r="O317" i="1"/>
  <c r="L64" i="5"/>
  <c r="L65" i="5" s="1"/>
  <c r="L167" i="8" s="1"/>
  <c r="L300" i="8"/>
  <c r="N13" i="5"/>
  <c r="N241" i="1"/>
  <c r="N50" i="5" s="1"/>
  <c r="N15" i="5"/>
  <c r="N243" i="1"/>
  <c r="N52" i="5" s="1"/>
  <c r="N16" i="5"/>
  <c r="N244" i="1"/>
  <c r="N53" i="5" s="1"/>
  <c r="N14" i="5"/>
  <c r="N242" i="1"/>
  <c r="N51" i="5" s="1"/>
  <c r="N232" i="1"/>
  <c r="N46" i="5" s="1"/>
  <c r="N83" i="5" s="1"/>
  <c r="N9" i="5"/>
  <c r="N238" i="1"/>
  <c r="N59" i="5" s="1"/>
  <c r="N22" i="5"/>
  <c r="N245" i="1"/>
  <c r="N54" i="5" s="1"/>
  <c r="N91" i="5" s="1"/>
  <c r="N17" i="5"/>
  <c r="N20" i="5"/>
  <c r="N236" i="1"/>
  <c r="N57" i="5" s="1"/>
  <c r="N188" i="1"/>
  <c r="M309" i="8"/>
  <c r="M96" i="5"/>
  <c r="M305" i="8"/>
  <c r="M85" i="5"/>
  <c r="M18" i="5"/>
  <c r="K299" i="8"/>
  <c r="F40" i="8"/>
  <c r="F41" i="8" s="1"/>
  <c r="G39" i="8" s="1"/>
  <c r="G69" i="8"/>
  <c r="F89" i="8"/>
  <c r="O26" i="8"/>
  <c r="P26" i="8" s="1"/>
  <c r="P276" i="8"/>
  <c r="Q267" i="8"/>
  <c r="J19" i="8"/>
  <c r="K19" i="8" s="1"/>
  <c r="G416" i="1"/>
  <c r="H61" i="8"/>
  <c r="I59" i="8" s="1"/>
  <c r="I60" i="8" s="1"/>
  <c r="I57" i="8"/>
  <c r="L308" i="8"/>
  <c r="L306" i="8" s="1"/>
  <c r="L95" i="5"/>
  <c r="M27" i="5"/>
  <c r="M302" i="8"/>
  <c r="M82" i="5"/>
  <c r="D187" i="8"/>
  <c r="F280" i="8"/>
  <c r="U282" i="8"/>
  <c r="M20" i="8"/>
  <c r="N20" i="8" s="1"/>
  <c r="N7" i="7"/>
  <c r="N18" i="7"/>
  <c r="N21" i="7"/>
  <c r="N10" i="7"/>
  <c r="O421" i="1"/>
  <c r="S298" i="1"/>
  <c r="D312" i="8"/>
  <c r="D9" i="2" s="1"/>
  <c r="C8" i="16"/>
  <c r="B45" i="13"/>
  <c r="B51" i="13"/>
  <c r="B57" i="13"/>
  <c r="C33" i="13"/>
  <c r="H43" i="8"/>
  <c r="G45" i="8"/>
  <c r="G46" i="8" s="1"/>
  <c r="G47" i="8" s="1"/>
  <c r="H45" i="8" s="1"/>
  <c r="H46" i="8" s="1"/>
  <c r="R204" i="1"/>
  <c r="S439" i="1"/>
  <c r="K11" i="8"/>
  <c r="L11" i="8" s="1"/>
  <c r="H410" i="1"/>
  <c r="H408" i="1"/>
  <c r="H30" i="5"/>
  <c r="H29" i="5"/>
  <c r="H32" i="5" s="1"/>
  <c r="H31" i="5"/>
  <c r="I410" i="1"/>
  <c r="I408" i="1"/>
  <c r="I30" i="5"/>
  <c r="I29" i="5"/>
  <c r="E187" i="8"/>
  <c r="W253" i="1"/>
  <c r="V257" i="1"/>
  <c r="M14" i="8"/>
  <c r="N14" i="8" s="1"/>
  <c r="M90" i="5"/>
  <c r="M304" i="8"/>
  <c r="I27" i="8"/>
  <c r="H412" i="1"/>
  <c r="K13" i="8"/>
  <c r="L13" i="8" s="1"/>
  <c r="E323" i="8" l="1"/>
  <c r="F91" i="8"/>
  <c r="F92" i="8" s="1"/>
  <c r="G40" i="8"/>
  <c r="L236" i="8"/>
  <c r="L185" i="8"/>
  <c r="J27" i="8"/>
  <c r="I412" i="1"/>
  <c r="T439" i="1"/>
  <c r="S204" i="1"/>
  <c r="C10" i="16"/>
  <c r="C28" i="16" s="1"/>
  <c r="F93" i="8"/>
  <c r="N21" i="5"/>
  <c r="N237" i="1"/>
  <c r="N58" i="5" s="1"/>
  <c r="N309" i="8"/>
  <c r="N96" i="5"/>
  <c r="L299" i="8"/>
  <c r="I5" i="5"/>
  <c r="H42" i="5"/>
  <c r="K49" i="8"/>
  <c r="N283" i="1"/>
  <c r="Q285" i="1"/>
  <c r="R252" i="1"/>
  <c r="H283" i="8"/>
  <c r="H281" i="8"/>
  <c r="H280" i="8" s="1"/>
  <c r="E80" i="8"/>
  <c r="E81" i="8" s="1"/>
  <c r="E312" i="8"/>
  <c r="E9" i="2" s="1"/>
  <c r="F72" i="8"/>
  <c r="F73" i="8" s="1"/>
  <c r="G71" i="8" s="1"/>
  <c r="E322" i="8"/>
  <c r="F85" i="8"/>
  <c r="F86" i="8" s="1"/>
  <c r="G41" i="8"/>
  <c r="H37" i="8"/>
  <c r="G77" i="8"/>
  <c r="M300" i="8"/>
  <c r="N25" i="5"/>
  <c r="N27" i="5" s="1"/>
  <c r="N248" i="1"/>
  <c r="N62" i="5" s="1"/>
  <c r="N305" i="8"/>
  <c r="N85" i="5"/>
  <c r="N302" i="8"/>
  <c r="N82" i="5"/>
  <c r="O9" i="5"/>
  <c r="O232" i="1"/>
  <c r="O46" i="5" s="1"/>
  <c r="O22" i="5"/>
  <c r="O238" i="1"/>
  <c r="O59" i="5" s="1"/>
  <c r="O230" i="1"/>
  <c r="O44" i="5" s="1"/>
  <c r="O7" i="5"/>
  <c r="O244" i="1"/>
  <c r="O53" i="5" s="1"/>
  <c r="O16" i="5"/>
  <c r="O8" i="5"/>
  <c r="O231" i="1"/>
  <c r="O45" i="5" s="1"/>
  <c r="O233" i="1"/>
  <c r="O47" i="5" s="1"/>
  <c r="O84" i="5" s="1"/>
  <c r="O10" i="5"/>
  <c r="O13" i="5"/>
  <c r="O241" i="1"/>
  <c r="O50" i="5" s="1"/>
  <c r="O20" i="5"/>
  <c r="O236" i="1"/>
  <c r="O57" i="5" s="1"/>
  <c r="O188" i="1"/>
  <c r="N18" i="5"/>
  <c r="H63" i="8"/>
  <c r="P296" i="1"/>
  <c r="P317" i="1"/>
  <c r="T308" i="1"/>
  <c r="T305" i="1"/>
  <c r="U304" i="1"/>
  <c r="I418" i="1"/>
  <c r="I417" i="1"/>
  <c r="J390" i="1"/>
  <c r="H234" i="8"/>
  <c r="H183" i="8"/>
  <c r="K8" i="8"/>
  <c r="U274" i="1"/>
  <c r="V271" i="1"/>
  <c r="H415" i="1"/>
  <c r="H33" i="5"/>
  <c r="H413" i="1"/>
  <c r="H34" i="5"/>
  <c r="H35" i="5"/>
  <c r="O14" i="8"/>
  <c r="P14" i="8" s="1"/>
  <c r="X253" i="1"/>
  <c r="W257" i="1"/>
  <c r="I32" i="5"/>
  <c r="H416" i="1"/>
  <c r="G83" i="8"/>
  <c r="H47" i="8"/>
  <c r="I45" i="8" s="1"/>
  <c r="I46" i="8" s="1"/>
  <c r="I43" i="8"/>
  <c r="H83" i="8"/>
  <c r="P421" i="1"/>
  <c r="T298" i="1"/>
  <c r="O21" i="7"/>
  <c r="O10" i="7"/>
  <c r="V282" i="8"/>
  <c r="I61" i="8"/>
  <c r="J57" i="8"/>
  <c r="Q276" i="8"/>
  <c r="R267" i="8"/>
  <c r="Q26" i="8"/>
  <c r="R26" i="8" s="1"/>
  <c r="H69" i="8"/>
  <c r="G89" i="8"/>
  <c r="N9" i="8"/>
  <c r="O9" i="8" s="1"/>
  <c r="M28" i="5"/>
  <c r="N94" i="5"/>
  <c r="N307" i="8"/>
  <c r="N64" i="5"/>
  <c r="N88" i="5"/>
  <c r="N90" i="5"/>
  <c r="N304" i="8"/>
  <c r="N89" i="5"/>
  <c r="N303" i="8"/>
  <c r="N87" i="5"/>
  <c r="R267" i="1"/>
  <c r="Q266" i="1"/>
  <c r="Q265" i="1"/>
  <c r="S315" i="1"/>
  <c r="T311" i="1"/>
  <c r="S312" i="1"/>
  <c r="L387" i="1"/>
  <c r="K407" i="1"/>
  <c r="J407" i="1"/>
  <c r="F87" i="8"/>
  <c r="O7" i="7"/>
  <c r="O18" i="7"/>
  <c r="P419" i="1"/>
  <c r="T263" i="1"/>
  <c r="J51" i="8"/>
  <c r="J52" i="8" s="1"/>
  <c r="J53" i="8" s="1"/>
  <c r="K51" i="8" s="1"/>
  <c r="K52" i="8" s="1"/>
  <c r="O277" i="1"/>
  <c r="O280" i="1"/>
  <c r="P276" i="1"/>
  <c r="O302" i="1"/>
  <c r="N300" i="1"/>
  <c r="N318" i="1" s="1"/>
  <c r="G280" i="8"/>
  <c r="D320" i="8"/>
  <c r="D348" i="8"/>
  <c r="M308" i="8"/>
  <c r="M306" i="8" s="1"/>
  <c r="M95" i="5"/>
  <c r="M101" i="5" s="1"/>
  <c r="L22" i="8"/>
  <c r="M22" i="8" s="1"/>
  <c r="G37" i="5"/>
  <c r="G38" i="5" s="1"/>
  <c r="L24" i="8"/>
  <c r="M24" i="8" s="1"/>
  <c r="Q281" i="1"/>
  <c r="R278" i="1"/>
  <c r="X269" i="1"/>
  <c r="W270" i="1"/>
  <c r="M92" i="5"/>
  <c r="M99" i="5"/>
  <c r="O249" i="1"/>
  <c r="O63" i="5" s="1"/>
  <c r="O26" i="5"/>
  <c r="O243" i="1"/>
  <c r="O52" i="5" s="1"/>
  <c r="O15" i="5"/>
  <c r="O11" i="5"/>
  <c r="O234" i="1"/>
  <c r="O48" i="5" s="1"/>
  <c r="O17" i="5"/>
  <c r="O245" i="1"/>
  <c r="O54" i="5" s="1"/>
  <c r="O91" i="5" s="1"/>
  <c r="O242" i="1"/>
  <c r="O51" i="5" s="1"/>
  <c r="O14" i="5"/>
  <c r="O199" i="1"/>
  <c r="O24" i="5"/>
  <c r="O247" i="1"/>
  <c r="O61" i="5" s="1"/>
  <c r="P198" i="1"/>
  <c r="P187" i="1"/>
  <c r="Q177" i="1"/>
  <c r="P210" i="1"/>
  <c r="P211" i="1" s="1"/>
  <c r="P181" i="1"/>
  <c r="P196" i="1"/>
  <c r="P185" i="1"/>
  <c r="P183" i="1"/>
  <c r="P189" i="1"/>
  <c r="P182" i="1"/>
  <c r="P208" i="1"/>
  <c r="P215" i="1"/>
  <c r="P219" i="1"/>
  <c r="P205" i="1"/>
  <c r="P223" i="1"/>
  <c r="P194" i="1"/>
  <c r="P184" i="1"/>
  <c r="P192" i="1"/>
  <c r="P207" i="1"/>
  <c r="P218" i="1"/>
  <c r="P217" i="1"/>
  <c r="P193" i="1"/>
  <c r="P195" i="1"/>
  <c r="P200" i="1"/>
  <c r="P212" i="1"/>
  <c r="P206" i="1"/>
  <c r="P216" i="1"/>
  <c r="P221" i="1"/>
  <c r="P222" i="1" s="1"/>
  <c r="N84" i="5"/>
  <c r="N301" i="8"/>
  <c r="N300" i="8" s="1"/>
  <c r="N55" i="5"/>
  <c r="N92" i="5" s="1"/>
  <c r="N81" i="5"/>
  <c r="N100" i="5"/>
  <c r="G65" i="8"/>
  <c r="G66" i="8" s="1"/>
  <c r="G67" i="8" s="1"/>
  <c r="H65" i="8" s="1"/>
  <c r="H66" i="8" s="1"/>
  <c r="S293" i="1"/>
  <c r="T292" i="1"/>
  <c r="R288" i="1"/>
  <c r="Q290" i="1"/>
  <c r="Q289" i="1"/>
  <c r="Q295" i="1"/>
  <c r="Q256" i="1"/>
  <c r="Q255" i="1"/>
  <c r="R254" i="1"/>
  <c r="Q261" i="1"/>
  <c r="Q260" i="1"/>
  <c r="L10" i="8"/>
  <c r="M10" i="8" s="1"/>
  <c r="H17" i="7"/>
  <c r="H6" i="7"/>
  <c r="I75" i="8"/>
  <c r="I104" i="8" s="1"/>
  <c r="J33" i="8"/>
  <c r="J16" i="8"/>
  <c r="K16" i="8" s="1"/>
  <c r="I234" i="8" l="1"/>
  <c r="I183" i="8"/>
  <c r="Q296" i="1"/>
  <c r="Q317" i="1"/>
  <c r="U292" i="1"/>
  <c r="T293" i="1"/>
  <c r="P249" i="1"/>
  <c r="P63" i="5" s="1"/>
  <c r="P100" i="5" s="1"/>
  <c r="P26" i="5"/>
  <c r="P242" i="1"/>
  <c r="P51" i="5" s="1"/>
  <c r="P88" i="5" s="1"/>
  <c r="P14" i="5"/>
  <c r="P241" i="1"/>
  <c r="P50" i="5" s="1"/>
  <c r="P87" i="5" s="1"/>
  <c r="P13" i="5"/>
  <c r="P15" i="5"/>
  <c r="P243" i="1"/>
  <c r="P52" i="5" s="1"/>
  <c r="P231" i="1"/>
  <c r="P45" i="5" s="1"/>
  <c r="P8" i="5"/>
  <c r="P232" i="1"/>
  <c r="P46" i="5" s="1"/>
  <c r="P83" i="5" s="1"/>
  <c r="P9" i="5"/>
  <c r="P245" i="1"/>
  <c r="P54" i="5" s="1"/>
  <c r="P91" i="5" s="1"/>
  <c r="P17" i="5"/>
  <c r="P20" i="5"/>
  <c r="P188" i="1"/>
  <c r="P236" i="1"/>
  <c r="P57" i="5" s="1"/>
  <c r="O98" i="5"/>
  <c r="O248" i="1"/>
  <c r="O62" i="5" s="1"/>
  <c r="O99" i="5" s="1"/>
  <c r="O25" i="5"/>
  <c r="O88" i="5"/>
  <c r="O89" i="5"/>
  <c r="O303" i="8"/>
  <c r="O100" i="5"/>
  <c r="M102" i="5"/>
  <c r="X270" i="1"/>
  <c r="Y269" i="1"/>
  <c r="O300" i="1"/>
  <c r="O318" i="1" s="1"/>
  <c r="P302" i="1"/>
  <c r="M21" i="8"/>
  <c r="N21" i="8" s="1"/>
  <c r="P280" i="1"/>
  <c r="P277" i="1"/>
  <c r="Q276" i="1"/>
  <c r="P7" i="7"/>
  <c r="P18" i="7"/>
  <c r="J30" i="5"/>
  <c r="J408" i="1"/>
  <c r="J410" i="1"/>
  <c r="J29" i="5"/>
  <c r="J32" i="5" s="1"/>
  <c r="J31" i="5"/>
  <c r="K30" i="5"/>
  <c r="K410" i="1"/>
  <c r="K408" i="1"/>
  <c r="K29" i="5"/>
  <c r="T312" i="1"/>
  <c r="T315" i="1"/>
  <c r="U311" i="1"/>
  <c r="S267" i="1"/>
  <c r="R265" i="1"/>
  <c r="R266" i="1"/>
  <c r="N65" i="5"/>
  <c r="N167" i="8" s="1"/>
  <c r="J59" i="8"/>
  <c r="J60" i="8" s="1"/>
  <c r="O20" i="8"/>
  <c r="P20" i="8" s="1"/>
  <c r="Q421" i="1"/>
  <c r="U298" i="1"/>
  <c r="P10" i="7"/>
  <c r="P21" i="7"/>
  <c r="I47" i="8"/>
  <c r="J43" i="8"/>
  <c r="M11" i="8"/>
  <c r="N11" i="8" s="1"/>
  <c r="Y253" i="1"/>
  <c r="X257" i="1"/>
  <c r="L8" i="8"/>
  <c r="K17" i="8"/>
  <c r="I63" i="8"/>
  <c r="I83" i="8" s="1"/>
  <c r="H67" i="8"/>
  <c r="N28" i="5"/>
  <c r="O94" i="5"/>
  <c r="O307" i="8"/>
  <c r="O87" i="5"/>
  <c r="O302" i="8"/>
  <c r="O82" i="5"/>
  <c r="O18" i="5"/>
  <c r="O96" i="5"/>
  <c r="O309" i="8"/>
  <c r="O83" i="5"/>
  <c r="N99" i="5"/>
  <c r="M299" i="8"/>
  <c r="H39" i="8"/>
  <c r="G72" i="8"/>
  <c r="G73" i="8" s="1"/>
  <c r="H71" i="8" s="1"/>
  <c r="E321" i="8"/>
  <c r="F79" i="8"/>
  <c r="I281" i="8"/>
  <c r="I280" i="8" s="1"/>
  <c r="I283" i="8"/>
  <c r="K31" i="5"/>
  <c r="P25" i="8"/>
  <c r="Q25" i="8" s="1"/>
  <c r="I42" i="5"/>
  <c r="J5" i="5"/>
  <c r="F323" i="8"/>
  <c r="G91" i="8"/>
  <c r="G92" i="8" s="1"/>
  <c r="U439" i="1"/>
  <c r="T204" i="1"/>
  <c r="K27" i="8"/>
  <c r="J412" i="1"/>
  <c r="L187" i="8"/>
  <c r="L16" i="8"/>
  <c r="J75" i="8"/>
  <c r="J104" i="8" s="1"/>
  <c r="K33" i="8"/>
  <c r="Q282" i="1"/>
  <c r="S254" i="1"/>
  <c r="R255" i="1"/>
  <c r="R256" i="1"/>
  <c r="R261" i="1"/>
  <c r="R260" i="1"/>
  <c r="R290" i="1"/>
  <c r="R289" i="1"/>
  <c r="S288" i="1"/>
  <c r="R295" i="1"/>
  <c r="P244" i="1"/>
  <c r="P53" i="5" s="1"/>
  <c r="P16" i="5"/>
  <c r="P233" i="1"/>
  <c r="P47" i="5" s="1"/>
  <c r="P10" i="5"/>
  <c r="P238" i="1"/>
  <c r="P59" i="5" s="1"/>
  <c r="P22" i="5"/>
  <c r="P11" i="5"/>
  <c r="P234" i="1"/>
  <c r="P48" i="5" s="1"/>
  <c r="P230" i="1"/>
  <c r="P44" i="5" s="1"/>
  <c r="P7" i="5"/>
  <c r="P18" i="5" s="1"/>
  <c r="Q198" i="1"/>
  <c r="R177" i="1"/>
  <c r="Q187" i="1"/>
  <c r="Q194" i="1"/>
  <c r="Q196" i="1"/>
  <c r="Q195" i="1"/>
  <c r="Q212" i="1"/>
  <c r="Q205" i="1"/>
  <c r="Q216" i="1"/>
  <c r="Q223" i="1"/>
  <c r="Q181" i="1"/>
  <c r="Q185" i="1"/>
  <c r="Q192" i="1"/>
  <c r="Q208" i="1"/>
  <c r="Q206" i="1"/>
  <c r="Q189" i="1"/>
  <c r="Q218" i="1"/>
  <c r="Q219" i="1"/>
  <c r="Q200" i="1"/>
  <c r="Q183" i="1"/>
  <c r="Q184" i="1"/>
  <c r="Q193" i="1"/>
  <c r="Q215" i="1"/>
  <c r="Q217" i="1"/>
  <c r="Q182" i="1"/>
  <c r="Q207" i="1"/>
  <c r="Q221" i="1"/>
  <c r="Q222" i="1" s="1"/>
  <c r="Q210" i="1"/>
  <c r="Q211" i="1" s="1"/>
  <c r="P24" i="5"/>
  <c r="P199" i="1"/>
  <c r="P247" i="1"/>
  <c r="P61" i="5" s="1"/>
  <c r="P98" i="5" s="1"/>
  <c r="O85" i="5"/>
  <c r="O305" i="8"/>
  <c r="R281" i="1"/>
  <c r="S278" i="1"/>
  <c r="N22" i="8"/>
  <c r="O22" i="8" s="1"/>
  <c r="O283" i="1"/>
  <c r="Q419" i="1"/>
  <c r="U263" i="1"/>
  <c r="G85" i="8"/>
  <c r="G86" i="8" s="1"/>
  <c r="G87" i="8" s="1"/>
  <c r="F322" i="8"/>
  <c r="M387" i="1"/>
  <c r="G93" i="8"/>
  <c r="I69" i="8"/>
  <c r="H89" i="8"/>
  <c r="R276" i="8"/>
  <c r="S267" i="8"/>
  <c r="J61" i="8"/>
  <c r="K57" i="8"/>
  <c r="W282" i="8"/>
  <c r="Q14" i="8"/>
  <c r="R14" i="8" s="1"/>
  <c r="H36" i="5"/>
  <c r="H37" i="5" s="1"/>
  <c r="H38" i="5" s="1"/>
  <c r="M13" i="8"/>
  <c r="N13" i="8" s="1"/>
  <c r="W271" i="1"/>
  <c r="V274" i="1"/>
  <c r="J17" i="8"/>
  <c r="K390" i="1"/>
  <c r="J417" i="1"/>
  <c r="J418" i="1"/>
  <c r="I17" i="7"/>
  <c r="I6" i="7"/>
  <c r="U308" i="1"/>
  <c r="V304" i="1"/>
  <c r="U305" i="1"/>
  <c r="P282" i="1"/>
  <c r="O21" i="5"/>
  <c r="O237" i="1"/>
  <c r="O58" i="5" s="1"/>
  <c r="O27" i="5"/>
  <c r="O90" i="5"/>
  <c r="O304" i="8"/>
  <c r="O55" i="5"/>
  <c r="O92" i="5" s="1"/>
  <c r="O81" i="5"/>
  <c r="O301" i="8"/>
  <c r="I37" i="8"/>
  <c r="H77" i="8"/>
  <c r="R285" i="1"/>
  <c r="S252" i="1"/>
  <c r="K53" i="8"/>
  <c r="L49" i="8"/>
  <c r="R15" i="8"/>
  <c r="S15" i="8" s="1"/>
  <c r="N308" i="8"/>
  <c r="N306" i="8" s="1"/>
  <c r="N299" i="8" s="1"/>
  <c r="N95" i="5"/>
  <c r="N101" i="5" s="1"/>
  <c r="N102" i="5" s="1"/>
  <c r="L19" i="8"/>
  <c r="M19" i="8" s="1"/>
  <c r="I413" i="1"/>
  <c r="I35" i="5"/>
  <c r="I33" i="5"/>
  <c r="I36" i="5" s="1"/>
  <c r="I37" i="5" s="1"/>
  <c r="I38" i="5" s="1"/>
  <c r="I34" i="5"/>
  <c r="I415" i="1"/>
  <c r="I416" i="1" s="1"/>
  <c r="N185" i="8" l="1"/>
  <c r="N187" i="8" s="1"/>
  <c r="N236" i="8"/>
  <c r="H85" i="8"/>
  <c r="H86" i="8" s="1"/>
  <c r="H87" i="8" s="1"/>
  <c r="G322" i="8"/>
  <c r="M49" i="8"/>
  <c r="L51" i="8"/>
  <c r="L52" i="8" s="1"/>
  <c r="L53" i="8" s="1"/>
  <c r="M51" i="8" s="1"/>
  <c r="M52" i="8" s="1"/>
  <c r="J37" i="8"/>
  <c r="I77" i="8"/>
  <c r="O300" i="8"/>
  <c r="O95" i="5"/>
  <c r="O308" i="8"/>
  <c r="V305" i="1"/>
  <c r="V308" i="1"/>
  <c r="W304" i="1"/>
  <c r="J17" i="7"/>
  <c r="J6" i="7"/>
  <c r="L390" i="1"/>
  <c r="K417" i="1"/>
  <c r="K418" i="1"/>
  <c r="Z282" i="8"/>
  <c r="AA282" i="8" s="1"/>
  <c r="AB282" i="8" s="1"/>
  <c r="AC282" i="8" s="1"/>
  <c r="AD282" i="8" s="1"/>
  <c r="AE282" i="8" s="1"/>
  <c r="AF282" i="8" s="1"/>
  <c r="AG282" i="8" s="1"/>
  <c r="AH282" i="8" s="1"/>
  <c r="X282" i="8"/>
  <c r="Y282" i="8" s="1"/>
  <c r="K59" i="8"/>
  <c r="K60" i="8" s="1"/>
  <c r="G323" i="8"/>
  <c r="H91" i="8"/>
  <c r="H92" i="8" s="1"/>
  <c r="M407" i="1"/>
  <c r="N387" i="1"/>
  <c r="R419" i="1"/>
  <c r="V263" i="1"/>
  <c r="T278" i="1"/>
  <c r="S281" i="1"/>
  <c r="Q231" i="1"/>
  <c r="Q45" i="5" s="1"/>
  <c r="Q8" i="5"/>
  <c r="Q233" i="1"/>
  <c r="Q47" i="5" s="1"/>
  <c r="Q10" i="5"/>
  <c r="Q26" i="5"/>
  <c r="Q249" i="1"/>
  <c r="Q63" i="5" s="1"/>
  <c r="Q100" i="5" s="1"/>
  <c r="Q13" i="5"/>
  <c r="Q241" i="1"/>
  <c r="Q50" i="5" s="1"/>
  <c r="Q87" i="5" s="1"/>
  <c r="Q230" i="1"/>
  <c r="Q44" i="5" s="1"/>
  <c r="Q7" i="5"/>
  <c r="Q245" i="1"/>
  <c r="Q54" i="5" s="1"/>
  <c r="Q17" i="5"/>
  <c r="Q20" i="5"/>
  <c r="Q188" i="1"/>
  <c r="Q236" i="1"/>
  <c r="Q57" i="5" s="1"/>
  <c r="Q24" i="5"/>
  <c r="Q247" i="1"/>
  <c r="Q61" i="5" s="1"/>
  <c r="Q199" i="1"/>
  <c r="P301" i="8"/>
  <c r="P55" i="5"/>
  <c r="P92" i="5" s="1"/>
  <c r="P81" i="5"/>
  <c r="P309" i="8"/>
  <c r="P96" i="5"/>
  <c r="P84" i="5"/>
  <c r="P90" i="5"/>
  <c r="P304" i="8"/>
  <c r="R296" i="1"/>
  <c r="R317" i="1"/>
  <c r="S255" i="1"/>
  <c r="T254" i="1"/>
  <c r="S256" i="1"/>
  <c r="S261" i="1"/>
  <c r="S260" i="1"/>
  <c r="J234" i="8"/>
  <c r="J183" i="8"/>
  <c r="J33" i="5"/>
  <c r="J35" i="5"/>
  <c r="J34" i="5"/>
  <c r="J415" i="1"/>
  <c r="J413" i="1"/>
  <c r="E348" i="8"/>
  <c r="E320" i="8"/>
  <c r="H72" i="8"/>
  <c r="H73" i="8" s="1"/>
  <c r="I71" i="8" s="1"/>
  <c r="O28" i="5"/>
  <c r="O64" i="5"/>
  <c r="O65" i="5" s="1"/>
  <c r="O167" i="8" s="1"/>
  <c r="O101" i="5"/>
  <c r="O102" i="5" s="1"/>
  <c r="I65" i="8"/>
  <c r="I66" i="8" s="1"/>
  <c r="Q21" i="7"/>
  <c r="Q10" i="7"/>
  <c r="Q20" i="8"/>
  <c r="R20" i="8" s="1"/>
  <c r="P9" i="8"/>
  <c r="Q9" i="8" s="1"/>
  <c r="K32" i="5"/>
  <c r="J416" i="1"/>
  <c r="P21" i="5"/>
  <c r="P237" i="1"/>
  <c r="P58" i="5" s="1"/>
  <c r="P303" i="8"/>
  <c r="P89" i="5"/>
  <c r="V292" i="1"/>
  <c r="U293" i="1"/>
  <c r="S285" i="1"/>
  <c r="T252" i="1"/>
  <c r="X271" i="1"/>
  <c r="W274" i="1"/>
  <c r="L57" i="8"/>
  <c r="K61" i="8"/>
  <c r="T267" i="8"/>
  <c r="S276" i="8"/>
  <c r="H93" i="8"/>
  <c r="J69" i="8"/>
  <c r="I89" i="8"/>
  <c r="L407" i="1"/>
  <c r="Q18" i="7"/>
  <c r="Q7" i="7"/>
  <c r="N24" i="8"/>
  <c r="O24" i="8" s="1"/>
  <c r="P25" i="5"/>
  <c r="P248" i="1"/>
  <c r="P62" i="5" s="1"/>
  <c r="Q242" i="1"/>
  <c r="Q51" i="5" s="1"/>
  <c r="Q88" i="5" s="1"/>
  <c r="Q14" i="5"/>
  <c r="Q232" i="1"/>
  <c r="Q46" i="5" s="1"/>
  <c r="Q83" i="5" s="1"/>
  <c r="Q9" i="5"/>
  <c r="Q238" i="1"/>
  <c r="Q59" i="5" s="1"/>
  <c r="Q22" i="5"/>
  <c r="Q11" i="5"/>
  <c r="Q234" i="1"/>
  <c r="Q48" i="5" s="1"/>
  <c r="Q16" i="5"/>
  <c r="Q244" i="1"/>
  <c r="Q53" i="5" s="1"/>
  <c r="Q15" i="5"/>
  <c r="Q243" i="1"/>
  <c r="Q52" i="5" s="1"/>
  <c r="S177" i="1"/>
  <c r="R187" i="1"/>
  <c r="R198" i="1"/>
  <c r="R218" i="1"/>
  <c r="R216" i="1"/>
  <c r="R223" i="1"/>
  <c r="R205" i="1"/>
  <c r="R219" i="1"/>
  <c r="R181" i="1"/>
  <c r="R189" i="1"/>
  <c r="R194" i="1"/>
  <c r="R196" i="1"/>
  <c r="R193" i="1"/>
  <c r="R182" i="1"/>
  <c r="R207" i="1"/>
  <c r="R208" i="1"/>
  <c r="R217" i="1"/>
  <c r="R192" i="1"/>
  <c r="R185" i="1"/>
  <c r="R195" i="1"/>
  <c r="R212" i="1"/>
  <c r="R206" i="1"/>
  <c r="R215" i="1"/>
  <c r="R183" i="1"/>
  <c r="R184" i="1"/>
  <c r="R200" i="1"/>
  <c r="R221" i="1"/>
  <c r="R222" i="1" s="1"/>
  <c r="R210" i="1"/>
  <c r="R211" i="1" s="1"/>
  <c r="P305" i="8"/>
  <c r="P85" i="5"/>
  <c r="T288" i="1"/>
  <c r="S289" i="1"/>
  <c r="S290" i="1"/>
  <c r="S295" i="1"/>
  <c r="L33" i="8"/>
  <c r="K75" i="8"/>
  <c r="K104" i="8" s="1"/>
  <c r="M16" i="8"/>
  <c r="L27" i="8"/>
  <c r="K412" i="1"/>
  <c r="U204" i="1"/>
  <c r="V439" i="1"/>
  <c r="J42" i="5"/>
  <c r="K5" i="5"/>
  <c r="R25" i="8"/>
  <c r="S25" i="8" s="1"/>
  <c r="J281" i="8"/>
  <c r="J280" i="8" s="1"/>
  <c r="J283" i="8"/>
  <c r="F80" i="8"/>
  <c r="F81" i="8" s="1"/>
  <c r="F312" i="8"/>
  <c r="F9" i="2" s="1"/>
  <c r="H40" i="8"/>
  <c r="H41" i="8" s="1"/>
  <c r="I39" i="8" s="1"/>
  <c r="O306" i="8"/>
  <c r="I67" i="8"/>
  <c r="J63" i="8"/>
  <c r="J83" i="8" s="1"/>
  <c r="M8" i="8"/>
  <c r="L17" i="8"/>
  <c r="Z253" i="1"/>
  <c r="Y257" i="1"/>
  <c r="O11" i="8"/>
  <c r="P11" i="8" s="1"/>
  <c r="K43" i="8"/>
  <c r="J47" i="8"/>
  <c r="K45" i="8" s="1"/>
  <c r="K46" i="8" s="1"/>
  <c r="J45" i="8"/>
  <c r="J46" i="8" s="1"/>
  <c r="V298" i="1"/>
  <c r="R421" i="1"/>
  <c r="S26" i="8"/>
  <c r="T26" i="8" s="1"/>
  <c r="T267" i="1"/>
  <c r="S266" i="1"/>
  <c r="S265" i="1"/>
  <c r="U312" i="1"/>
  <c r="U315" i="1"/>
  <c r="V311" i="1"/>
  <c r="Q277" i="1"/>
  <c r="R276" i="1"/>
  <c r="Q280" i="1"/>
  <c r="M31" i="5"/>
  <c r="P283" i="1"/>
  <c r="Q302" i="1"/>
  <c r="P300" i="1"/>
  <c r="P318" i="1" s="1"/>
  <c r="Z269" i="1"/>
  <c r="Y270" i="1"/>
  <c r="M185" i="8"/>
  <c r="M236" i="8"/>
  <c r="P94" i="5"/>
  <c r="P307" i="8"/>
  <c r="P64" i="5"/>
  <c r="P65" i="5" s="1"/>
  <c r="P167" i="8" s="1"/>
  <c r="P27" i="5"/>
  <c r="P28" i="5" s="1"/>
  <c r="P302" i="8"/>
  <c r="P82" i="5"/>
  <c r="N10" i="8"/>
  <c r="O10" i="8" s="1"/>
  <c r="O236" i="8" l="1"/>
  <c r="O185" i="8"/>
  <c r="O187" i="8" s="1"/>
  <c r="AA269" i="1"/>
  <c r="Z270" i="1"/>
  <c r="Q283" i="1"/>
  <c r="W311" i="1"/>
  <c r="V312" i="1"/>
  <c r="V315" i="1"/>
  <c r="R280" i="1"/>
  <c r="R277" i="1"/>
  <c r="S276" i="1"/>
  <c r="U267" i="1"/>
  <c r="T265" i="1"/>
  <c r="T266" i="1"/>
  <c r="R21" i="7"/>
  <c r="R10" i="7"/>
  <c r="S421" i="1"/>
  <c r="W298" i="1"/>
  <c r="Z257" i="1"/>
  <c r="AA253" i="1"/>
  <c r="N8" i="8"/>
  <c r="M17" i="8"/>
  <c r="J65" i="8"/>
  <c r="J66" i="8" s="1"/>
  <c r="K283" i="8"/>
  <c r="K281" i="8"/>
  <c r="K280" i="8" s="1"/>
  <c r="M27" i="8"/>
  <c r="L412" i="1"/>
  <c r="M33" i="8"/>
  <c r="L75" i="8"/>
  <c r="L104" i="8" s="1"/>
  <c r="U288" i="1"/>
  <c r="T289" i="1"/>
  <c r="T290" i="1"/>
  <c r="T295" i="1"/>
  <c r="R249" i="1"/>
  <c r="R63" i="5" s="1"/>
  <c r="R26" i="5"/>
  <c r="R9" i="5"/>
  <c r="R232" i="1"/>
  <c r="R46" i="5" s="1"/>
  <c r="R83" i="5" s="1"/>
  <c r="R16" i="5"/>
  <c r="R244" i="1"/>
  <c r="R53" i="5" s="1"/>
  <c r="R13" i="5"/>
  <c r="R241" i="1"/>
  <c r="R50" i="5" s="1"/>
  <c r="R87" i="5" s="1"/>
  <c r="R231" i="1"/>
  <c r="R45" i="5" s="1"/>
  <c r="R8" i="5"/>
  <c r="R245" i="1"/>
  <c r="R54" i="5" s="1"/>
  <c r="R17" i="5"/>
  <c r="R22" i="5"/>
  <c r="R238" i="1"/>
  <c r="R59" i="5" s="1"/>
  <c r="R188" i="1"/>
  <c r="R20" i="5"/>
  <c r="R236" i="1"/>
  <c r="R57" i="5" s="1"/>
  <c r="Q89" i="5"/>
  <c r="Q303" i="8"/>
  <c r="Q304" i="8"/>
  <c r="Q90" i="5"/>
  <c r="Q305" i="8"/>
  <c r="Q85" i="5"/>
  <c r="P99" i="5"/>
  <c r="K69" i="8"/>
  <c r="J89" i="8"/>
  <c r="L59" i="8"/>
  <c r="L60" i="8" s="1"/>
  <c r="U252" i="1"/>
  <c r="T285" i="1"/>
  <c r="T15" i="8"/>
  <c r="U15" i="8" s="1"/>
  <c r="P95" i="5"/>
  <c r="P101" i="5" s="1"/>
  <c r="P102" i="5" s="1"/>
  <c r="P308" i="8"/>
  <c r="O21" i="8"/>
  <c r="P21" i="8" s="1"/>
  <c r="R9" i="8"/>
  <c r="S9" i="8" s="1"/>
  <c r="J36" i="5"/>
  <c r="J37" i="5" s="1"/>
  <c r="J38" i="5" s="1"/>
  <c r="S282" i="1"/>
  <c r="R282" i="1"/>
  <c r="P300" i="8"/>
  <c r="Q98" i="5"/>
  <c r="Q94" i="5"/>
  <c r="Q307" i="8"/>
  <c r="Q91" i="5"/>
  <c r="Q81" i="5"/>
  <c r="Q301" i="8"/>
  <c r="Q55" i="5"/>
  <c r="Q84" i="5"/>
  <c r="Q82" i="5"/>
  <c r="Q302" i="8"/>
  <c r="U278" i="1"/>
  <c r="T281" i="1"/>
  <c r="R7" i="7"/>
  <c r="R18" i="7"/>
  <c r="O387" i="1"/>
  <c r="M410" i="1"/>
  <c r="M30" i="5"/>
  <c r="M408" i="1"/>
  <c r="M29" i="5"/>
  <c r="M32" i="5" s="1"/>
  <c r="S14" i="8"/>
  <c r="T14" i="8" s="1"/>
  <c r="K6" i="7"/>
  <c r="K17" i="7"/>
  <c r="L417" i="1"/>
  <c r="L418" i="1"/>
  <c r="M390" i="1"/>
  <c r="N19" i="8"/>
  <c r="O19" i="8" s="1"/>
  <c r="P306" i="8"/>
  <c r="M187" i="8"/>
  <c r="R302" i="1"/>
  <c r="Q300" i="1"/>
  <c r="Q318" i="1" s="1"/>
  <c r="L43" i="8"/>
  <c r="K47" i="8"/>
  <c r="L45" i="8" s="1"/>
  <c r="L46" i="8" s="1"/>
  <c r="K63" i="8"/>
  <c r="J67" i="8"/>
  <c r="I40" i="8"/>
  <c r="I41" i="8" s="1"/>
  <c r="J39" i="8" s="1"/>
  <c r="F321" i="8"/>
  <c r="G79" i="8"/>
  <c r="K42" i="5"/>
  <c r="L5" i="5"/>
  <c r="W439" i="1"/>
  <c r="V204" i="1"/>
  <c r="K35" i="5"/>
  <c r="K413" i="1"/>
  <c r="K415" i="1"/>
  <c r="K416" i="1" s="1"/>
  <c r="K34" i="5"/>
  <c r="K33" i="5"/>
  <c r="K36" i="5" s="1"/>
  <c r="K37" i="5" s="1"/>
  <c r="K38" i="5" s="1"/>
  <c r="N16" i="8"/>
  <c r="K234" i="8"/>
  <c r="K183" i="8"/>
  <c r="S296" i="1"/>
  <c r="S317" i="1"/>
  <c r="R10" i="5"/>
  <c r="R233" i="1"/>
  <c r="R47" i="5" s="1"/>
  <c r="R11" i="5"/>
  <c r="R234" i="1"/>
  <c r="R48" i="5" s="1"/>
  <c r="R242" i="1"/>
  <c r="R51" i="5" s="1"/>
  <c r="R88" i="5" s="1"/>
  <c r="R14" i="5"/>
  <c r="R15" i="5"/>
  <c r="R243" i="1"/>
  <c r="R52" i="5" s="1"/>
  <c r="R7" i="5"/>
  <c r="R18" i="5" s="1"/>
  <c r="R230" i="1"/>
  <c r="R44" i="5" s="1"/>
  <c r="R24" i="5"/>
  <c r="R199" i="1"/>
  <c r="R247" i="1"/>
  <c r="R61" i="5" s="1"/>
  <c r="R98" i="5" s="1"/>
  <c r="T177" i="1"/>
  <c r="S198" i="1"/>
  <c r="S187" i="1"/>
  <c r="S208" i="1"/>
  <c r="S215" i="1"/>
  <c r="S219" i="1"/>
  <c r="S212" i="1"/>
  <c r="S207" i="1"/>
  <c r="S223" i="1"/>
  <c r="S194" i="1"/>
  <c r="S184" i="1"/>
  <c r="S182" i="1"/>
  <c r="S181" i="1"/>
  <c r="S192" i="1"/>
  <c r="S183" i="1"/>
  <c r="S205" i="1"/>
  <c r="S217" i="1"/>
  <c r="S216" i="1"/>
  <c r="S196" i="1"/>
  <c r="S200" i="1"/>
  <c r="S185" i="1"/>
  <c r="S206" i="1"/>
  <c r="S218" i="1"/>
  <c r="S189" i="1"/>
  <c r="S195" i="1"/>
  <c r="S193" i="1"/>
  <c r="S210" i="1"/>
  <c r="S211" i="1" s="1"/>
  <c r="S221" i="1"/>
  <c r="S222" i="1" s="1"/>
  <c r="Q96" i="5"/>
  <c r="Q309" i="8"/>
  <c r="L408" i="1"/>
  <c r="L30" i="5"/>
  <c r="L410" i="1"/>
  <c r="L29" i="5"/>
  <c r="L31" i="5"/>
  <c r="H323" i="8"/>
  <c r="I91" i="8"/>
  <c r="I92" i="8" s="1"/>
  <c r="I93" i="8" s="1"/>
  <c r="U267" i="8"/>
  <c r="T276" i="8"/>
  <c r="L61" i="8"/>
  <c r="M57" i="8"/>
  <c r="X274" i="1"/>
  <c r="Y271" i="1"/>
  <c r="W292" i="1"/>
  <c r="V293" i="1"/>
  <c r="S20" i="8"/>
  <c r="T20" i="8" s="1"/>
  <c r="I72" i="8"/>
  <c r="I73" i="8" s="1"/>
  <c r="J71" i="8" s="1"/>
  <c r="T256" i="1"/>
  <c r="U254" i="1"/>
  <c r="T255" i="1"/>
  <c r="T261" i="1"/>
  <c r="T260" i="1"/>
  <c r="Q25" i="5"/>
  <c r="Q248" i="1"/>
  <c r="Q62" i="5" s="1"/>
  <c r="Q99" i="5" s="1"/>
  <c r="Q21" i="5"/>
  <c r="Q27" i="5" s="1"/>
  <c r="Q237" i="1"/>
  <c r="Q58" i="5" s="1"/>
  <c r="Q18" i="5"/>
  <c r="P22" i="8"/>
  <c r="Q22" i="8" s="1"/>
  <c r="S419" i="1"/>
  <c r="W263" i="1"/>
  <c r="O13" i="8"/>
  <c r="P13" i="8" s="1"/>
  <c r="W305" i="1"/>
  <c r="X304" i="1"/>
  <c r="W308" i="1"/>
  <c r="O299" i="8"/>
  <c r="J77" i="8"/>
  <c r="K37" i="8"/>
  <c r="M53" i="8"/>
  <c r="N51" i="8" s="1"/>
  <c r="N52" i="8" s="1"/>
  <c r="N49" i="8"/>
  <c r="I85" i="8"/>
  <c r="I86" i="8" s="1"/>
  <c r="I87" i="8" s="1"/>
  <c r="H322" i="8"/>
  <c r="I323" i="8" l="1"/>
  <c r="J91" i="8"/>
  <c r="J92" i="8" s="1"/>
  <c r="P236" i="8"/>
  <c r="P185" i="8"/>
  <c r="J85" i="8"/>
  <c r="J86" i="8" s="1"/>
  <c r="J87" i="8" s="1"/>
  <c r="I322" i="8"/>
  <c r="N53" i="8"/>
  <c r="O49" i="8"/>
  <c r="T419" i="1"/>
  <c r="X263" i="1"/>
  <c r="S7" i="7"/>
  <c r="S18" i="7"/>
  <c r="Q28" i="5"/>
  <c r="J72" i="8"/>
  <c r="J73" i="8" s="1"/>
  <c r="K71" i="8" s="1"/>
  <c r="M59" i="8"/>
  <c r="M60" i="8" s="1"/>
  <c r="U276" i="8"/>
  <c r="V267" i="8"/>
  <c r="L32" i="5"/>
  <c r="S16" i="5"/>
  <c r="S244" i="1"/>
  <c r="S53" i="5" s="1"/>
  <c r="S234" i="1"/>
  <c r="S48" i="5" s="1"/>
  <c r="S11" i="5"/>
  <c r="S245" i="1"/>
  <c r="S54" i="5" s="1"/>
  <c r="S17" i="5"/>
  <c r="S232" i="1"/>
  <c r="S46" i="5" s="1"/>
  <c r="S9" i="5"/>
  <c r="S7" i="5"/>
  <c r="S230" i="1"/>
  <c r="S44" i="5" s="1"/>
  <c r="S10" i="5"/>
  <c r="S233" i="1"/>
  <c r="S47" i="5" s="1"/>
  <c r="S84" i="5" s="1"/>
  <c r="S236" i="1"/>
  <c r="S57" i="5" s="1"/>
  <c r="S20" i="5"/>
  <c r="S188" i="1"/>
  <c r="U177" i="1"/>
  <c r="T187" i="1"/>
  <c r="T198" i="1"/>
  <c r="T221" i="1"/>
  <c r="T222" i="1" s="1"/>
  <c r="T212" i="1"/>
  <c r="T207" i="1"/>
  <c r="T216" i="1"/>
  <c r="T208" i="1"/>
  <c r="T206" i="1"/>
  <c r="T217" i="1"/>
  <c r="T196" i="1"/>
  <c r="T194" i="1"/>
  <c r="T185" i="1"/>
  <c r="T189" i="1"/>
  <c r="T184" i="1"/>
  <c r="T193" i="1"/>
  <c r="T218" i="1"/>
  <c r="T223" i="1"/>
  <c r="T219" i="1"/>
  <c r="T192" i="1"/>
  <c r="T181" i="1"/>
  <c r="T182" i="1"/>
  <c r="T215" i="1"/>
  <c r="T205" i="1"/>
  <c r="T195" i="1"/>
  <c r="T183" i="1"/>
  <c r="T200" i="1"/>
  <c r="T210" i="1"/>
  <c r="T211" i="1" s="1"/>
  <c r="R25" i="5"/>
  <c r="R248" i="1"/>
  <c r="R62" i="5" s="1"/>
  <c r="R99" i="5" s="1"/>
  <c r="R301" i="8"/>
  <c r="R55" i="5"/>
  <c r="R92" i="5" s="1"/>
  <c r="R81" i="5"/>
  <c r="R303" i="8"/>
  <c r="R89" i="5"/>
  <c r="R85" i="5"/>
  <c r="R305" i="8"/>
  <c r="R84" i="5"/>
  <c r="L42" i="5"/>
  <c r="M5" i="5"/>
  <c r="G312" i="8"/>
  <c r="G9" i="2" s="1"/>
  <c r="G80" i="8"/>
  <c r="G81" i="8" s="1"/>
  <c r="K65" i="8"/>
  <c r="K66" i="8" s="1"/>
  <c r="M43" i="8"/>
  <c r="L47" i="8"/>
  <c r="M45" i="8" s="1"/>
  <c r="M46" i="8" s="1"/>
  <c r="S302" i="1"/>
  <c r="R300" i="1"/>
  <c r="R318" i="1" s="1"/>
  <c r="M417" i="1"/>
  <c r="N390" i="1"/>
  <c r="M418" i="1"/>
  <c r="N407" i="1"/>
  <c r="P387" i="1"/>
  <c r="O407" i="1"/>
  <c r="U281" i="1"/>
  <c r="V278" i="1"/>
  <c r="Q92" i="5"/>
  <c r="T9" i="8"/>
  <c r="U9" i="8" s="1"/>
  <c r="P24" i="8"/>
  <c r="Q24" i="8" s="1"/>
  <c r="R307" i="8"/>
  <c r="R94" i="5"/>
  <c r="R237" i="1"/>
  <c r="R58" i="5" s="1"/>
  <c r="R64" i="5" s="1"/>
  <c r="R65" i="5" s="1"/>
  <c r="R167" i="8" s="1"/>
  <c r="R21" i="5"/>
  <c r="R91" i="5"/>
  <c r="R302" i="8"/>
  <c r="R82" i="5"/>
  <c r="R100" i="5"/>
  <c r="U290" i="1"/>
  <c r="U289" i="1"/>
  <c r="V288" i="1"/>
  <c r="U295" i="1"/>
  <c r="N33" i="8"/>
  <c r="M75" i="8"/>
  <c r="M104" i="8" s="1"/>
  <c r="N27" i="8"/>
  <c r="O16" i="8" s="1"/>
  <c r="M412" i="1"/>
  <c r="O8" i="8"/>
  <c r="N17" i="8"/>
  <c r="T421" i="1"/>
  <c r="X298" i="1"/>
  <c r="S10" i="7"/>
  <c r="S21" i="7"/>
  <c r="U26" i="8"/>
  <c r="V26" i="8" s="1"/>
  <c r="X311" i="1"/>
  <c r="W315" i="1"/>
  <c r="W312" i="1"/>
  <c r="AA270" i="1"/>
  <c r="AB269" i="1"/>
  <c r="K77" i="8"/>
  <c r="L37" i="8"/>
  <c r="X308" i="1"/>
  <c r="X305" i="1"/>
  <c r="Y304" i="1"/>
  <c r="Q95" i="5"/>
  <c r="Q308" i="8"/>
  <c r="Q306" i="8" s="1"/>
  <c r="V254" i="1"/>
  <c r="U256" i="1"/>
  <c r="U255" i="1"/>
  <c r="U260" i="1"/>
  <c r="U261" i="1"/>
  <c r="U20" i="8"/>
  <c r="V20" i="8" s="1"/>
  <c r="W293" i="1"/>
  <c r="X292" i="1"/>
  <c r="Z271" i="1"/>
  <c r="Y274" i="1"/>
  <c r="N57" i="8"/>
  <c r="M61" i="8"/>
  <c r="N59" i="8" s="1"/>
  <c r="N60" i="8" s="1"/>
  <c r="S14" i="5"/>
  <c r="S242" i="1"/>
  <c r="S51" i="5" s="1"/>
  <c r="S238" i="1"/>
  <c r="S59" i="5" s="1"/>
  <c r="S22" i="5"/>
  <c r="S249" i="1"/>
  <c r="S63" i="5" s="1"/>
  <c r="S100" i="5" s="1"/>
  <c r="S26" i="5"/>
  <c r="S241" i="1"/>
  <c r="S50" i="5" s="1"/>
  <c r="S87" i="5" s="1"/>
  <c r="S13" i="5"/>
  <c r="S231" i="1"/>
  <c r="S45" i="5" s="1"/>
  <c r="S8" i="5"/>
  <c r="S15" i="5"/>
  <c r="S243" i="1"/>
  <c r="S52" i="5" s="1"/>
  <c r="S199" i="1"/>
  <c r="S247" i="1"/>
  <c r="S61" i="5" s="1"/>
  <c r="S24" i="5"/>
  <c r="W204" i="1"/>
  <c r="X439" i="1"/>
  <c r="F320" i="8"/>
  <c r="F348" i="8"/>
  <c r="J40" i="8"/>
  <c r="J41" i="8" s="1"/>
  <c r="K39" i="8" s="1"/>
  <c r="K67" i="8"/>
  <c r="L63" i="8"/>
  <c r="K83" i="8"/>
  <c r="L6" i="7"/>
  <c r="L17" i="7"/>
  <c r="Q300" i="8"/>
  <c r="Q64" i="5"/>
  <c r="Q65" i="5" s="1"/>
  <c r="Q167" i="8" s="1"/>
  <c r="Q101" i="5"/>
  <c r="P299" i="8"/>
  <c r="V15" i="8"/>
  <c r="W15" i="8" s="1"/>
  <c r="U285" i="1"/>
  <c r="V252" i="1"/>
  <c r="J93" i="8"/>
  <c r="L69" i="8"/>
  <c r="K89" i="8"/>
  <c r="R27" i="5"/>
  <c r="R28" i="5" s="1"/>
  <c r="R309" i="8"/>
  <c r="R96" i="5"/>
  <c r="R304" i="8"/>
  <c r="R90" i="5"/>
  <c r="T296" i="1"/>
  <c r="T317" i="1"/>
  <c r="L183" i="8"/>
  <c r="L234" i="8"/>
  <c r="L415" i="1"/>
  <c r="L416" i="1" s="1"/>
  <c r="L33" i="5"/>
  <c r="L413" i="1"/>
  <c r="L35" i="5"/>
  <c r="L34" i="5"/>
  <c r="T25" i="8"/>
  <c r="U25" i="8" s="1"/>
  <c r="L283" i="8"/>
  <c r="L281" i="8"/>
  <c r="L280" i="8" s="1"/>
  <c r="AB253" i="1"/>
  <c r="AA257" i="1"/>
  <c r="Q11" i="8"/>
  <c r="R11" i="8" s="1"/>
  <c r="V267" i="1"/>
  <c r="U265" i="1"/>
  <c r="U266" i="1"/>
  <c r="T276" i="1"/>
  <c r="S280" i="1"/>
  <c r="S277" i="1"/>
  <c r="O31" i="5"/>
  <c r="R283" i="1"/>
  <c r="P10" i="8"/>
  <c r="Q10" i="8" s="1"/>
  <c r="AB257" i="1" l="1"/>
  <c r="AC253" i="1"/>
  <c r="T280" i="1"/>
  <c r="U276" i="1"/>
  <c r="T277" i="1"/>
  <c r="L36" i="5"/>
  <c r="M69" i="8"/>
  <c r="L89" i="8"/>
  <c r="K91" i="8"/>
  <c r="K92" i="8" s="1"/>
  <c r="J323" i="8"/>
  <c r="U14" i="8"/>
  <c r="V14" i="8" s="1"/>
  <c r="L65" i="8"/>
  <c r="L66" i="8" s="1"/>
  <c r="K40" i="8"/>
  <c r="K41" i="8" s="1"/>
  <c r="L39" i="8" s="1"/>
  <c r="S98" i="5"/>
  <c r="S303" i="8"/>
  <c r="S89" i="5"/>
  <c r="S88" i="5"/>
  <c r="O57" i="8"/>
  <c r="N61" i="8"/>
  <c r="O59" i="8" s="1"/>
  <c r="O60" i="8" s="1"/>
  <c r="AA271" i="1"/>
  <c r="Z274" i="1"/>
  <c r="W254" i="1"/>
  <c r="V256" i="1"/>
  <c r="V255" i="1"/>
  <c r="V260" i="1"/>
  <c r="V261" i="1"/>
  <c r="AC269" i="1"/>
  <c r="AB270" i="1"/>
  <c r="W26" i="8"/>
  <c r="X26" i="8" s="1"/>
  <c r="Y298" i="1"/>
  <c r="U421" i="1"/>
  <c r="M35" i="5"/>
  <c r="M415" i="1"/>
  <c r="M416" i="1" s="1"/>
  <c r="M33" i="5"/>
  <c r="M413" i="1"/>
  <c r="M34" i="5"/>
  <c r="M183" i="8"/>
  <c r="M234" i="8"/>
  <c r="U296" i="1"/>
  <c r="U317" i="1"/>
  <c r="V9" i="8"/>
  <c r="W9" i="8" s="1"/>
  <c r="Q102" i="5"/>
  <c r="Q387" i="1"/>
  <c r="M6" i="7"/>
  <c r="M17" i="7"/>
  <c r="N43" i="8"/>
  <c r="M47" i="8"/>
  <c r="N45" i="8" s="1"/>
  <c r="N46" i="8" s="1"/>
  <c r="H79" i="8"/>
  <c r="G321" i="8"/>
  <c r="M42" i="5"/>
  <c r="N5" i="5"/>
  <c r="R300" i="8"/>
  <c r="T26" i="5"/>
  <c r="T249" i="1"/>
  <c r="T63" i="5" s="1"/>
  <c r="T100" i="5" s="1"/>
  <c r="T244" i="1"/>
  <c r="T53" i="5" s="1"/>
  <c r="T16" i="5"/>
  <c r="T7" i="5"/>
  <c r="T230" i="1"/>
  <c r="T44" i="5" s="1"/>
  <c r="T233" i="1"/>
  <c r="T47" i="5" s="1"/>
  <c r="T10" i="5"/>
  <c r="T234" i="1"/>
  <c r="T48" i="5" s="1"/>
  <c r="T11" i="5"/>
  <c r="T245" i="1"/>
  <c r="T54" i="5" s="1"/>
  <c r="T17" i="5"/>
  <c r="T24" i="5"/>
  <c r="T199" i="1"/>
  <c r="T247" i="1"/>
  <c r="T61" i="5" s="1"/>
  <c r="T98" i="5" s="1"/>
  <c r="V177" i="1"/>
  <c r="U198" i="1"/>
  <c r="U187" i="1"/>
  <c r="U206" i="1"/>
  <c r="U217" i="1"/>
  <c r="U218" i="1"/>
  <c r="U207" i="1"/>
  <c r="U215" i="1"/>
  <c r="U223" i="1"/>
  <c r="U192" i="1"/>
  <c r="U200" i="1"/>
  <c r="U196" i="1"/>
  <c r="U181" i="1"/>
  <c r="U185" i="1"/>
  <c r="U184" i="1"/>
  <c r="U212" i="1"/>
  <c r="U205" i="1"/>
  <c r="U195" i="1"/>
  <c r="U189" i="1"/>
  <c r="U193" i="1"/>
  <c r="U219" i="1"/>
  <c r="U208" i="1"/>
  <c r="U216" i="1"/>
  <c r="U182" i="1"/>
  <c r="U194" i="1"/>
  <c r="U183" i="1"/>
  <c r="U210" i="1"/>
  <c r="U211" i="1" s="1"/>
  <c r="U221" i="1"/>
  <c r="U222" i="1" s="1"/>
  <c r="S55" i="5"/>
  <c r="S81" i="5"/>
  <c r="S301" i="8"/>
  <c r="S304" i="8"/>
  <c r="S90" i="5"/>
  <c r="L37" i="5"/>
  <c r="L38" i="5" s="1"/>
  <c r="T18" i="7"/>
  <c r="T7" i="7"/>
  <c r="O51" i="8"/>
  <c r="O52" i="8" s="1"/>
  <c r="P187" i="8"/>
  <c r="S283" i="1"/>
  <c r="W267" i="1"/>
  <c r="V266" i="1"/>
  <c r="V265" i="1"/>
  <c r="M281" i="8"/>
  <c r="M280" i="8" s="1"/>
  <c r="M283" i="8"/>
  <c r="K93" i="8"/>
  <c r="W252" i="1"/>
  <c r="V285" i="1"/>
  <c r="X15" i="8"/>
  <c r="Y15" i="8" s="1"/>
  <c r="Q299" i="8"/>
  <c r="L67" i="8"/>
  <c r="M63" i="8"/>
  <c r="X204" i="1"/>
  <c r="Y439" i="1"/>
  <c r="S248" i="1"/>
  <c r="S62" i="5" s="1"/>
  <c r="S25" i="5"/>
  <c r="S302" i="8"/>
  <c r="S82" i="5"/>
  <c r="S309" i="8"/>
  <c r="S96" i="5"/>
  <c r="Y292" i="1"/>
  <c r="X293" i="1"/>
  <c r="W20" i="8"/>
  <c r="X20" i="8" s="1"/>
  <c r="U282" i="1"/>
  <c r="R22" i="8"/>
  <c r="S22" i="8" s="1"/>
  <c r="Y305" i="1"/>
  <c r="Z304" i="1"/>
  <c r="Y308" i="1"/>
  <c r="M37" i="8"/>
  <c r="L77" i="8"/>
  <c r="X315" i="1"/>
  <c r="Y311" i="1"/>
  <c r="X312" i="1"/>
  <c r="T21" i="7"/>
  <c r="T10" i="7"/>
  <c r="P8" i="8"/>
  <c r="O17" i="8"/>
  <c r="O27" i="8"/>
  <c r="N412" i="1"/>
  <c r="O33" i="8"/>
  <c r="N75" i="8"/>
  <c r="N104" i="8" s="1"/>
  <c r="V290" i="1"/>
  <c r="V289" i="1"/>
  <c r="W288" i="1"/>
  <c r="V295" i="1"/>
  <c r="R308" i="8"/>
  <c r="R306" i="8" s="1"/>
  <c r="R95" i="5"/>
  <c r="R101" i="5"/>
  <c r="Q21" i="8"/>
  <c r="R21" i="8" s="1"/>
  <c r="V281" i="1"/>
  <c r="W278" i="1"/>
  <c r="O30" i="5"/>
  <c r="O408" i="1"/>
  <c r="O410" i="1"/>
  <c r="O29" i="5"/>
  <c r="N30" i="5"/>
  <c r="N408" i="1"/>
  <c r="N410" i="1"/>
  <c r="N29" i="5"/>
  <c r="N31" i="5"/>
  <c r="O390" i="1"/>
  <c r="N418" i="1"/>
  <c r="N417" i="1"/>
  <c r="P19" i="8"/>
  <c r="Q19" i="8" s="1"/>
  <c r="T302" i="1"/>
  <c r="S300" i="1"/>
  <c r="S318" i="1" s="1"/>
  <c r="L83" i="8"/>
  <c r="R102" i="5"/>
  <c r="T232" i="1"/>
  <c r="T46" i="5" s="1"/>
  <c r="T9" i="5"/>
  <c r="T8" i="5"/>
  <c r="T231" i="1"/>
  <c r="T45" i="5" s="1"/>
  <c r="T241" i="1"/>
  <c r="T50" i="5" s="1"/>
  <c r="T13" i="5"/>
  <c r="T14" i="5"/>
  <c r="T242" i="1"/>
  <c r="T51" i="5" s="1"/>
  <c r="T88" i="5" s="1"/>
  <c r="T238" i="1"/>
  <c r="T59" i="5" s="1"/>
  <c r="T22" i="5"/>
  <c r="T15" i="5"/>
  <c r="T243" i="1"/>
  <c r="T52" i="5" s="1"/>
  <c r="T188" i="1"/>
  <c r="T236" i="1"/>
  <c r="T57" i="5" s="1"/>
  <c r="T20" i="5"/>
  <c r="S21" i="5"/>
  <c r="S27" i="5" s="1"/>
  <c r="S237" i="1"/>
  <c r="S58" i="5" s="1"/>
  <c r="S94" i="5"/>
  <c r="S307" i="8"/>
  <c r="S64" i="5"/>
  <c r="S65" i="5" s="1"/>
  <c r="S167" i="8" s="1"/>
  <c r="S18" i="5"/>
  <c r="S83" i="5"/>
  <c r="S91" i="5"/>
  <c r="S85" i="5"/>
  <c r="S305" i="8"/>
  <c r="V276" i="8"/>
  <c r="W267" i="8"/>
  <c r="K72" i="8"/>
  <c r="K73" i="8" s="1"/>
  <c r="L71" i="8" s="1"/>
  <c r="T282" i="1"/>
  <c r="U419" i="1"/>
  <c r="Y263" i="1"/>
  <c r="Q13" i="8"/>
  <c r="R13" i="8" s="1"/>
  <c r="O53" i="8"/>
  <c r="P51" i="8" s="1"/>
  <c r="P52" i="8" s="1"/>
  <c r="P49" i="8"/>
  <c r="K85" i="8"/>
  <c r="K86" i="8" s="1"/>
  <c r="K87" i="8" s="1"/>
  <c r="J322" i="8"/>
  <c r="K322" i="8" l="1"/>
  <c r="L85" i="8"/>
  <c r="L86" i="8" s="1"/>
  <c r="Y204" i="1"/>
  <c r="Z439" i="1"/>
  <c r="N63" i="8"/>
  <c r="L91" i="8"/>
  <c r="L92" i="8" s="1"/>
  <c r="K323" i="8"/>
  <c r="U243" i="1"/>
  <c r="U52" i="5" s="1"/>
  <c r="U15" i="5"/>
  <c r="U238" i="1"/>
  <c r="U59" i="5" s="1"/>
  <c r="U22" i="5"/>
  <c r="U10" i="5"/>
  <c r="U233" i="1"/>
  <c r="U47" i="5" s="1"/>
  <c r="U7" i="5"/>
  <c r="U230" i="1"/>
  <c r="U44" i="5" s="1"/>
  <c r="U26" i="5"/>
  <c r="U249" i="1"/>
  <c r="U63" i="5" s="1"/>
  <c r="U236" i="1"/>
  <c r="U57" i="5" s="1"/>
  <c r="U20" i="5"/>
  <c r="U188" i="1"/>
  <c r="W177" i="1"/>
  <c r="V198" i="1"/>
  <c r="V187" i="1"/>
  <c r="V218" i="1"/>
  <c r="V207" i="1"/>
  <c r="V223" i="1"/>
  <c r="V215" i="1"/>
  <c r="V206" i="1"/>
  <c r="V217" i="1"/>
  <c r="V181" i="1"/>
  <c r="V192" i="1"/>
  <c r="V200" i="1"/>
  <c r="V182" i="1"/>
  <c r="V189" i="1"/>
  <c r="V185" i="1"/>
  <c r="V205" i="1"/>
  <c r="V216" i="1"/>
  <c r="V194" i="1"/>
  <c r="V193" i="1"/>
  <c r="V196" i="1"/>
  <c r="V208" i="1"/>
  <c r="V212" i="1"/>
  <c r="V219" i="1"/>
  <c r="V183" i="1"/>
  <c r="V195" i="1"/>
  <c r="V184" i="1"/>
  <c r="V221" i="1"/>
  <c r="V222" i="1" s="1"/>
  <c r="V210" i="1"/>
  <c r="V211" i="1" s="1"/>
  <c r="T25" i="5"/>
  <c r="T248" i="1"/>
  <c r="T62" i="5" s="1"/>
  <c r="T99" i="5" s="1"/>
  <c r="T81" i="5"/>
  <c r="T301" i="8"/>
  <c r="T55" i="5"/>
  <c r="R299" i="8"/>
  <c r="H80" i="8"/>
  <c r="H81" i="8" s="1"/>
  <c r="H312" i="8"/>
  <c r="H9" i="2" s="1"/>
  <c r="Q407" i="1"/>
  <c r="R387" i="1"/>
  <c r="X9" i="8"/>
  <c r="Y9" i="8" s="1"/>
  <c r="U10" i="7"/>
  <c r="U21" i="7"/>
  <c r="Z298" i="1"/>
  <c r="V421" i="1"/>
  <c r="Y26" i="8"/>
  <c r="Z26" i="8" s="1"/>
  <c r="AD269" i="1"/>
  <c r="AC270" i="1"/>
  <c r="V282" i="1"/>
  <c r="V276" i="1"/>
  <c r="U280" i="1"/>
  <c r="U277" i="1"/>
  <c r="R10" i="8"/>
  <c r="S10" i="8" s="1"/>
  <c r="Q49" i="8"/>
  <c r="P53" i="8"/>
  <c r="Q51" i="8" s="1"/>
  <c r="Q52" i="8" s="1"/>
  <c r="U18" i="7"/>
  <c r="U7" i="7"/>
  <c r="L72" i="8"/>
  <c r="L73" i="8" s="1"/>
  <c r="M71" i="8" s="1"/>
  <c r="T94" i="5"/>
  <c r="T307" i="8"/>
  <c r="T64" i="5"/>
  <c r="T65" i="5" s="1"/>
  <c r="T167" i="8" s="1"/>
  <c r="T89" i="5"/>
  <c r="T303" i="8"/>
  <c r="T302" i="8"/>
  <c r="T82" i="5"/>
  <c r="R236" i="8"/>
  <c r="R185" i="8"/>
  <c r="R187" i="8" s="1"/>
  <c r="N6" i="7"/>
  <c r="N17" i="7"/>
  <c r="N416" i="1"/>
  <c r="X288" i="1"/>
  <c r="W289" i="1"/>
  <c r="W290" i="1"/>
  <c r="W295" i="1"/>
  <c r="P33" i="8"/>
  <c r="O75" i="8"/>
  <c r="O104" i="8" s="1"/>
  <c r="P27" i="8"/>
  <c r="O412" i="1"/>
  <c r="Q8" i="8"/>
  <c r="M77" i="8"/>
  <c r="N37" i="8"/>
  <c r="Z305" i="1"/>
  <c r="Z308" i="1"/>
  <c r="AA304" i="1"/>
  <c r="V419" i="1"/>
  <c r="Z263" i="1"/>
  <c r="W276" i="8"/>
  <c r="X267" i="8"/>
  <c r="S28" i="5"/>
  <c r="S95" i="5"/>
  <c r="S101" i="5" s="1"/>
  <c r="S308" i="8"/>
  <c r="S306" i="8" s="1"/>
  <c r="T237" i="1"/>
  <c r="T58" i="5" s="1"/>
  <c r="T21" i="5"/>
  <c r="T27" i="5" s="1"/>
  <c r="T96" i="5"/>
  <c r="T309" i="8"/>
  <c r="T87" i="5"/>
  <c r="T83" i="5"/>
  <c r="L87" i="8"/>
  <c r="U302" i="1"/>
  <c r="T300" i="1"/>
  <c r="T318" i="1" s="1"/>
  <c r="O417" i="1"/>
  <c r="P390" i="1"/>
  <c r="O418" i="1"/>
  <c r="N32" i="5"/>
  <c r="O32" i="5"/>
  <c r="X278" i="1"/>
  <c r="W281" i="1"/>
  <c r="S21" i="8"/>
  <c r="T21" i="8" s="1"/>
  <c r="R24" i="8"/>
  <c r="S24" i="8" s="1"/>
  <c r="V296" i="1"/>
  <c r="V317" i="1"/>
  <c r="N183" i="8"/>
  <c r="N234" i="8"/>
  <c r="N33" i="5"/>
  <c r="N413" i="1"/>
  <c r="N415" i="1"/>
  <c r="N35" i="5"/>
  <c r="N34" i="5"/>
  <c r="Z311" i="1"/>
  <c r="Y312" i="1"/>
  <c r="Y315" i="1"/>
  <c r="Y20" i="8"/>
  <c r="Z20" i="8" s="1"/>
  <c r="Y293" i="1"/>
  <c r="Z292" i="1"/>
  <c r="S99" i="5"/>
  <c r="M65" i="8"/>
  <c r="M66" i="8" s="1"/>
  <c r="M67" i="8" s="1"/>
  <c r="N65" i="8" s="1"/>
  <c r="N66" i="8" s="1"/>
  <c r="Z15" i="8"/>
  <c r="AA15" i="8" s="1"/>
  <c r="W285" i="1"/>
  <c r="X252" i="1"/>
  <c r="N283" i="8"/>
  <c r="N281" i="8"/>
  <c r="N280" i="8" s="1"/>
  <c r="X267" i="1"/>
  <c r="W265" i="1"/>
  <c r="W266" i="1"/>
  <c r="S300" i="8"/>
  <c r="S92" i="5"/>
  <c r="U232" i="1"/>
  <c r="U46" i="5" s="1"/>
  <c r="U83" i="5" s="1"/>
  <c r="U9" i="5"/>
  <c r="U231" i="1"/>
  <c r="U45" i="5" s="1"/>
  <c r="U8" i="5"/>
  <c r="U242" i="1"/>
  <c r="U51" i="5" s="1"/>
  <c r="U88" i="5" s="1"/>
  <c r="U14" i="5"/>
  <c r="U244" i="1"/>
  <c r="U53" i="5" s="1"/>
  <c r="U16" i="5"/>
  <c r="U234" i="1"/>
  <c r="U48" i="5" s="1"/>
  <c r="U11" i="5"/>
  <c r="U245" i="1"/>
  <c r="U54" i="5" s="1"/>
  <c r="U91" i="5" s="1"/>
  <c r="U17" i="5"/>
  <c r="U241" i="1"/>
  <c r="U50" i="5" s="1"/>
  <c r="U87" i="5" s="1"/>
  <c r="U13" i="5"/>
  <c r="U247" i="1"/>
  <c r="U61" i="5" s="1"/>
  <c r="U98" i="5" s="1"/>
  <c r="U199" i="1"/>
  <c r="U24" i="5"/>
  <c r="T91" i="5"/>
  <c r="T305" i="8"/>
  <c r="T85" i="5"/>
  <c r="T84" i="5"/>
  <c r="T18" i="5"/>
  <c r="T90" i="5"/>
  <c r="T304" i="8"/>
  <c r="O5" i="5"/>
  <c r="N42" i="5"/>
  <c r="G348" i="8"/>
  <c r="G320" i="8"/>
  <c r="M83" i="8"/>
  <c r="N83" i="8"/>
  <c r="O43" i="8"/>
  <c r="N47" i="8"/>
  <c r="P407" i="1"/>
  <c r="Q185" i="8"/>
  <c r="Q236" i="8"/>
  <c r="M36" i="5"/>
  <c r="M37" i="5" s="1"/>
  <c r="M38" i="5" s="1"/>
  <c r="W256" i="1"/>
  <c r="X254" i="1"/>
  <c r="W255" i="1"/>
  <c r="W260" i="1"/>
  <c r="W261" i="1"/>
  <c r="AA274" i="1"/>
  <c r="AB271" i="1"/>
  <c r="O61" i="8"/>
  <c r="P59" i="8" s="1"/>
  <c r="P60" i="8" s="1"/>
  <c r="P57" i="8"/>
  <c r="L40" i="8"/>
  <c r="L41" i="8" s="1"/>
  <c r="M39" i="8" s="1"/>
  <c r="W14" i="8"/>
  <c r="X14" i="8" s="1"/>
  <c r="L93" i="8"/>
  <c r="N69" i="8"/>
  <c r="M89" i="8"/>
  <c r="V25" i="8"/>
  <c r="W25" i="8" s="1"/>
  <c r="Q31" i="5"/>
  <c r="T283" i="1"/>
  <c r="AD253" i="1"/>
  <c r="AC257" i="1"/>
  <c r="S11" i="8"/>
  <c r="T11" i="8" s="1"/>
  <c r="P16" i="8"/>
  <c r="Q33" i="8" l="1"/>
  <c r="P75" i="8"/>
  <c r="P104" i="8" s="1"/>
  <c r="X290" i="1"/>
  <c r="Y288" i="1"/>
  <c r="X289" i="1"/>
  <c r="X295" i="1"/>
  <c r="M72" i="8"/>
  <c r="M73" i="8" s="1"/>
  <c r="N71" i="8" s="1"/>
  <c r="Q53" i="8"/>
  <c r="R51" i="8" s="1"/>
  <c r="R52" i="8" s="1"/>
  <c r="R49" i="8"/>
  <c r="U283" i="1"/>
  <c r="AD270" i="1"/>
  <c r="AE269" i="1"/>
  <c r="V21" i="7"/>
  <c r="V10" i="7"/>
  <c r="S387" i="1"/>
  <c r="T300" i="8"/>
  <c r="V10" i="5"/>
  <c r="V233" i="1"/>
  <c r="V47" i="5" s="1"/>
  <c r="V84" i="5" s="1"/>
  <c r="V9" i="5"/>
  <c r="V232" i="1"/>
  <c r="V46" i="5" s="1"/>
  <c r="V83" i="5" s="1"/>
  <c r="V245" i="1"/>
  <c r="V54" i="5" s="1"/>
  <c r="V17" i="5"/>
  <c r="V243" i="1"/>
  <c r="V52" i="5" s="1"/>
  <c r="V15" i="5"/>
  <c r="V22" i="5"/>
  <c r="V238" i="1"/>
  <c r="V59" i="5" s="1"/>
  <c r="V26" i="5"/>
  <c r="V249" i="1"/>
  <c r="V63" i="5" s="1"/>
  <c r="V100" i="5" s="1"/>
  <c r="V7" i="5"/>
  <c r="V230" i="1"/>
  <c r="V44" i="5" s="1"/>
  <c r="V199" i="1"/>
  <c r="V24" i="5"/>
  <c r="V247" i="1"/>
  <c r="V61" i="5" s="1"/>
  <c r="U237" i="1"/>
  <c r="U58" i="5" s="1"/>
  <c r="U64" i="5" s="1"/>
  <c r="U65" i="5" s="1"/>
  <c r="U167" i="8" s="1"/>
  <c r="U21" i="5"/>
  <c r="U94" i="5"/>
  <c r="U307" i="8"/>
  <c r="U18" i="5"/>
  <c r="U96" i="5"/>
  <c r="U309" i="8"/>
  <c r="U89" i="5"/>
  <c r="U303" i="8"/>
  <c r="Z204" i="1"/>
  <c r="AA439" i="1"/>
  <c r="AD257" i="1"/>
  <c r="AE253" i="1"/>
  <c r="M40" i="8"/>
  <c r="M41" i="8" s="1"/>
  <c r="N39" i="8" s="1"/>
  <c r="Y254" i="1"/>
  <c r="X255" i="1"/>
  <c r="X256" i="1"/>
  <c r="X260" i="1"/>
  <c r="X261" i="1"/>
  <c r="Q187" i="8"/>
  <c r="P43" i="8"/>
  <c r="O42" i="5"/>
  <c r="P5" i="5"/>
  <c r="U85" i="5"/>
  <c r="U305" i="8"/>
  <c r="U304" i="8"/>
  <c r="U90" i="5"/>
  <c r="U82" i="5"/>
  <c r="U302" i="8"/>
  <c r="S299" i="8"/>
  <c r="Y267" i="1"/>
  <c r="X265" i="1"/>
  <c r="X266" i="1"/>
  <c r="O281" i="8"/>
  <c r="O280" i="8" s="1"/>
  <c r="O283" i="8"/>
  <c r="O6" i="7"/>
  <c r="O17" i="7"/>
  <c r="V302" i="1"/>
  <c r="U300" i="1"/>
  <c r="U318" i="1" s="1"/>
  <c r="V18" i="7"/>
  <c r="V7" i="7"/>
  <c r="O37" i="8"/>
  <c r="N77" i="8"/>
  <c r="R8" i="8"/>
  <c r="Q27" i="8"/>
  <c r="P412" i="1"/>
  <c r="Q16" i="8"/>
  <c r="R16" i="8" s="1"/>
  <c r="X25" i="8"/>
  <c r="Y25" i="8" s="1"/>
  <c r="O69" i="8"/>
  <c r="N89" i="8"/>
  <c r="M91" i="8"/>
  <c r="M92" i="8" s="1"/>
  <c r="M93" i="8" s="1"/>
  <c r="L323" i="8"/>
  <c r="Q57" i="8"/>
  <c r="P61" i="8"/>
  <c r="Q59" i="8" s="1"/>
  <c r="Q60" i="8" s="1"/>
  <c r="AB274" i="1"/>
  <c r="AC271" i="1"/>
  <c r="P30" i="5"/>
  <c r="P410" i="1"/>
  <c r="P408" i="1"/>
  <c r="P29" i="5"/>
  <c r="P31" i="5"/>
  <c r="O45" i="8"/>
  <c r="O46" i="8" s="1"/>
  <c r="O47" i="8" s="1"/>
  <c r="P45" i="8" s="1"/>
  <c r="P46" i="8" s="1"/>
  <c r="T28" i="5"/>
  <c r="U25" i="5"/>
  <c r="U248" i="1"/>
  <c r="U62" i="5" s="1"/>
  <c r="U99" i="5" s="1"/>
  <c r="S102" i="5"/>
  <c r="X285" i="1"/>
  <c r="Y252" i="1"/>
  <c r="AA292" i="1"/>
  <c r="Z293" i="1"/>
  <c r="Z312" i="1"/>
  <c r="Z315" i="1"/>
  <c r="AA311" i="1"/>
  <c r="N36" i="5"/>
  <c r="X281" i="1"/>
  <c r="Y278" i="1"/>
  <c r="N37" i="5"/>
  <c r="N38" i="5" s="1"/>
  <c r="Q390" i="1"/>
  <c r="P417" i="1"/>
  <c r="P418" i="1"/>
  <c r="L322" i="8"/>
  <c r="M85" i="8"/>
  <c r="M86" i="8" s="1"/>
  <c r="M87" i="8" s="1"/>
  <c r="T308" i="8"/>
  <c r="T95" i="5"/>
  <c r="T101" i="5" s="1"/>
  <c r="X276" i="8"/>
  <c r="Y267" i="8"/>
  <c r="AA263" i="1"/>
  <c r="W419" i="1"/>
  <c r="T22" i="8"/>
  <c r="U22" i="8" s="1"/>
  <c r="AB304" i="1"/>
  <c r="AA308" i="1"/>
  <c r="AA305" i="1"/>
  <c r="P17" i="8"/>
  <c r="O33" i="5"/>
  <c r="O415" i="1"/>
  <c r="O416" i="1" s="1"/>
  <c r="O35" i="5"/>
  <c r="O413" i="1"/>
  <c r="O34" i="5"/>
  <c r="O234" i="8"/>
  <c r="O183" i="8"/>
  <c r="W296" i="1"/>
  <c r="W317" i="1"/>
  <c r="R19" i="8"/>
  <c r="S19" i="8" s="1"/>
  <c r="T306" i="8"/>
  <c r="S13" i="8"/>
  <c r="T13" i="8" s="1"/>
  <c r="T10" i="8"/>
  <c r="U10" i="8" s="1"/>
  <c r="W276" i="1"/>
  <c r="W282" i="1" s="1"/>
  <c r="V277" i="1"/>
  <c r="V280" i="1"/>
  <c r="AA26" i="8"/>
  <c r="AB26" i="8" s="1"/>
  <c r="AA298" i="1"/>
  <c r="W421" i="1"/>
  <c r="Z9" i="8"/>
  <c r="AA9" i="8" s="1"/>
  <c r="Q30" i="5"/>
  <c r="Q408" i="1"/>
  <c r="Q410" i="1"/>
  <c r="Q29" i="5"/>
  <c r="Q32" i="5" s="1"/>
  <c r="H321" i="8"/>
  <c r="I79" i="8"/>
  <c r="T92" i="5"/>
  <c r="V244" i="1"/>
  <c r="V53" i="5" s="1"/>
  <c r="V16" i="5"/>
  <c r="V242" i="1"/>
  <c r="V51" i="5" s="1"/>
  <c r="V88" i="5" s="1"/>
  <c r="V14" i="5"/>
  <c r="V234" i="1"/>
  <c r="V48" i="5" s="1"/>
  <c r="V11" i="5"/>
  <c r="V8" i="5"/>
  <c r="V231" i="1"/>
  <c r="V45" i="5" s="1"/>
  <c r="V241" i="1"/>
  <c r="V50" i="5" s="1"/>
  <c r="V87" i="5" s="1"/>
  <c r="V13" i="5"/>
  <c r="V188" i="1"/>
  <c r="V20" i="5"/>
  <c r="V236" i="1"/>
  <c r="V57" i="5" s="1"/>
  <c r="X177" i="1"/>
  <c r="W187" i="1"/>
  <c r="W198" i="1"/>
  <c r="W212" i="1"/>
  <c r="W207" i="1"/>
  <c r="W216" i="1"/>
  <c r="W218" i="1"/>
  <c r="W206" i="1"/>
  <c r="W217" i="1"/>
  <c r="W189" i="1"/>
  <c r="W193" i="1"/>
  <c r="W200" i="1"/>
  <c r="W192" i="1"/>
  <c r="W194" i="1"/>
  <c r="W196" i="1"/>
  <c r="W215" i="1"/>
  <c r="W205" i="1"/>
  <c r="W184" i="1"/>
  <c r="W182" i="1"/>
  <c r="W183" i="1"/>
  <c r="W208" i="1"/>
  <c r="W223" i="1"/>
  <c r="W219" i="1"/>
  <c r="W195" i="1"/>
  <c r="W185" i="1"/>
  <c r="W181" i="1"/>
  <c r="W210" i="1"/>
  <c r="W211" i="1" s="1"/>
  <c r="W221" i="1"/>
  <c r="W222" i="1" s="1"/>
  <c r="U27" i="5"/>
  <c r="U100" i="5"/>
  <c r="U55" i="5"/>
  <c r="U92" i="5" s="1"/>
  <c r="U301" i="8"/>
  <c r="U300" i="8" s="1"/>
  <c r="U81" i="5"/>
  <c r="U84" i="5"/>
  <c r="N67" i="8"/>
  <c r="O63" i="8"/>
  <c r="M323" i="8" l="1"/>
  <c r="N91" i="8"/>
  <c r="N92" i="8" s="1"/>
  <c r="N85" i="8"/>
  <c r="N86" i="8" s="1"/>
  <c r="N87" i="8" s="1"/>
  <c r="M322" i="8"/>
  <c r="W7" i="5"/>
  <c r="W230" i="1"/>
  <c r="W44" i="5" s="1"/>
  <c r="W16" i="5"/>
  <c r="W244" i="1"/>
  <c r="W53" i="5" s="1"/>
  <c r="W9" i="5"/>
  <c r="W232" i="1"/>
  <c r="W46" i="5" s="1"/>
  <c r="W10" i="5"/>
  <c r="W233" i="1"/>
  <c r="W47" i="5" s="1"/>
  <c r="W84" i="5" s="1"/>
  <c r="W243" i="1"/>
  <c r="W52" i="5" s="1"/>
  <c r="W15" i="5"/>
  <c r="W26" i="5"/>
  <c r="W249" i="1"/>
  <c r="W63" i="5" s="1"/>
  <c r="W100" i="5" s="1"/>
  <c r="W238" i="1"/>
  <c r="W59" i="5" s="1"/>
  <c r="W22" i="5"/>
  <c r="W188" i="1"/>
  <c r="W20" i="5"/>
  <c r="W236" i="1"/>
  <c r="W57" i="5" s="1"/>
  <c r="V94" i="5"/>
  <c r="V307" i="8"/>
  <c r="V21" i="5"/>
  <c r="V237" i="1"/>
  <c r="V58" i="5" s="1"/>
  <c r="V85" i="5"/>
  <c r="V305" i="8"/>
  <c r="V90" i="5"/>
  <c r="V304" i="8"/>
  <c r="I80" i="8"/>
  <c r="I81" i="8" s="1"/>
  <c r="I312" i="8"/>
  <c r="I9" i="2" s="1"/>
  <c r="AB305" i="1"/>
  <c r="AB308" i="1"/>
  <c r="AC304" i="1"/>
  <c r="W18" i="7"/>
  <c r="W7" i="7"/>
  <c r="Y276" i="8"/>
  <c r="Z267" i="8"/>
  <c r="P6" i="7"/>
  <c r="P17" i="7"/>
  <c r="Q417" i="1"/>
  <c r="R390" i="1"/>
  <c r="Q418" i="1"/>
  <c r="Y281" i="1"/>
  <c r="Z278" i="1"/>
  <c r="U21" i="8"/>
  <c r="V21" i="8" s="1"/>
  <c r="AA20" i="8"/>
  <c r="AB20" i="8" s="1"/>
  <c r="AB292" i="1"/>
  <c r="AA293" i="1"/>
  <c r="Y285" i="1"/>
  <c r="Z252" i="1"/>
  <c r="S185" i="8"/>
  <c r="S187" i="8" s="1"/>
  <c r="S236" i="8"/>
  <c r="AC274" i="1"/>
  <c r="AD271" i="1"/>
  <c r="P413" i="1"/>
  <c r="P35" i="5"/>
  <c r="P33" i="5"/>
  <c r="P415" i="1"/>
  <c r="P34" i="5"/>
  <c r="Q17" i="8"/>
  <c r="P37" i="8"/>
  <c r="O77" i="8"/>
  <c r="W302" i="1"/>
  <c r="V300" i="1"/>
  <c r="V318" i="1" s="1"/>
  <c r="P283" i="8"/>
  <c r="P281" i="8"/>
  <c r="P280" i="8" s="1"/>
  <c r="Z267" i="1"/>
  <c r="Y265" i="1"/>
  <c r="Y266" i="1"/>
  <c r="P42" i="5"/>
  <c r="Q5" i="5"/>
  <c r="P47" i="8"/>
  <c r="Q45" i="8" s="1"/>
  <c r="Q46" i="8" s="1"/>
  <c r="Q43" i="8"/>
  <c r="Z254" i="1"/>
  <c r="Y255" i="1"/>
  <c r="Y256" i="1"/>
  <c r="Y260" i="1"/>
  <c r="Y261" i="1"/>
  <c r="N40" i="8"/>
  <c r="N41" i="8" s="1"/>
  <c r="O39" i="8" s="1"/>
  <c r="AA204" i="1"/>
  <c r="AB439" i="1"/>
  <c r="U28" i="5"/>
  <c r="V98" i="5"/>
  <c r="V248" i="1"/>
  <c r="V62" i="5" s="1"/>
  <c r="V25" i="5"/>
  <c r="V18" i="5"/>
  <c r="V89" i="5"/>
  <c r="V303" i="8"/>
  <c r="V91" i="5"/>
  <c r="S407" i="1"/>
  <c r="T387" i="1"/>
  <c r="AF269" i="1"/>
  <c r="AE270" i="1"/>
  <c r="S49" i="8"/>
  <c r="R53" i="8"/>
  <c r="S51" i="8" s="1"/>
  <c r="S52" i="8" s="1"/>
  <c r="R33" i="8"/>
  <c r="Q75" i="8"/>
  <c r="Q104" i="8" s="1"/>
  <c r="P63" i="8"/>
  <c r="O65" i="8"/>
  <c r="O66" i="8" s="1"/>
  <c r="O67" i="8" s="1"/>
  <c r="P65" i="8" s="1"/>
  <c r="P66" i="8" s="1"/>
  <c r="W234" i="1"/>
  <c r="W48" i="5" s="1"/>
  <c r="W11" i="5"/>
  <c r="W231" i="1"/>
  <c r="W45" i="5" s="1"/>
  <c r="W8" i="5"/>
  <c r="W245" i="1"/>
  <c r="W54" i="5" s="1"/>
  <c r="W91" i="5" s="1"/>
  <c r="W17" i="5"/>
  <c r="W241" i="1"/>
  <c r="W50" i="5" s="1"/>
  <c r="W87" i="5" s="1"/>
  <c r="W13" i="5"/>
  <c r="W14" i="5"/>
  <c r="W242" i="1"/>
  <c r="W51" i="5" s="1"/>
  <c r="W24" i="5"/>
  <c r="W247" i="1"/>
  <c r="W61" i="5" s="1"/>
  <c r="W199" i="1"/>
  <c r="Y177" i="1"/>
  <c r="X187" i="1"/>
  <c r="X198" i="1"/>
  <c r="X221" i="1"/>
  <c r="X222" i="1" s="1"/>
  <c r="X205" i="1"/>
  <c r="X206" i="1"/>
  <c r="X217" i="1"/>
  <c r="X208" i="1"/>
  <c r="X216" i="1"/>
  <c r="X184" i="1"/>
  <c r="X185" i="1"/>
  <c r="X182" i="1"/>
  <c r="X181" i="1"/>
  <c r="X194" i="1"/>
  <c r="X192" i="1"/>
  <c r="X215" i="1"/>
  <c r="X212" i="1"/>
  <c r="X223" i="1"/>
  <c r="X183" i="1"/>
  <c r="X196" i="1"/>
  <c r="X195" i="1"/>
  <c r="X218" i="1"/>
  <c r="X219" i="1"/>
  <c r="X207" i="1"/>
  <c r="X200" i="1"/>
  <c r="X189" i="1"/>
  <c r="X193" i="1"/>
  <c r="X210" i="1"/>
  <c r="X211" i="1" s="1"/>
  <c r="V27" i="5"/>
  <c r="V302" i="8"/>
  <c r="V82" i="5"/>
  <c r="T102" i="5"/>
  <c r="H348" i="8"/>
  <c r="H320" i="8"/>
  <c r="W10" i="7"/>
  <c r="W21" i="7"/>
  <c r="X421" i="1"/>
  <c r="AB298" i="1"/>
  <c r="S31" i="5"/>
  <c r="V283" i="1"/>
  <c r="W280" i="1"/>
  <c r="W277" i="1"/>
  <c r="X276" i="1"/>
  <c r="O36" i="5"/>
  <c r="O37" i="5" s="1"/>
  <c r="O38" i="5" s="1"/>
  <c r="AB263" i="1"/>
  <c r="X419" i="1"/>
  <c r="AA312" i="1"/>
  <c r="AA315" i="1"/>
  <c r="AB311" i="1"/>
  <c r="AB15" i="8"/>
  <c r="AC15" i="8" s="1"/>
  <c r="P32" i="5"/>
  <c r="P416" i="1"/>
  <c r="R57" i="8"/>
  <c r="Q61" i="8"/>
  <c r="R59" i="8" s="1"/>
  <c r="R60" i="8" s="1"/>
  <c r="N93" i="8"/>
  <c r="P69" i="8"/>
  <c r="O89" i="8"/>
  <c r="R27" i="8"/>
  <c r="Q412" i="1"/>
  <c r="S8" i="8"/>
  <c r="R17" i="8"/>
  <c r="T24" i="8"/>
  <c r="U24" i="8" s="1"/>
  <c r="O83" i="8"/>
  <c r="X282" i="1"/>
  <c r="Y14" i="8"/>
  <c r="Z14" i="8" s="1"/>
  <c r="AE257" i="1"/>
  <c r="AF253" i="1"/>
  <c r="U11" i="8"/>
  <c r="V11" i="8" s="1"/>
  <c r="U101" i="5"/>
  <c r="U102" i="5" s="1"/>
  <c r="U95" i="5"/>
  <c r="U308" i="8"/>
  <c r="U306" i="8" s="1"/>
  <c r="U299" i="8" s="1"/>
  <c r="V81" i="5"/>
  <c r="V301" i="8"/>
  <c r="V300" i="8" s="1"/>
  <c r="V55" i="5"/>
  <c r="V92" i="5" s="1"/>
  <c r="V96" i="5"/>
  <c r="V309" i="8"/>
  <c r="T299" i="8"/>
  <c r="R407" i="1"/>
  <c r="N72" i="8"/>
  <c r="N73" i="8" s="1"/>
  <c r="O71" i="8" s="1"/>
  <c r="X296" i="1"/>
  <c r="X317" i="1"/>
  <c r="Z288" i="1"/>
  <c r="Y289" i="1"/>
  <c r="Y290" i="1"/>
  <c r="Y295" i="1"/>
  <c r="P234" i="8"/>
  <c r="P183" i="8"/>
  <c r="U185" i="8" l="1"/>
  <c r="U187" i="8" s="1"/>
  <c r="U236" i="8"/>
  <c r="Z290" i="1"/>
  <c r="Z289" i="1"/>
  <c r="AA288" i="1"/>
  <c r="Z295" i="1"/>
  <c r="O72" i="8"/>
  <c r="O73" i="8" s="1"/>
  <c r="P71" i="8" s="1"/>
  <c r="T8" i="8"/>
  <c r="S27" i="8"/>
  <c r="R412" i="1"/>
  <c r="Q69" i="8"/>
  <c r="P89" i="8"/>
  <c r="AB312" i="1"/>
  <c r="AC311" i="1"/>
  <c r="AB315" i="1"/>
  <c r="X18" i="7"/>
  <c r="X7" i="7"/>
  <c r="AC263" i="1"/>
  <c r="Y419" i="1"/>
  <c r="T19" i="8"/>
  <c r="U19" i="8" s="1"/>
  <c r="AC298" i="1"/>
  <c r="Y421" i="1"/>
  <c r="X21" i="7"/>
  <c r="X10" i="7"/>
  <c r="T185" i="8"/>
  <c r="T187" i="8" s="1"/>
  <c r="T236" i="8"/>
  <c r="X238" i="1"/>
  <c r="X59" i="5" s="1"/>
  <c r="X22" i="5"/>
  <c r="X245" i="1"/>
  <c r="X54" i="5" s="1"/>
  <c r="X17" i="5"/>
  <c r="X15" i="5"/>
  <c r="X243" i="1"/>
  <c r="X52" i="5" s="1"/>
  <c r="X231" i="1"/>
  <c r="X45" i="5" s="1"/>
  <c r="X8" i="5"/>
  <c r="X10" i="5"/>
  <c r="X233" i="1"/>
  <c r="X47" i="5" s="1"/>
  <c r="X84" i="5" s="1"/>
  <c r="X188" i="1"/>
  <c r="X236" i="1"/>
  <c r="X57" i="5" s="1"/>
  <c r="X20" i="5"/>
  <c r="W248" i="1"/>
  <c r="W62" i="5" s="1"/>
  <c r="W99" i="5" s="1"/>
  <c r="W25" i="5"/>
  <c r="W302" i="8"/>
  <c r="W82" i="5"/>
  <c r="W305" i="8"/>
  <c r="W85" i="5"/>
  <c r="R75" i="8"/>
  <c r="R104" i="8" s="1"/>
  <c r="S33" i="8"/>
  <c r="S410" i="1"/>
  <c r="S408" i="1"/>
  <c r="S30" i="5"/>
  <c r="S29" i="5"/>
  <c r="S32" i="5" s="1"/>
  <c r="AB204" i="1"/>
  <c r="AC439" i="1"/>
  <c r="Z256" i="1"/>
  <c r="Z255" i="1"/>
  <c r="AA254" i="1"/>
  <c r="Z261" i="1"/>
  <c r="Z260" i="1"/>
  <c r="Q42" i="5"/>
  <c r="R5" i="5"/>
  <c r="AA267" i="1"/>
  <c r="Z265" i="1"/>
  <c r="Z266" i="1"/>
  <c r="Q281" i="8"/>
  <c r="Q280" i="8" s="1"/>
  <c r="Q283" i="8"/>
  <c r="Z25" i="8"/>
  <c r="AA25" i="8" s="1"/>
  <c r="AB293" i="1"/>
  <c r="AC292" i="1"/>
  <c r="R417" i="1"/>
  <c r="S390" i="1"/>
  <c r="R418" i="1"/>
  <c r="Z276" i="8"/>
  <c r="AA267" i="8"/>
  <c r="V10" i="8"/>
  <c r="W10" i="8" s="1"/>
  <c r="AB9" i="8"/>
  <c r="AC9" i="8" s="1"/>
  <c r="V308" i="8"/>
  <c r="V95" i="5"/>
  <c r="V306" i="8"/>
  <c r="V299" i="8" s="1"/>
  <c r="W83" i="5"/>
  <c r="W304" i="8"/>
  <c r="W90" i="5"/>
  <c r="W301" i="8"/>
  <c r="W55" i="5"/>
  <c r="W81" i="5"/>
  <c r="Y296" i="1"/>
  <c r="Y317" i="1"/>
  <c r="R410" i="1"/>
  <c r="R30" i="5"/>
  <c r="R408" i="1"/>
  <c r="R29" i="5"/>
  <c r="R32" i="5" s="1"/>
  <c r="R31" i="5"/>
  <c r="AG253" i="1"/>
  <c r="AF257" i="1"/>
  <c r="V24" i="8"/>
  <c r="W24" i="8" s="1"/>
  <c r="Q415" i="1"/>
  <c r="Q416" i="1" s="1"/>
  <c r="Q35" i="5"/>
  <c r="Q413" i="1"/>
  <c r="Q33" i="5"/>
  <c r="Q36" i="5" s="1"/>
  <c r="Q37" i="5" s="1"/>
  <c r="Q38" i="5" s="1"/>
  <c r="Q34" i="5"/>
  <c r="S16" i="8"/>
  <c r="T16" i="8" s="1"/>
  <c r="O91" i="8"/>
  <c r="O92" i="8" s="1"/>
  <c r="O93" i="8" s="1"/>
  <c r="N323" i="8"/>
  <c r="R61" i="8"/>
  <c r="S57" i="8"/>
  <c r="V22" i="8"/>
  <c r="W22" i="8" s="1"/>
  <c r="U13" i="8"/>
  <c r="V13" i="8" s="1"/>
  <c r="Y276" i="1"/>
  <c r="X277" i="1"/>
  <c r="X280" i="1"/>
  <c r="W283" i="1"/>
  <c r="X14" i="5"/>
  <c r="X242" i="1"/>
  <c r="X51" i="5" s="1"/>
  <c r="X26" i="5"/>
  <c r="X249" i="1"/>
  <c r="X63" i="5" s="1"/>
  <c r="X244" i="1"/>
  <c r="X53" i="5" s="1"/>
  <c r="X16" i="5"/>
  <c r="X9" i="5"/>
  <c r="X232" i="1"/>
  <c r="X46" i="5" s="1"/>
  <c r="X241" i="1"/>
  <c r="X50" i="5" s="1"/>
  <c r="X87" i="5" s="1"/>
  <c r="X13" i="5"/>
  <c r="X7" i="5"/>
  <c r="X18" i="5" s="1"/>
  <c r="X230" i="1"/>
  <c r="X44" i="5" s="1"/>
  <c r="X234" i="1"/>
  <c r="X48" i="5" s="1"/>
  <c r="X11" i="5"/>
  <c r="X199" i="1"/>
  <c r="X24" i="5"/>
  <c r="X247" i="1"/>
  <c r="X61" i="5" s="1"/>
  <c r="X98" i="5" s="1"/>
  <c r="Z177" i="1"/>
  <c r="Y187" i="1"/>
  <c r="Y198" i="1"/>
  <c r="Y210" i="1"/>
  <c r="Y211" i="1" s="1"/>
  <c r="Y181" i="1"/>
  <c r="Y193" i="1"/>
  <c r="Y189" i="1"/>
  <c r="Y194" i="1"/>
  <c r="Y192" i="1"/>
  <c r="Y200" i="1"/>
  <c r="Y212" i="1"/>
  <c r="Y219" i="1"/>
  <c r="Y215" i="1"/>
  <c r="Y205" i="1"/>
  <c r="Y217" i="1"/>
  <c r="Y206" i="1"/>
  <c r="Y184" i="1"/>
  <c r="Y195" i="1"/>
  <c r="Y183" i="1"/>
  <c r="Y208" i="1"/>
  <c r="Y223" i="1"/>
  <c r="Y207" i="1"/>
  <c r="Y185" i="1"/>
  <c r="Y218" i="1"/>
  <c r="Y196" i="1"/>
  <c r="Y182" i="1"/>
  <c r="Y216" i="1"/>
  <c r="Y221" i="1"/>
  <c r="Y222" i="1" s="1"/>
  <c r="W98" i="5"/>
  <c r="W88" i="5"/>
  <c r="P67" i="8"/>
  <c r="Q65" i="8" s="1"/>
  <c r="Q66" i="8" s="1"/>
  <c r="Q63" i="8"/>
  <c r="Q83" i="8" s="1"/>
  <c r="Q234" i="8"/>
  <c r="Q183" i="8"/>
  <c r="S53" i="8"/>
  <c r="T51" i="8" s="1"/>
  <c r="T52" i="8" s="1"/>
  <c r="T49" i="8"/>
  <c r="AF270" i="1"/>
  <c r="AG269" i="1"/>
  <c r="T407" i="1"/>
  <c r="U387" i="1"/>
  <c r="V28" i="5"/>
  <c r="V99" i="5"/>
  <c r="V101" i="5" s="1"/>
  <c r="V102" i="5" s="1"/>
  <c r="O40" i="8"/>
  <c r="O41" i="8" s="1"/>
  <c r="P39" i="8" s="1"/>
  <c r="Y282" i="1"/>
  <c r="R43" i="8"/>
  <c r="Q47" i="8"/>
  <c r="R45" i="8" s="1"/>
  <c r="R46" i="8" s="1"/>
  <c r="P83" i="8"/>
  <c r="X302" i="1"/>
  <c r="W300" i="1"/>
  <c r="W318" i="1" s="1"/>
  <c r="Q37" i="8"/>
  <c r="P77" i="8"/>
  <c r="P36" i="5"/>
  <c r="P37" i="5" s="1"/>
  <c r="P38" i="5" s="1"/>
  <c r="AE271" i="1"/>
  <c r="AD274" i="1"/>
  <c r="AA252" i="1"/>
  <c r="Z285" i="1"/>
  <c r="AC20" i="8"/>
  <c r="AD20" i="8" s="1"/>
  <c r="AA278" i="1"/>
  <c r="Z281" i="1"/>
  <c r="Q17" i="7"/>
  <c r="Q6" i="7"/>
  <c r="AD304" i="1"/>
  <c r="AC305" i="1"/>
  <c r="AC308" i="1"/>
  <c r="AC26" i="8"/>
  <c r="AD26" i="8" s="1"/>
  <c r="I321" i="8"/>
  <c r="J79" i="8"/>
  <c r="V64" i="5"/>
  <c r="V65" i="5" s="1"/>
  <c r="V167" i="8" s="1"/>
  <c r="W307" i="8"/>
  <c r="W94" i="5"/>
  <c r="W237" i="1"/>
  <c r="W58" i="5" s="1"/>
  <c r="W21" i="5"/>
  <c r="W27" i="5" s="1"/>
  <c r="W309" i="8"/>
  <c r="W96" i="5"/>
  <c r="W89" i="5"/>
  <c r="W303" i="8"/>
  <c r="W18" i="5"/>
  <c r="N322" i="8"/>
  <c r="O85" i="8"/>
  <c r="O86" i="8" s="1"/>
  <c r="O87" i="8" s="1"/>
  <c r="V185" i="8" l="1"/>
  <c r="V187" i="8" s="1"/>
  <c r="V236" i="8"/>
  <c r="P91" i="8"/>
  <c r="P92" i="8" s="1"/>
  <c r="O323" i="8"/>
  <c r="P85" i="8"/>
  <c r="P86" i="8" s="1"/>
  <c r="O322" i="8"/>
  <c r="W28" i="5"/>
  <c r="W308" i="8"/>
  <c r="W95" i="5"/>
  <c r="AB252" i="1"/>
  <c r="AA285" i="1"/>
  <c r="P87" i="8"/>
  <c r="W64" i="5"/>
  <c r="W65" i="5" s="1"/>
  <c r="W167" i="8" s="1"/>
  <c r="W306" i="8"/>
  <c r="J80" i="8"/>
  <c r="J81" i="8" s="1"/>
  <c r="J312" i="8"/>
  <c r="J9" i="2" s="1"/>
  <c r="AE304" i="1"/>
  <c r="AD308" i="1"/>
  <c r="AD305" i="1"/>
  <c r="AA281" i="1"/>
  <c r="AB278" i="1"/>
  <c r="AF271" i="1"/>
  <c r="AE274" i="1"/>
  <c r="R37" i="8"/>
  <c r="Q77" i="8"/>
  <c r="Y302" i="1"/>
  <c r="X300" i="1"/>
  <c r="X318" i="1" s="1"/>
  <c r="R47" i="8"/>
  <c r="S45" i="8" s="1"/>
  <c r="S46" i="8" s="1"/>
  <c r="S43" i="8"/>
  <c r="P40" i="8"/>
  <c r="P41" i="8" s="1"/>
  <c r="Q39" i="8" s="1"/>
  <c r="U407" i="1"/>
  <c r="V387" i="1"/>
  <c r="AG270" i="1"/>
  <c r="AH269" i="1"/>
  <c r="Y245" i="1"/>
  <c r="Y54" i="5" s="1"/>
  <c r="Y91" i="5" s="1"/>
  <c r="Y17" i="5"/>
  <c r="Y11" i="5"/>
  <c r="Y234" i="1"/>
  <c r="Y48" i="5" s="1"/>
  <c r="Y232" i="1"/>
  <c r="Y46" i="5" s="1"/>
  <c r="Y83" i="5" s="1"/>
  <c r="Y9" i="5"/>
  <c r="Y233" i="1"/>
  <c r="Y47" i="5" s="1"/>
  <c r="Y84" i="5" s="1"/>
  <c r="Y10" i="5"/>
  <c r="Y241" i="1"/>
  <c r="Y50" i="5" s="1"/>
  <c r="Y87" i="5" s="1"/>
  <c r="Y13" i="5"/>
  <c r="Y22" i="5"/>
  <c r="Y238" i="1"/>
  <c r="Y59" i="5" s="1"/>
  <c r="Y7" i="5"/>
  <c r="Y230" i="1"/>
  <c r="Y44" i="5" s="1"/>
  <c r="Y24" i="5"/>
  <c r="Y199" i="1"/>
  <c r="Y247" i="1"/>
  <c r="Y61" i="5" s="1"/>
  <c r="Y98" i="5" s="1"/>
  <c r="AA177" i="1"/>
  <c r="Z198" i="1"/>
  <c r="Z216" i="1"/>
  <c r="Z218" i="1"/>
  <c r="Z219" i="1"/>
  <c r="Z193" i="1"/>
  <c r="Z181" i="1"/>
  <c r="Z192" i="1"/>
  <c r="Z206" i="1"/>
  <c r="Z205" i="1"/>
  <c r="Z217" i="1"/>
  <c r="Z195" i="1"/>
  <c r="Z189" i="1"/>
  <c r="Z183" i="1"/>
  <c r="Z187" i="1"/>
  <c r="Z223" i="1"/>
  <c r="Z194" i="1"/>
  <c r="Z196" i="1"/>
  <c r="Z212" i="1"/>
  <c r="Z185" i="1"/>
  <c r="Z184" i="1"/>
  <c r="Z208" i="1"/>
  <c r="Z182" i="1"/>
  <c r="Z207" i="1"/>
  <c r="Z215" i="1"/>
  <c r="Z200" i="1"/>
  <c r="Z210" i="1"/>
  <c r="Z211" i="1" s="1"/>
  <c r="Z221" i="1"/>
  <c r="Z222" i="1" s="1"/>
  <c r="X55" i="5"/>
  <c r="X92" i="5" s="1"/>
  <c r="X301" i="8"/>
  <c r="X81" i="5"/>
  <c r="X83" i="5"/>
  <c r="X100" i="5"/>
  <c r="X88" i="5"/>
  <c r="W13" i="8"/>
  <c r="X13" i="8" s="1"/>
  <c r="S59" i="8"/>
  <c r="S60" i="8" s="1"/>
  <c r="AA14" i="8"/>
  <c r="AB14" i="8" s="1"/>
  <c r="AG257" i="1"/>
  <c r="AH253" i="1"/>
  <c r="W92" i="5"/>
  <c r="AD9" i="8"/>
  <c r="AE9" i="8" s="1"/>
  <c r="AB267" i="8"/>
  <c r="AA276" i="8"/>
  <c r="S418" i="1"/>
  <c r="S417" i="1"/>
  <c r="T390" i="1"/>
  <c r="W21" i="8"/>
  <c r="X21" i="8" s="1"/>
  <c r="R42" i="5"/>
  <c r="S5" i="5"/>
  <c r="AB254" i="1"/>
  <c r="AA255" i="1"/>
  <c r="AA256" i="1"/>
  <c r="AA260" i="1"/>
  <c r="AA261" i="1"/>
  <c r="R183" i="8"/>
  <c r="R234" i="8"/>
  <c r="X237" i="1"/>
  <c r="X58" i="5" s="1"/>
  <c r="X21" i="5"/>
  <c r="X27" i="5" s="1"/>
  <c r="X28" i="5" s="1"/>
  <c r="X82" i="5"/>
  <c r="X302" i="8"/>
  <c r="X91" i="5"/>
  <c r="X309" i="8"/>
  <c r="X96" i="5"/>
  <c r="Y10" i="7"/>
  <c r="Y21" i="7"/>
  <c r="AD298" i="1"/>
  <c r="Z421" i="1"/>
  <c r="AC315" i="1"/>
  <c r="AC312" i="1"/>
  <c r="AD311" i="1"/>
  <c r="AD15" i="8"/>
  <c r="AE15" i="8" s="1"/>
  <c r="T27" i="8"/>
  <c r="S412" i="1"/>
  <c r="U8" i="8"/>
  <c r="T17" i="8"/>
  <c r="W11" i="8"/>
  <c r="X11" i="8" s="1"/>
  <c r="Z296" i="1"/>
  <c r="Z317" i="1"/>
  <c r="W101" i="5"/>
  <c r="I348" i="8"/>
  <c r="I320" i="8"/>
  <c r="AE20" i="8"/>
  <c r="AF20" i="8" s="1"/>
  <c r="T408" i="1"/>
  <c r="T410" i="1"/>
  <c r="T30" i="5"/>
  <c r="T29" i="5"/>
  <c r="T53" i="8"/>
  <c r="U51" i="8" s="1"/>
  <c r="U52" i="8" s="1"/>
  <c r="U49" i="8"/>
  <c r="Q67" i="8"/>
  <c r="R65" i="8" s="1"/>
  <c r="R66" i="8" s="1"/>
  <c r="R63" i="8"/>
  <c r="Y8" i="5"/>
  <c r="Y231" i="1"/>
  <c r="Y45" i="5" s="1"/>
  <c r="Y244" i="1"/>
  <c r="Y53" i="5" s="1"/>
  <c r="Y16" i="5"/>
  <c r="Y26" i="5"/>
  <c r="Y249" i="1"/>
  <c r="Y63" i="5" s="1"/>
  <c r="Y15" i="5"/>
  <c r="Y243" i="1"/>
  <c r="Y52" i="5" s="1"/>
  <c r="Y242" i="1"/>
  <c r="Y51" i="5" s="1"/>
  <c r="Y88" i="5" s="1"/>
  <c r="Y14" i="5"/>
  <c r="Y188" i="1"/>
  <c r="Y20" i="5"/>
  <c r="Y236" i="1"/>
  <c r="Y57" i="5" s="1"/>
  <c r="X25" i="5"/>
  <c r="X248" i="1"/>
  <c r="X62" i="5" s="1"/>
  <c r="X99" i="5" s="1"/>
  <c r="X85" i="5"/>
  <c r="X305" i="8"/>
  <c r="X90" i="5"/>
  <c r="X304" i="8"/>
  <c r="T31" i="5"/>
  <c r="U31" i="5"/>
  <c r="X283" i="1"/>
  <c r="Y280" i="1"/>
  <c r="Z276" i="1"/>
  <c r="Z282" i="1" s="1"/>
  <c r="Y277" i="1"/>
  <c r="X22" i="8"/>
  <c r="Y22" i="8" s="1"/>
  <c r="T57" i="8"/>
  <c r="S61" i="8"/>
  <c r="U16" i="8"/>
  <c r="X24" i="8"/>
  <c r="Y24" i="8" s="1"/>
  <c r="W300" i="8"/>
  <c r="W299" i="8" s="1"/>
  <c r="X10" i="8"/>
  <c r="Y10" i="8" s="1"/>
  <c r="R17" i="7"/>
  <c r="R6" i="7"/>
  <c r="AC293" i="1"/>
  <c r="AD292" i="1"/>
  <c r="AB25" i="8"/>
  <c r="AC25" i="8" s="1"/>
  <c r="R283" i="8"/>
  <c r="R281" i="8"/>
  <c r="R280" i="8" s="1"/>
  <c r="AB267" i="1"/>
  <c r="AA265" i="1"/>
  <c r="AA266" i="1"/>
  <c r="AD439" i="1"/>
  <c r="AC204" i="1"/>
  <c r="T33" i="8"/>
  <c r="S75" i="8"/>
  <c r="S104" i="8" s="1"/>
  <c r="X94" i="5"/>
  <c r="X64" i="5"/>
  <c r="X65" i="5" s="1"/>
  <c r="X167" i="8" s="1"/>
  <c r="X307" i="8"/>
  <c r="X89" i="5"/>
  <c r="X303" i="8"/>
  <c r="V19" i="8"/>
  <c r="Y18" i="7"/>
  <c r="Y7" i="7"/>
  <c r="AD263" i="1"/>
  <c r="Z419" i="1"/>
  <c r="P93" i="8"/>
  <c r="R69" i="8"/>
  <c r="Q89" i="8"/>
  <c r="R413" i="1"/>
  <c r="R415" i="1"/>
  <c r="R416" i="1" s="1"/>
  <c r="R33" i="5"/>
  <c r="R35" i="5"/>
  <c r="R34" i="5"/>
  <c r="S17" i="8"/>
  <c r="P72" i="8"/>
  <c r="P73" i="8" s="1"/>
  <c r="Q71" i="8" s="1"/>
  <c r="AA289" i="1"/>
  <c r="AB288" i="1"/>
  <c r="AA290" i="1"/>
  <c r="AA295" i="1"/>
  <c r="AA296" i="1" l="1"/>
  <c r="AA317" i="1"/>
  <c r="AB290" i="1"/>
  <c r="AB289" i="1"/>
  <c r="AC288" i="1"/>
  <c r="AB295" i="1"/>
  <c r="Q72" i="8"/>
  <c r="Q73" i="8" s="1"/>
  <c r="R71" i="8" s="1"/>
  <c r="R36" i="5"/>
  <c r="R37" i="5" s="1"/>
  <c r="R38" i="5" s="1"/>
  <c r="S69" i="8"/>
  <c r="R89" i="8"/>
  <c r="P323" i="8"/>
  <c r="Q91" i="8"/>
  <c r="Q92" i="8" s="1"/>
  <c r="Z18" i="7"/>
  <c r="Z7" i="7"/>
  <c r="S183" i="8"/>
  <c r="S234" i="8"/>
  <c r="AD204" i="1"/>
  <c r="AE439" i="1"/>
  <c r="T59" i="8"/>
  <c r="T60" i="8" s="1"/>
  <c r="Y283" i="1"/>
  <c r="Y303" i="8"/>
  <c r="Y89" i="5"/>
  <c r="Y100" i="5"/>
  <c r="Y302" i="8"/>
  <c r="Y82" i="5"/>
  <c r="R67" i="8"/>
  <c r="S65" i="8" s="1"/>
  <c r="S66" i="8" s="1"/>
  <c r="S63" i="8"/>
  <c r="S35" i="5"/>
  <c r="S33" i="5"/>
  <c r="S36" i="5" s="1"/>
  <c r="S37" i="5" s="1"/>
  <c r="S38" i="5" s="1"/>
  <c r="S413" i="1"/>
  <c r="S415" i="1"/>
  <c r="S416" i="1" s="1"/>
  <c r="S34" i="5"/>
  <c r="AD315" i="1"/>
  <c r="AE311" i="1"/>
  <c r="AD312" i="1"/>
  <c r="Z21" i="7"/>
  <c r="Z10" i="7"/>
  <c r="AA421" i="1"/>
  <c r="AE298" i="1"/>
  <c r="X308" i="8"/>
  <c r="X306" i="8" s="1"/>
  <c r="X95" i="5"/>
  <c r="X101" i="5" s="1"/>
  <c r="X102" i="5" s="1"/>
  <c r="AB255" i="1"/>
  <c r="AC254" i="1"/>
  <c r="AB256" i="1"/>
  <c r="AB261" i="1"/>
  <c r="AB260" i="1"/>
  <c r="U390" i="1"/>
  <c r="T417" i="1"/>
  <c r="T418" i="1"/>
  <c r="S6" i="7"/>
  <c r="S17" i="7"/>
  <c r="AB276" i="8"/>
  <c r="AC267" i="8"/>
  <c r="W102" i="5"/>
  <c r="AI253" i="1"/>
  <c r="AH257" i="1"/>
  <c r="AC14" i="8"/>
  <c r="AD14" i="8" s="1"/>
  <c r="Y13" i="8"/>
  <c r="Z13" i="8" s="1"/>
  <c r="Z8" i="5"/>
  <c r="Z231" i="1"/>
  <c r="Z45" i="5" s="1"/>
  <c r="Z233" i="1"/>
  <c r="Z47" i="5" s="1"/>
  <c r="Z10" i="5"/>
  <c r="Z243" i="1"/>
  <c r="Z52" i="5" s="1"/>
  <c r="Z15" i="5"/>
  <c r="Z188" i="1"/>
  <c r="Z236" i="1"/>
  <c r="Z57" i="5" s="1"/>
  <c r="Z20" i="5"/>
  <c r="Z238" i="1"/>
  <c r="Z59" i="5" s="1"/>
  <c r="Z22" i="5"/>
  <c r="Z230" i="1"/>
  <c r="Z44" i="5" s="1"/>
  <c r="Z7" i="5"/>
  <c r="AB177" i="1"/>
  <c r="AA198" i="1"/>
  <c r="AA187" i="1"/>
  <c r="AA205" i="1"/>
  <c r="AA212" i="1"/>
  <c r="AA206" i="1"/>
  <c r="AA193" i="1"/>
  <c r="AA184" i="1"/>
  <c r="AA196" i="1"/>
  <c r="AA208" i="1"/>
  <c r="AA207" i="1"/>
  <c r="AA223" i="1"/>
  <c r="AA189" i="1"/>
  <c r="AA181" i="1"/>
  <c r="AA195" i="1"/>
  <c r="AA215" i="1"/>
  <c r="AA182" i="1"/>
  <c r="AA218" i="1"/>
  <c r="AA216" i="1"/>
  <c r="AA185" i="1"/>
  <c r="AA219" i="1"/>
  <c r="AA194" i="1"/>
  <c r="AA183" i="1"/>
  <c r="AA217" i="1"/>
  <c r="AA200" i="1"/>
  <c r="AA192" i="1"/>
  <c r="AA210" i="1"/>
  <c r="AA211" i="1" s="1"/>
  <c r="AA221" i="1"/>
  <c r="AA222" i="1" s="1"/>
  <c r="Y248" i="1"/>
  <c r="Y62" i="5" s="1"/>
  <c r="Y99" i="5" s="1"/>
  <c r="Y25" i="5"/>
  <c r="Y301" i="8"/>
  <c r="Y55" i="5"/>
  <c r="Y81" i="5"/>
  <c r="Y309" i="8"/>
  <c r="Y96" i="5"/>
  <c r="Y305" i="8"/>
  <c r="Y85" i="5"/>
  <c r="U410" i="1"/>
  <c r="U30" i="5"/>
  <c r="U408" i="1"/>
  <c r="U29" i="5"/>
  <c r="U32" i="5" s="1"/>
  <c r="T43" i="8"/>
  <c r="S47" i="8"/>
  <c r="T45" i="8" s="1"/>
  <c r="T46" i="8" s="1"/>
  <c r="S83" i="8"/>
  <c r="R83" i="8"/>
  <c r="Z302" i="1"/>
  <c r="Y300" i="1"/>
  <c r="Y318" i="1" s="1"/>
  <c r="R77" i="8"/>
  <c r="S37" i="8"/>
  <c r="AC278" i="1"/>
  <c r="AB281" i="1"/>
  <c r="AF304" i="1"/>
  <c r="AE308" i="1"/>
  <c r="AE305" i="1"/>
  <c r="AE26" i="8"/>
  <c r="AF26" i="8" s="1"/>
  <c r="J321" i="8"/>
  <c r="K79" i="8"/>
  <c r="Q93" i="8"/>
  <c r="AA419" i="1"/>
  <c r="AE263" i="1"/>
  <c r="U33" i="8"/>
  <c r="T75" i="8"/>
  <c r="T104" i="8" s="1"/>
  <c r="AB265" i="1"/>
  <c r="AB266" i="1"/>
  <c r="AC267" i="1"/>
  <c r="S281" i="8"/>
  <c r="S280" i="8" s="1"/>
  <c r="S283" i="8"/>
  <c r="AE292" i="1"/>
  <c r="AD293" i="1"/>
  <c r="U57" i="8"/>
  <c r="T61" i="8"/>
  <c r="U59" i="8" s="1"/>
  <c r="U60" i="8" s="1"/>
  <c r="Z277" i="1"/>
  <c r="AA276" i="1"/>
  <c r="Z280" i="1"/>
  <c r="Y94" i="5"/>
  <c r="Y307" i="8"/>
  <c r="Y21" i="5"/>
  <c r="Y27" i="5" s="1"/>
  <c r="Y237" i="1"/>
  <c r="Y58" i="5" s="1"/>
  <c r="Y90" i="5"/>
  <c r="Y304" i="8"/>
  <c r="V49" i="8"/>
  <c r="U53" i="8"/>
  <c r="V51" i="8" s="1"/>
  <c r="V52" i="8" s="1"/>
  <c r="T32" i="5"/>
  <c r="Y11" i="8"/>
  <c r="Z11" i="8" s="1"/>
  <c r="U17" i="8"/>
  <c r="V8" i="8"/>
  <c r="U27" i="8"/>
  <c r="V16" i="8" s="1"/>
  <c r="T412" i="1"/>
  <c r="AA282" i="1"/>
  <c r="T5" i="5"/>
  <c r="S42" i="5"/>
  <c r="Y21" i="8"/>
  <c r="Z21" i="8" s="1"/>
  <c r="AF9" i="8"/>
  <c r="AG9" i="8" s="1"/>
  <c r="X300" i="8"/>
  <c r="Z249" i="1"/>
  <c r="Z63" i="5" s="1"/>
  <c r="Z100" i="5" s="1"/>
  <c r="Z26" i="5"/>
  <c r="Z11" i="5"/>
  <c r="Z234" i="1"/>
  <c r="Z48" i="5" s="1"/>
  <c r="Z17" i="5"/>
  <c r="Z245" i="1"/>
  <c r="Z54" i="5" s="1"/>
  <c r="Z232" i="1"/>
  <c r="Z46" i="5" s="1"/>
  <c r="Z83" i="5" s="1"/>
  <c r="Z9" i="5"/>
  <c r="Z244" i="1"/>
  <c r="Z53" i="5" s="1"/>
  <c r="Z16" i="5"/>
  <c r="Z13" i="5"/>
  <c r="Z241" i="1"/>
  <c r="Z50" i="5" s="1"/>
  <c r="Z242" i="1"/>
  <c r="Z51" i="5" s="1"/>
  <c r="Z88" i="5" s="1"/>
  <c r="Z14" i="5"/>
  <c r="Z247" i="1"/>
  <c r="Z61" i="5" s="1"/>
  <c r="Z98" i="5" s="1"/>
  <c r="Z24" i="5"/>
  <c r="Z199" i="1"/>
  <c r="Y18" i="5"/>
  <c r="AH270" i="1"/>
  <c r="AI269" i="1"/>
  <c r="W387" i="1"/>
  <c r="V407" i="1"/>
  <c r="V31" i="5" s="1"/>
  <c r="Q40" i="8"/>
  <c r="Q41" i="8" s="1"/>
  <c r="R39" i="8" s="1"/>
  <c r="AF274" i="1"/>
  <c r="AG271" i="1"/>
  <c r="P322" i="8"/>
  <c r="Q85" i="8"/>
  <c r="Q86" i="8" s="1"/>
  <c r="Q87" i="8" s="1"/>
  <c r="AC252" i="1"/>
  <c r="AB285" i="1"/>
  <c r="X236" i="8" l="1"/>
  <c r="X185" i="8"/>
  <c r="X187" i="8" s="1"/>
  <c r="AH271" i="1"/>
  <c r="AG274" i="1"/>
  <c r="X387" i="1"/>
  <c r="AJ269" i="1"/>
  <c r="AI270" i="1"/>
  <c r="Z248" i="1"/>
  <c r="Z62" i="5" s="1"/>
  <c r="Z25" i="5"/>
  <c r="Z90" i="5"/>
  <c r="Z304" i="8"/>
  <c r="T415" i="1"/>
  <c r="T416" i="1" s="1"/>
  <c r="T413" i="1"/>
  <c r="T33" i="5"/>
  <c r="T35" i="5"/>
  <c r="T34" i="5"/>
  <c r="W8" i="8"/>
  <c r="V17" i="8"/>
  <c r="AA277" i="1"/>
  <c r="AA280" i="1"/>
  <c r="AB276" i="1"/>
  <c r="AE293" i="1"/>
  <c r="AF292" i="1"/>
  <c r="T234" i="8"/>
  <c r="T183" i="8"/>
  <c r="R91" i="8"/>
  <c r="R92" i="8" s="1"/>
  <c r="Q323" i="8"/>
  <c r="J320" i="8"/>
  <c r="J348" i="8"/>
  <c r="AA302" i="1"/>
  <c r="Z300" i="1"/>
  <c r="Z318" i="1" s="1"/>
  <c r="T47" i="8"/>
  <c r="U45" i="8" s="1"/>
  <c r="U46" i="8" s="1"/>
  <c r="U43" i="8"/>
  <c r="Y300" i="8"/>
  <c r="AA249" i="1"/>
  <c r="AA63" i="5" s="1"/>
  <c r="AA26" i="5"/>
  <c r="AA9" i="5"/>
  <c r="AA232" i="1"/>
  <c r="AA46" i="5" s="1"/>
  <c r="AA83" i="5" s="1"/>
  <c r="AA231" i="1"/>
  <c r="AA45" i="5" s="1"/>
  <c r="AA8" i="5"/>
  <c r="AA244" i="1"/>
  <c r="AA53" i="5" s="1"/>
  <c r="AA16" i="5"/>
  <c r="AA238" i="1"/>
  <c r="AA59" i="5" s="1"/>
  <c r="AA22" i="5"/>
  <c r="AA245" i="1"/>
  <c r="AA54" i="5" s="1"/>
  <c r="AA17" i="5"/>
  <c r="AA242" i="1"/>
  <c r="AA51" i="5" s="1"/>
  <c r="AA14" i="5"/>
  <c r="AA236" i="1"/>
  <c r="AA57" i="5" s="1"/>
  <c r="AA188" i="1"/>
  <c r="AA20" i="5"/>
  <c r="AC177" i="1"/>
  <c r="AB187" i="1"/>
  <c r="AB198" i="1"/>
  <c r="AB212" i="1"/>
  <c r="AB205" i="1"/>
  <c r="AB189" i="1"/>
  <c r="AB185" i="1"/>
  <c r="AB195" i="1"/>
  <c r="AB223" i="1"/>
  <c r="AB207" i="1"/>
  <c r="AB206" i="1"/>
  <c r="AB183" i="1"/>
  <c r="AB192" i="1"/>
  <c r="AB194" i="1"/>
  <c r="AB182" i="1"/>
  <c r="AB218" i="1"/>
  <c r="AB217" i="1"/>
  <c r="AB184" i="1"/>
  <c r="AB181" i="1"/>
  <c r="AB215" i="1"/>
  <c r="AB208" i="1"/>
  <c r="AB216" i="1"/>
  <c r="AB219" i="1"/>
  <c r="AB200" i="1"/>
  <c r="AB196" i="1"/>
  <c r="AB193" i="1"/>
  <c r="AB210" i="1"/>
  <c r="AB211" i="1" s="1"/>
  <c r="AB221" i="1"/>
  <c r="AB222" i="1" s="1"/>
  <c r="Z81" i="5"/>
  <c r="Z301" i="8"/>
  <c r="Z55" i="5"/>
  <c r="Z96" i="5"/>
  <c r="Z309" i="8"/>
  <c r="Z307" i="8"/>
  <c r="Z94" i="5"/>
  <c r="Z302" i="8"/>
  <c r="Z82" i="5"/>
  <c r="AI257" i="1"/>
  <c r="AJ253" i="1"/>
  <c r="AC276" i="8"/>
  <c r="AD267" i="8"/>
  <c r="T6" i="7"/>
  <c r="T17" i="7"/>
  <c r="V390" i="1"/>
  <c r="U418" i="1"/>
  <c r="U417" i="1"/>
  <c r="AD254" i="1"/>
  <c r="AC256" i="1"/>
  <c r="AC255" i="1"/>
  <c r="AC261" i="1"/>
  <c r="AC260" i="1"/>
  <c r="AF298" i="1"/>
  <c r="AB421" i="1"/>
  <c r="AF311" i="1"/>
  <c r="AE315" i="1"/>
  <c r="AE312" i="1"/>
  <c r="AF15" i="8"/>
  <c r="AG15" i="8" s="1"/>
  <c r="AG20" i="8"/>
  <c r="AH20" i="8" s="1"/>
  <c r="AF439" i="1"/>
  <c r="AE204" i="1"/>
  <c r="W19" i="8"/>
  <c r="X19" i="8" s="1"/>
  <c r="R93" i="8"/>
  <c r="T69" i="8"/>
  <c r="S89" i="8"/>
  <c r="AB296" i="1"/>
  <c r="AB317" i="1"/>
  <c r="AD252" i="1"/>
  <c r="AC285" i="1"/>
  <c r="R40" i="8"/>
  <c r="R41" i="8" s="1"/>
  <c r="S39" i="8" s="1"/>
  <c r="R85" i="8"/>
  <c r="R86" i="8" s="1"/>
  <c r="Q322" i="8"/>
  <c r="V408" i="1"/>
  <c r="V410" i="1"/>
  <c r="V30" i="5"/>
  <c r="V29" i="5"/>
  <c r="Y28" i="5"/>
  <c r="Z87" i="5"/>
  <c r="Z91" i="5"/>
  <c r="Z85" i="5"/>
  <c r="Z305" i="8"/>
  <c r="X299" i="8"/>
  <c r="U5" i="5"/>
  <c r="T42" i="5"/>
  <c r="V27" i="8"/>
  <c r="U412" i="1"/>
  <c r="V53" i="8"/>
  <c r="W51" i="8" s="1"/>
  <c r="W52" i="8" s="1"/>
  <c r="W49" i="8"/>
  <c r="Y95" i="5"/>
  <c r="Y101" i="5" s="1"/>
  <c r="Y308" i="8"/>
  <c r="Y306" i="8" s="1"/>
  <c r="Y64" i="5"/>
  <c r="Y65" i="5" s="1"/>
  <c r="Y167" i="8" s="1"/>
  <c r="Z283" i="1"/>
  <c r="V57" i="8"/>
  <c r="U61" i="8"/>
  <c r="Z10" i="8"/>
  <c r="AA10" i="8" s="1"/>
  <c r="T281" i="8"/>
  <c r="T280" i="8" s="1"/>
  <c r="T283" i="8"/>
  <c r="AC266" i="1"/>
  <c r="AD267" i="1"/>
  <c r="AC265" i="1"/>
  <c r="U75" i="8"/>
  <c r="U104" i="8" s="1"/>
  <c r="V33" i="8"/>
  <c r="AB419" i="1"/>
  <c r="AF263" i="1"/>
  <c r="AA18" i="7"/>
  <c r="AA7" i="7"/>
  <c r="K80" i="8"/>
  <c r="K81" i="8" s="1"/>
  <c r="K312" i="8"/>
  <c r="K9" i="2" s="1"/>
  <c r="AG26" i="8"/>
  <c r="AH26" i="8" s="1"/>
  <c r="AG304" i="1"/>
  <c r="AF305" i="1"/>
  <c r="AF308" i="1"/>
  <c r="AC281" i="1"/>
  <c r="AD278" i="1"/>
  <c r="S77" i="8"/>
  <c r="T37" i="8"/>
  <c r="R87" i="8"/>
  <c r="Y92" i="5"/>
  <c r="AA13" i="5"/>
  <c r="AA241" i="1"/>
  <c r="AA50" i="5" s="1"/>
  <c r="AA87" i="5" s="1"/>
  <c r="AA243" i="1"/>
  <c r="AA52" i="5" s="1"/>
  <c r="AA15" i="5"/>
  <c r="AA11" i="5"/>
  <c r="AA234" i="1"/>
  <c r="AA48" i="5" s="1"/>
  <c r="AA7" i="5"/>
  <c r="AA230" i="1"/>
  <c r="AA44" i="5" s="1"/>
  <c r="AA233" i="1"/>
  <c r="AA47" i="5" s="1"/>
  <c r="AA10" i="5"/>
  <c r="AA199" i="1"/>
  <c r="AA24" i="5"/>
  <c r="AA247" i="1"/>
  <c r="AA61" i="5" s="1"/>
  <c r="Z18" i="5"/>
  <c r="Z21" i="5"/>
  <c r="Z27" i="5" s="1"/>
  <c r="Z237" i="1"/>
  <c r="Z58" i="5" s="1"/>
  <c r="Z64" i="5" s="1"/>
  <c r="Z65" i="5" s="1"/>
  <c r="Z167" i="8" s="1"/>
  <c r="Z303" i="8"/>
  <c r="Z89" i="5"/>
  <c r="Z84" i="5"/>
  <c r="W185" i="8"/>
  <c r="W187" i="8" s="1"/>
  <c r="W236" i="8"/>
  <c r="AB282" i="1"/>
  <c r="AA10" i="7"/>
  <c r="AA21" i="7"/>
  <c r="T63" i="8"/>
  <c r="S67" i="8"/>
  <c r="T65" i="8" s="1"/>
  <c r="T66" i="8" s="1"/>
  <c r="Z22" i="8"/>
  <c r="AA22" i="8" s="1"/>
  <c r="Z24" i="8"/>
  <c r="AA24" i="8" s="1"/>
  <c r="AD25" i="8"/>
  <c r="AE25" i="8" s="1"/>
  <c r="R72" i="8"/>
  <c r="R73" i="8" s="1"/>
  <c r="S71" i="8" s="1"/>
  <c r="AC289" i="1"/>
  <c r="AD288" i="1"/>
  <c r="AC290" i="1"/>
  <c r="AC295" i="1"/>
  <c r="Z28" i="5" l="1"/>
  <c r="AA81" i="5"/>
  <c r="AA301" i="8"/>
  <c r="AA55" i="5"/>
  <c r="AA305" i="8"/>
  <c r="AA85" i="5"/>
  <c r="Y102" i="5"/>
  <c r="R322" i="8"/>
  <c r="S85" i="8"/>
  <c r="S86" i="8" s="1"/>
  <c r="S87" i="8" s="1"/>
  <c r="AE278" i="1"/>
  <c r="AD281" i="1"/>
  <c r="K321" i="8"/>
  <c r="L79" i="8"/>
  <c r="AB7" i="7"/>
  <c r="AB18" i="7"/>
  <c r="U183" i="8"/>
  <c r="U234" i="8"/>
  <c r="AE267" i="1"/>
  <c r="AD265" i="1"/>
  <c r="AD266" i="1"/>
  <c r="U281" i="8"/>
  <c r="U280" i="8" s="1"/>
  <c r="U283" i="8"/>
  <c r="W57" i="8"/>
  <c r="X49" i="8"/>
  <c r="W53" i="8"/>
  <c r="X51" i="8" s="1"/>
  <c r="X52" i="8" s="1"/>
  <c r="U413" i="1"/>
  <c r="U33" i="5"/>
  <c r="U36" i="5" s="1"/>
  <c r="U37" i="5" s="1"/>
  <c r="U38" i="5" s="1"/>
  <c r="U35" i="5"/>
  <c r="U415" i="1"/>
  <c r="U416" i="1" s="1"/>
  <c r="U34" i="5"/>
  <c r="AA21" i="8"/>
  <c r="AB21" i="8" s="1"/>
  <c r="S40" i="8"/>
  <c r="S41" i="8" s="1"/>
  <c r="T39" i="8" s="1"/>
  <c r="AE252" i="1"/>
  <c r="AD285" i="1"/>
  <c r="R323" i="8"/>
  <c r="S91" i="8"/>
  <c r="S92" i="8" s="1"/>
  <c r="AF204" i="1"/>
  <c r="AG439" i="1"/>
  <c r="AD256" i="1"/>
  <c r="AE254" i="1"/>
  <c r="AD255" i="1"/>
  <c r="AD260" i="1"/>
  <c r="AD261" i="1"/>
  <c r="U17" i="7"/>
  <c r="U6" i="7"/>
  <c r="Z300" i="8"/>
  <c r="AB14" i="5"/>
  <c r="AB242" i="1"/>
  <c r="AB51" i="5" s="1"/>
  <c r="AB88" i="5" s="1"/>
  <c r="AB26" i="5"/>
  <c r="AB249" i="1"/>
  <c r="AB63" i="5" s="1"/>
  <c r="AB100" i="5" s="1"/>
  <c r="AB10" i="5"/>
  <c r="AB233" i="1"/>
  <c r="AB47" i="5" s="1"/>
  <c r="AB84" i="5" s="1"/>
  <c r="AB243" i="1"/>
  <c r="AB52" i="5" s="1"/>
  <c r="AB15" i="5"/>
  <c r="AB9" i="5"/>
  <c r="AB232" i="1"/>
  <c r="AB46" i="5" s="1"/>
  <c r="AB83" i="5" s="1"/>
  <c r="AB244" i="1"/>
  <c r="AB53" i="5" s="1"/>
  <c r="AB16" i="5"/>
  <c r="AB238" i="1"/>
  <c r="AB59" i="5" s="1"/>
  <c r="AB22" i="5"/>
  <c r="AB188" i="1"/>
  <c r="AB20" i="5"/>
  <c r="AB236" i="1"/>
  <c r="AB57" i="5" s="1"/>
  <c r="AA94" i="5"/>
  <c r="AA307" i="8"/>
  <c r="AA88" i="5"/>
  <c r="AA91" i="5"/>
  <c r="AA96" i="5"/>
  <c r="AA309" i="8"/>
  <c r="AA304" i="8"/>
  <c r="AA90" i="5"/>
  <c r="AA82" i="5"/>
  <c r="AA302" i="8"/>
  <c r="AA100" i="5"/>
  <c r="V43" i="8"/>
  <c r="U47" i="8"/>
  <c r="V45" i="8" s="1"/>
  <c r="V46" i="8" s="1"/>
  <c r="AB302" i="1"/>
  <c r="AA300" i="1"/>
  <c r="AA318" i="1" s="1"/>
  <c r="AB280" i="1"/>
  <c r="AB277" i="1"/>
  <c r="AC276" i="1"/>
  <c r="T36" i="5"/>
  <c r="T37" i="5" s="1"/>
  <c r="T38" i="5" s="1"/>
  <c r="W407" i="1"/>
  <c r="AH274" i="1"/>
  <c r="AI271" i="1"/>
  <c r="AC296" i="1"/>
  <c r="AC317" i="1"/>
  <c r="AD289" i="1"/>
  <c r="AE288" i="1"/>
  <c r="AD290" i="1"/>
  <c r="AD295" i="1"/>
  <c r="S72" i="8"/>
  <c r="S73" i="8" s="1"/>
  <c r="T71" i="8" s="1"/>
  <c r="U63" i="8"/>
  <c r="T67" i="8"/>
  <c r="U65" i="8" s="1"/>
  <c r="U66" i="8" s="1"/>
  <c r="AA13" i="8"/>
  <c r="AB13" i="8" s="1"/>
  <c r="Z308" i="8"/>
  <c r="Z306" i="8" s="1"/>
  <c r="Z95" i="5"/>
  <c r="AA98" i="5"/>
  <c r="AA25" i="5"/>
  <c r="AA248" i="1"/>
  <c r="AA62" i="5" s="1"/>
  <c r="AA99" i="5" s="1"/>
  <c r="AA84" i="5"/>
  <c r="AA18" i="5"/>
  <c r="AA303" i="8"/>
  <c r="AA89" i="5"/>
  <c r="U37" i="8"/>
  <c r="T77" i="8"/>
  <c r="AG305" i="1"/>
  <c r="AG308" i="1"/>
  <c r="AH304" i="1"/>
  <c r="AG263" i="1"/>
  <c r="AC419" i="1"/>
  <c r="W33" i="8"/>
  <c r="V75" i="8"/>
  <c r="V104" i="8" s="1"/>
  <c r="V59" i="8"/>
  <c r="V60" i="8" s="1"/>
  <c r="V61" i="8" s="1"/>
  <c r="W59" i="8" s="1"/>
  <c r="W60" i="8" s="1"/>
  <c r="W27" i="8"/>
  <c r="V412" i="1"/>
  <c r="U42" i="5"/>
  <c r="V5" i="5"/>
  <c r="V32" i="5"/>
  <c r="S93" i="8"/>
  <c r="U69" i="8"/>
  <c r="T89" i="8"/>
  <c r="AH15" i="8"/>
  <c r="AG311" i="1"/>
  <c r="AF312" i="1"/>
  <c r="AF315" i="1"/>
  <c r="AB10" i="7"/>
  <c r="AB21" i="7"/>
  <c r="AC421" i="1"/>
  <c r="AG298" i="1"/>
  <c r="W390" i="1"/>
  <c r="V418" i="1"/>
  <c r="V417" i="1"/>
  <c r="AE267" i="8"/>
  <c r="AD276" i="8"/>
  <c r="AJ257" i="1"/>
  <c r="AK253" i="1"/>
  <c r="AK257" i="1" s="1"/>
  <c r="AE14" i="8"/>
  <c r="AF14" i="8" s="1"/>
  <c r="Z92" i="5"/>
  <c r="AB17" i="5"/>
  <c r="AB245" i="1"/>
  <c r="AB54" i="5" s="1"/>
  <c r="AB91" i="5" s="1"/>
  <c r="AB230" i="1"/>
  <c r="AB44" i="5" s="1"/>
  <c r="AB7" i="5"/>
  <c r="AB8" i="5"/>
  <c r="AB231" i="1"/>
  <c r="AB45" i="5" s="1"/>
  <c r="AB13" i="5"/>
  <c r="AB241" i="1"/>
  <c r="AB50" i="5" s="1"/>
  <c r="AB87" i="5" s="1"/>
  <c r="AB234" i="1"/>
  <c r="AB48" i="5" s="1"/>
  <c r="AB11" i="5"/>
  <c r="AB24" i="5"/>
  <c r="AB199" i="1"/>
  <c r="AB247" i="1"/>
  <c r="AB61" i="5" s="1"/>
  <c r="AB98" i="5" s="1"/>
  <c r="AC187" i="1"/>
  <c r="AC198" i="1"/>
  <c r="AD177" i="1"/>
  <c r="AC207" i="1"/>
  <c r="AC219" i="1"/>
  <c r="AC208" i="1"/>
  <c r="AC223" i="1"/>
  <c r="AC189" i="1"/>
  <c r="AC185" i="1"/>
  <c r="AC184" i="1"/>
  <c r="AC216" i="1"/>
  <c r="AC215" i="1"/>
  <c r="AC183" i="1"/>
  <c r="AC196" i="1"/>
  <c r="AC181" i="1"/>
  <c r="AC206" i="1"/>
  <c r="AC218" i="1"/>
  <c r="AC205" i="1"/>
  <c r="AC217" i="1"/>
  <c r="AC194" i="1"/>
  <c r="AC182" i="1"/>
  <c r="AC192" i="1"/>
  <c r="AC212" i="1"/>
  <c r="AC195" i="1"/>
  <c r="AC200" i="1"/>
  <c r="AC193" i="1"/>
  <c r="AC210" i="1"/>
  <c r="AC211" i="1" s="1"/>
  <c r="AC221" i="1"/>
  <c r="AC222" i="1" s="1"/>
  <c r="AA237" i="1"/>
  <c r="AA58" i="5" s="1"/>
  <c r="AA21" i="5"/>
  <c r="AA27" i="5" s="1"/>
  <c r="Y299" i="8"/>
  <c r="T83" i="8"/>
  <c r="AG292" i="1"/>
  <c r="AF293" i="1"/>
  <c r="X31" i="5"/>
  <c r="AA283" i="1"/>
  <c r="AA11" i="8"/>
  <c r="AB11" i="8" s="1"/>
  <c r="X8" i="8"/>
  <c r="AH9" i="8"/>
  <c r="Z99" i="5"/>
  <c r="Z101" i="5" s="1"/>
  <c r="AK269" i="1"/>
  <c r="AK270" i="1" s="1"/>
  <c r="AJ270" i="1"/>
  <c r="X407" i="1"/>
  <c r="Y387" i="1"/>
  <c r="W16" i="8"/>
  <c r="X16" i="8" s="1"/>
  <c r="AH292" i="1" l="1"/>
  <c r="AG293" i="1"/>
  <c r="AA308" i="8"/>
  <c r="AA95" i="5"/>
  <c r="AC249" i="1"/>
  <c r="AC63" i="5" s="1"/>
  <c r="AC26" i="5"/>
  <c r="AC231" i="1"/>
  <c r="AC45" i="5" s="1"/>
  <c r="AC8" i="5"/>
  <c r="AC230" i="1"/>
  <c r="AC44" i="5" s="1"/>
  <c r="AC7" i="5"/>
  <c r="AC232" i="1"/>
  <c r="AC46" i="5" s="1"/>
  <c r="AC83" i="5" s="1"/>
  <c r="AC9" i="5"/>
  <c r="AC234" i="1"/>
  <c r="AC48" i="5" s="1"/>
  <c r="AC11" i="5"/>
  <c r="AE177" i="1"/>
  <c r="AD187" i="1"/>
  <c r="AD198" i="1"/>
  <c r="AD208" i="1"/>
  <c r="AD223" i="1"/>
  <c r="AD207" i="1"/>
  <c r="AD216" i="1"/>
  <c r="AD185" i="1"/>
  <c r="AD196" i="1"/>
  <c r="AD182" i="1"/>
  <c r="AD218" i="1"/>
  <c r="AD219" i="1"/>
  <c r="AD192" i="1"/>
  <c r="AD183" i="1"/>
  <c r="AD184" i="1"/>
  <c r="AD215" i="1"/>
  <c r="AD217" i="1"/>
  <c r="AD205" i="1"/>
  <c r="AD181" i="1"/>
  <c r="AD195" i="1"/>
  <c r="AD200" i="1"/>
  <c r="AD212" i="1"/>
  <c r="AD206" i="1"/>
  <c r="AD194" i="1"/>
  <c r="AD189" i="1"/>
  <c r="AD193" i="1"/>
  <c r="AD210" i="1"/>
  <c r="AD211" i="1" s="1"/>
  <c r="AD221" i="1"/>
  <c r="AD222" i="1" s="1"/>
  <c r="AC236" i="1"/>
  <c r="AC57" i="5" s="1"/>
  <c r="AC188" i="1"/>
  <c r="AC20" i="5"/>
  <c r="AB248" i="1"/>
  <c r="AB62" i="5" s="1"/>
  <c r="AB25" i="5"/>
  <c r="AB302" i="8"/>
  <c r="AB82" i="5"/>
  <c r="AB18" i="5"/>
  <c r="Z102" i="5"/>
  <c r="AE276" i="8"/>
  <c r="AF267" i="8"/>
  <c r="X390" i="1"/>
  <c r="W418" i="1"/>
  <c r="W417" i="1"/>
  <c r="V69" i="8"/>
  <c r="U89" i="8"/>
  <c r="W5" i="5"/>
  <c r="V42" i="5"/>
  <c r="V33" i="5"/>
  <c r="V413" i="1"/>
  <c r="V415" i="1"/>
  <c r="V416" i="1" s="1"/>
  <c r="V35" i="5"/>
  <c r="V34" i="5"/>
  <c r="W75" i="8"/>
  <c r="W104" i="8" s="1"/>
  <c r="X33" i="8"/>
  <c r="AC18" i="7"/>
  <c r="AC7" i="7"/>
  <c r="AH263" i="1"/>
  <c r="AD419" i="1"/>
  <c r="AA28" i="5"/>
  <c r="AB22" i="8"/>
  <c r="AC22" i="8" s="1"/>
  <c r="AD296" i="1"/>
  <c r="AD317" i="1"/>
  <c r="AE290" i="1"/>
  <c r="AF288" i="1"/>
  <c r="AE289" i="1"/>
  <c r="AE295" i="1"/>
  <c r="AD276" i="1"/>
  <c r="AC277" i="1"/>
  <c r="AC280" i="1"/>
  <c r="AB283" i="1"/>
  <c r="AC302" i="1"/>
  <c r="AB300" i="1"/>
  <c r="AB318" i="1" s="1"/>
  <c r="AA306" i="8"/>
  <c r="Z299" i="8"/>
  <c r="AD282" i="1"/>
  <c r="AE256" i="1"/>
  <c r="AE255" i="1"/>
  <c r="AF254" i="1"/>
  <c r="AE260" i="1"/>
  <c r="AE261" i="1"/>
  <c r="Y49" i="8"/>
  <c r="X53" i="8"/>
  <c r="Y51" i="8" s="1"/>
  <c r="Y52" i="8" s="1"/>
  <c r="X57" i="8"/>
  <c r="W61" i="8"/>
  <c r="X59" i="8" s="1"/>
  <c r="X60" i="8" s="1"/>
  <c r="AB10" i="8"/>
  <c r="AC10" i="8" s="1"/>
  <c r="K348" i="8"/>
  <c r="K320" i="8"/>
  <c r="AF278" i="1"/>
  <c r="AE281" i="1"/>
  <c r="S322" i="8"/>
  <c r="T85" i="8"/>
  <c r="T86" i="8" s="1"/>
  <c r="Y185" i="8"/>
  <c r="Y187" i="8" s="1"/>
  <c r="Y236" i="8"/>
  <c r="AA300" i="8"/>
  <c r="AA299" i="8" s="1"/>
  <c r="AB24" i="8"/>
  <c r="AC24" i="8" s="1"/>
  <c r="Z387" i="1"/>
  <c r="W17" i="8"/>
  <c r="X408" i="1"/>
  <c r="X410" i="1"/>
  <c r="X30" i="5"/>
  <c r="X29" i="5"/>
  <c r="X32" i="5" s="1"/>
  <c r="Y8" i="8"/>
  <c r="X17" i="8"/>
  <c r="T87" i="8"/>
  <c r="AC14" i="5"/>
  <c r="AC242" i="1"/>
  <c r="AC51" i="5" s="1"/>
  <c r="AC244" i="1"/>
  <c r="AC53" i="5" s="1"/>
  <c r="AC16" i="5"/>
  <c r="AC241" i="1"/>
  <c r="AC50" i="5" s="1"/>
  <c r="AC87" i="5" s="1"/>
  <c r="AC13" i="5"/>
  <c r="AC243" i="1"/>
  <c r="AC52" i="5" s="1"/>
  <c r="AC15" i="5"/>
  <c r="AC245" i="1"/>
  <c r="AC54" i="5" s="1"/>
  <c r="AC91" i="5" s="1"/>
  <c r="AC17" i="5"/>
  <c r="AC10" i="5"/>
  <c r="AC233" i="1"/>
  <c r="AC47" i="5" s="1"/>
  <c r="AC22" i="5"/>
  <c r="AC238" i="1"/>
  <c r="AC59" i="5" s="1"/>
  <c r="AC199" i="1"/>
  <c r="AC247" i="1"/>
  <c r="AC61" i="5" s="1"/>
  <c r="AC24" i="5"/>
  <c r="AB85" i="5"/>
  <c r="AB305" i="8"/>
  <c r="AB81" i="5"/>
  <c r="AB301" i="8"/>
  <c r="AB55" i="5"/>
  <c r="AB92" i="5" s="1"/>
  <c r="V17" i="7"/>
  <c r="V6" i="7"/>
  <c r="AD421" i="1"/>
  <c r="AH298" i="1"/>
  <c r="AC21" i="7"/>
  <c r="AC10" i="7"/>
  <c r="AG315" i="1"/>
  <c r="AG312" i="1"/>
  <c r="AH311" i="1"/>
  <c r="S323" i="8"/>
  <c r="T91" i="8"/>
  <c r="T92" i="8" s="1"/>
  <c r="T93" i="8" s="1"/>
  <c r="X27" i="8"/>
  <c r="W412" i="1"/>
  <c r="V234" i="8"/>
  <c r="V183" i="8"/>
  <c r="AH308" i="1"/>
  <c r="AH305" i="1"/>
  <c r="AI304" i="1"/>
  <c r="U77" i="8"/>
  <c r="V37" i="8"/>
  <c r="AC13" i="8"/>
  <c r="AD13" i="8" s="1"/>
  <c r="U67" i="8"/>
  <c r="V65" i="8" s="1"/>
  <c r="V66" i="8" s="1"/>
  <c r="V63" i="8"/>
  <c r="V83" i="8" s="1"/>
  <c r="AF25" i="8"/>
  <c r="AG25" i="8" s="1"/>
  <c r="T72" i="8"/>
  <c r="T73" i="8" s="1"/>
  <c r="U71" i="8" s="1"/>
  <c r="AI274" i="1"/>
  <c r="AJ271" i="1"/>
  <c r="W408" i="1"/>
  <c r="W410" i="1"/>
  <c r="W30" i="5"/>
  <c r="W29" i="5"/>
  <c r="W31" i="5"/>
  <c r="U83" i="8"/>
  <c r="W43" i="8"/>
  <c r="V47" i="8"/>
  <c r="W45" i="8" s="1"/>
  <c r="W46" i="8" s="1"/>
  <c r="AA64" i="5"/>
  <c r="AA65" i="5" s="1"/>
  <c r="AA167" i="8" s="1"/>
  <c r="AA101" i="5"/>
  <c r="AB307" i="8"/>
  <c r="AB94" i="5"/>
  <c r="AB21" i="5"/>
  <c r="AB27" i="5" s="1"/>
  <c r="AB237" i="1"/>
  <c r="AB58" i="5" s="1"/>
  <c r="AB96" i="5"/>
  <c r="AB309" i="8"/>
  <c r="AB90" i="5"/>
  <c r="AB304" i="8"/>
  <c r="AB89" i="5"/>
  <c r="AB303" i="8"/>
  <c r="AC282" i="1"/>
  <c r="AH439" i="1"/>
  <c r="AH204" i="1" s="1"/>
  <c r="AG204" i="1"/>
  <c r="Y19" i="8"/>
  <c r="Z19" i="8" s="1"/>
  <c r="AF252" i="1"/>
  <c r="AE285" i="1"/>
  <c r="T40" i="8"/>
  <c r="T41" i="8" s="1"/>
  <c r="U39" i="8" s="1"/>
  <c r="V281" i="8"/>
  <c r="V280" i="8" s="1"/>
  <c r="V283" i="8"/>
  <c r="AF267" i="1"/>
  <c r="AE265" i="1"/>
  <c r="AE266" i="1"/>
  <c r="L312" i="8"/>
  <c r="L9" i="2" s="1"/>
  <c r="L80" i="8"/>
  <c r="L81" i="8" s="1"/>
  <c r="AA92" i="5"/>
  <c r="AA102" i="5" s="1"/>
  <c r="U91" i="8" l="1"/>
  <c r="U92" i="8" s="1"/>
  <c r="T323" i="8"/>
  <c r="M79" i="8"/>
  <c r="L321" i="8"/>
  <c r="W281" i="8"/>
  <c r="W280" i="8" s="1"/>
  <c r="W283" i="8"/>
  <c r="AA185" i="8"/>
  <c r="AA187" i="8" s="1"/>
  <c r="AA236" i="8"/>
  <c r="AG267" i="1"/>
  <c r="AF265" i="1"/>
  <c r="AF266" i="1"/>
  <c r="U40" i="8"/>
  <c r="U41" i="8" s="1"/>
  <c r="V39" i="8" s="1"/>
  <c r="AF285" i="1"/>
  <c r="AG252" i="1"/>
  <c r="AB95" i="5"/>
  <c r="AB308" i="8"/>
  <c r="AB64" i="5"/>
  <c r="AB65" i="5" s="1"/>
  <c r="AB167" i="8" s="1"/>
  <c r="AB306" i="8"/>
  <c r="W32" i="5"/>
  <c r="AK271" i="1"/>
  <c r="AK274" i="1" s="1"/>
  <c r="AJ274" i="1"/>
  <c r="AI305" i="1"/>
  <c r="AI308" i="1"/>
  <c r="AJ304" i="1"/>
  <c r="Y27" i="8"/>
  <c r="X412" i="1"/>
  <c r="AI298" i="1"/>
  <c r="AE421" i="1"/>
  <c r="AC98" i="5"/>
  <c r="AC96" i="5"/>
  <c r="AC309" i="8"/>
  <c r="AC84" i="5"/>
  <c r="AC88" i="5"/>
  <c r="T322" i="8"/>
  <c r="U85" i="8"/>
  <c r="U86" i="8" s="1"/>
  <c r="U87" i="8" s="1"/>
  <c r="Z8" i="8"/>
  <c r="Y407" i="1"/>
  <c r="AA387" i="1"/>
  <c r="Z407" i="1"/>
  <c r="AD24" i="8"/>
  <c r="AE24" i="8" s="1"/>
  <c r="AG278" i="1"/>
  <c r="AF281" i="1"/>
  <c r="Y57" i="8"/>
  <c r="X61" i="8"/>
  <c r="AC21" i="8"/>
  <c r="AD21" i="8" s="1"/>
  <c r="AE296" i="1"/>
  <c r="AE317" i="1"/>
  <c r="AF290" i="1"/>
  <c r="AG288" i="1"/>
  <c r="AF289" i="1"/>
  <c r="AF295" i="1"/>
  <c r="AI263" i="1"/>
  <c r="AE419" i="1"/>
  <c r="W183" i="8"/>
  <c r="W234" i="8"/>
  <c r="U93" i="8"/>
  <c r="W69" i="8"/>
  <c r="V89" i="8"/>
  <c r="X418" i="1"/>
  <c r="X417" i="1"/>
  <c r="Y390" i="1"/>
  <c r="Z185" i="8"/>
  <c r="Z187" i="8" s="1"/>
  <c r="Z236" i="8"/>
  <c r="AC94" i="5"/>
  <c r="AC307" i="8"/>
  <c r="AD22" i="5"/>
  <c r="AD238" i="1"/>
  <c r="AD59" i="5" s="1"/>
  <c r="AD249" i="1"/>
  <c r="AD63" i="5" s="1"/>
  <c r="AD26" i="5"/>
  <c r="AD230" i="1"/>
  <c r="AD44" i="5" s="1"/>
  <c r="AD7" i="5"/>
  <c r="AD10" i="5"/>
  <c r="AD233" i="1"/>
  <c r="AD47" i="5" s="1"/>
  <c r="AD84" i="5" s="1"/>
  <c r="AD13" i="5"/>
  <c r="AD241" i="1"/>
  <c r="AD50" i="5" s="1"/>
  <c r="AD87" i="5" s="1"/>
  <c r="AD17" i="5"/>
  <c r="AD245" i="1"/>
  <c r="AD54" i="5" s="1"/>
  <c r="AD91" i="5" s="1"/>
  <c r="AD247" i="1"/>
  <c r="AD61" i="5" s="1"/>
  <c r="AD199" i="1"/>
  <c r="AD24" i="5"/>
  <c r="AF177" i="1"/>
  <c r="AE187" i="1"/>
  <c r="AE198" i="1"/>
  <c r="AE207" i="1"/>
  <c r="AE212" i="1"/>
  <c r="AE184" i="1"/>
  <c r="AE182" i="1"/>
  <c r="AE208" i="1"/>
  <c r="AE216" i="1"/>
  <c r="AE218" i="1"/>
  <c r="AE223" i="1"/>
  <c r="AE194" i="1"/>
  <c r="AE193" i="1"/>
  <c r="AE189" i="1"/>
  <c r="AE195" i="1"/>
  <c r="AE215" i="1"/>
  <c r="AE196" i="1"/>
  <c r="AE183" i="1"/>
  <c r="AE192" i="1"/>
  <c r="AE205" i="1"/>
  <c r="AE219" i="1"/>
  <c r="AE206" i="1"/>
  <c r="AE217" i="1"/>
  <c r="AE185" i="1"/>
  <c r="AE200" i="1"/>
  <c r="AE181" i="1"/>
  <c r="AE210" i="1"/>
  <c r="AE211" i="1" s="1"/>
  <c r="AE221" i="1"/>
  <c r="AE222" i="1" s="1"/>
  <c r="AC85" i="5"/>
  <c r="AC305" i="8"/>
  <c r="AC55" i="5"/>
  <c r="AC81" i="5"/>
  <c r="AC301" i="8"/>
  <c r="AC82" i="5"/>
  <c r="AC302" i="8"/>
  <c r="AC100" i="5"/>
  <c r="AH293" i="1"/>
  <c r="AI292" i="1"/>
  <c r="AA19" i="8"/>
  <c r="W47" i="8"/>
  <c r="X45" i="8" s="1"/>
  <c r="X46" i="8" s="1"/>
  <c r="X43" i="8"/>
  <c r="U72" i="8"/>
  <c r="U73" i="8" s="1"/>
  <c r="V71" i="8" s="1"/>
  <c r="V67" i="8"/>
  <c r="W65" i="8" s="1"/>
  <c r="W66" i="8" s="1"/>
  <c r="W63" i="8"/>
  <c r="V77" i="8"/>
  <c r="W37" i="8"/>
  <c r="W35" i="5"/>
  <c r="W413" i="1"/>
  <c r="W33" i="5"/>
  <c r="W415" i="1"/>
  <c r="W416" i="1" s="1"/>
  <c r="W34" i="5"/>
  <c r="AI311" i="1"/>
  <c r="AH315" i="1"/>
  <c r="AH312" i="1"/>
  <c r="AD21" i="7"/>
  <c r="AD10" i="7"/>
  <c r="AB300" i="8"/>
  <c r="AB299" i="8" s="1"/>
  <c r="AC248" i="1"/>
  <c r="AC62" i="5" s="1"/>
  <c r="AC99" i="5" s="1"/>
  <c r="AC25" i="5"/>
  <c r="AC89" i="5"/>
  <c r="AC303" i="8"/>
  <c r="AC304" i="8"/>
  <c r="AC90" i="5"/>
  <c r="Y16" i="8"/>
  <c r="Z16" i="8" s="1"/>
  <c r="Z49" i="8"/>
  <c r="Y53" i="8"/>
  <c r="Z51" i="8" s="1"/>
  <c r="Z52" i="8" s="1"/>
  <c r="AG254" i="1"/>
  <c r="AF256" i="1"/>
  <c r="AF255" i="1"/>
  <c r="AF260" i="1"/>
  <c r="AF261" i="1"/>
  <c r="AD302" i="1"/>
  <c r="AC300" i="1"/>
  <c r="AC318" i="1" s="1"/>
  <c r="Z31" i="5"/>
  <c r="AC283" i="1"/>
  <c r="AD280" i="1"/>
  <c r="AE276" i="1"/>
  <c r="AD277" i="1"/>
  <c r="AD18" i="7"/>
  <c r="AD7" i="7"/>
  <c r="Y33" i="8"/>
  <c r="X75" i="8"/>
  <c r="X104" i="8" s="1"/>
  <c r="V36" i="5"/>
  <c r="V37" i="5" s="1"/>
  <c r="V38" i="5" s="1"/>
  <c r="X5" i="5"/>
  <c r="W42" i="5"/>
  <c r="W6" i="7"/>
  <c r="W17" i="7"/>
  <c r="AF276" i="8"/>
  <c r="AG267" i="8"/>
  <c r="AG14" i="8"/>
  <c r="AH14" i="8" s="1"/>
  <c r="AB28" i="5"/>
  <c r="AB99" i="5"/>
  <c r="AB101" i="5" s="1"/>
  <c r="AB102" i="5" s="1"/>
  <c r="AC237" i="1"/>
  <c r="AC58" i="5" s="1"/>
  <c r="AC21" i="5"/>
  <c r="AC27" i="5" s="1"/>
  <c r="AD14" i="5"/>
  <c r="AD242" i="1"/>
  <c r="AD51" i="5" s="1"/>
  <c r="AD88" i="5" s="1"/>
  <c r="AD243" i="1"/>
  <c r="AD52" i="5" s="1"/>
  <c r="AD15" i="5"/>
  <c r="AD244" i="1"/>
  <c r="AD53" i="5" s="1"/>
  <c r="AD16" i="5"/>
  <c r="AD232" i="1"/>
  <c r="AD46" i="5" s="1"/>
  <c r="AD9" i="5"/>
  <c r="AD231" i="1"/>
  <c r="AD45" i="5" s="1"/>
  <c r="AD8" i="5"/>
  <c r="AD234" i="1"/>
  <c r="AD48" i="5" s="1"/>
  <c r="AD11" i="5"/>
  <c r="AD236" i="1"/>
  <c r="AD57" i="5" s="1"/>
  <c r="AD188" i="1"/>
  <c r="AD20" i="5"/>
  <c r="AC18" i="5"/>
  <c r="AC11" i="8"/>
  <c r="AD11" i="8" s="1"/>
  <c r="AB185" i="8" l="1"/>
  <c r="AB187" i="8" s="1"/>
  <c r="AB236" i="8"/>
  <c r="V85" i="8"/>
  <c r="V86" i="8" s="1"/>
  <c r="V87" i="8" s="1"/>
  <c r="U322" i="8"/>
  <c r="AC28" i="5"/>
  <c r="X234" i="8"/>
  <c r="X183" i="8"/>
  <c r="AD283" i="1"/>
  <c r="AD94" i="5"/>
  <c r="AD307" i="8"/>
  <c r="AD305" i="8"/>
  <c r="AD85" i="5"/>
  <c r="AD82" i="5"/>
  <c r="AD302" i="8"/>
  <c r="AD83" i="5"/>
  <c r="AD304" i="8"/>
  <c r="AD90" i="5"/>
  <c r="AD89" i="5"/>
  <c r="AD303" i="8"/>
  <c r="AC308" i="8"/>
  <c r="AC95" i="5"/>
  <c r="AH267" i="8"/>
  <c r="AH276" i="8" s="1"/>
  <c r="AG276" i="8"/>
  <c r="Y75" i="8"/>
  <c r="Y104" i="8" s="1"/>
  <c r="Z33" i="8"/>
  <c r="AE277" i="1"/>
  <c r="AE280" i="1"/>
  <c r="AF276" i="1"/>
  <c r="AG256" i="1"/>
  <c r="AG255" i="1"/>
  <c r="AH254" i="1"/>
  <c r="AG261" i="1"/>
  <c r="AG260" i="1"/>
  <c r="Z53" i="8"/>
  <c r="AA51" i="8" s="1"/>
  <c r="AA52" i="8" s="1"/>
  <c r="AA49" i="8"/>
  <c r="AI312" i="1"/>
  <c r="AJ311" i="1"/>
  <c r="AI315" i="1"/>
  <c r="V72" i="8"/>
  <c r="V73" i="8" s="1"/>
  <c r="W71" i="8" s="1"/>
  <c r="X47" i="8"/>
  <c r="Y45" i="8" s="1"/>
  <c r="Y46" i="8" s="1"/>
  <c r="Y43" i="8"/>
  <c r="AI293" i="1"/>
  <c r="AJ292" i="1"/>
  <c r="AE7" i="5"/>
  <c r="AE230" i="1"/>
  <c r="AE44" i="5" s="1"/>
  <c r="AE234" i="1"/>
  <c r="AE48" i="5" s="1"/>
  <c r="AE11" i="5"/>
  <c r="AE232" i="1"/>
  <c r="AE46" i="5" s="1"/>
  <c r="AE9" i="5"/>
  <c r="AE238" i="1"/>
  <c r="AE59" i="5" s="1"/>
  <c r="AE22" i="5"/>
  <c r="AE15" i="5"/>
  <c r="AE243" i="1"/>
  <c r="AE52" i="5" s="1"/>
  <c r="AE233" i="1"/>
  <c r="AE47" i="5" s="1"/>
  <c r="AE10" i="5"/>
  <c r="AE188" i="1"/>
  <c r="AE20" i="5"/>
  <c r="AE236" i="1"/>
  <c r="AE57" i="5" s="1"/>
  <c r="AD98" i="5"/>
  <c r="AD81" i="5"/>
  <c r="AD301" i="8"/>
  <c r="AD300" i="8" s="1"/>
  <c r="AD55" i="5"/>
  <c r="AD100" i="5"/>
  <c r="AC306" i="8"/>
  <c r="AE7" i="7"/>
  <c r="AE18" i="7"/>
  <c r="AJ263" i="1"/>
  <c r="AF419" i="1"/>
  <c r="AD22" i="8"/>
  <c r="AE22" i="8" s="1"/>
  <c r="AE282" i="1"/>
  <c r="Y59" i="8"/>
  <c r="Y60" i="8" s="1"/>
  <c r="AD10" i="8"/>
  <c r="AE10" i="8" s="1"/>
  <c r="AG281" i="1"/>
  <c r="AH278" i="1"/>
  <c r="AB387" i="1"/>
  <c r="AA407" i="1"/>
  <c r="AA31" i="5" s="1"/>
  <c r="Y17" i="8"/>
  <c r="AE10" i="7"/>
  <c r="AE21" i="7"/>
  <c r="X35" i="5"/>
  <c r="X415" i="1"/>
  <c r="X416" i="1" s="1"/>
  <c r="X33" i="5"/>
  <c r="X413" i="1"/>
  <c r="X34" i="5"/>
  <c r="AJ305" i="1"/>
  <c r="AK304" i="1"/>
  <c r="AJ308" i="1"/>
  <c r="AH252" i="1"/>
  <c r="AG285" i="1"/>
  <c r="AG266" i="1"/>
  <c r="AH267" i="1"/>
  <c r="AG265" i="1"/>
  <c r="M80" i="8"/>
  <c r="M81" i="8" s="1"/>
  <c r="M312" i="8"/>
  <c r="M9" i="2" s="1"/>
  <c r="AD237" i="1"/>
  <c r="AD58" i="5" s="1"/>
  <c r="AD21" i="5"/>
  <c r="AD27" i="5" s="1"/>
  <c r="X42" i="5"/>
  <c r="Y5" i="5"/>
  <c r="AE302" i="1"/>
  <c r="AD300" i="1"/>
  <c r="AD318" i="1" s="1"/>
  <c r="W36" i="5"/>
  <c r="X37" i="8"/>
  <c r="W77" i="8"/>
  <c r="W67" i="8"/>
  <c r="X65" i="8" s="1"/>
  <c r="X66" i="8" s="1"/>
  <c r="X63" i="8"/>
  <c r="W83" i="8"/>
  <c r="AC300" i="8"/>
  <c r="AC299" i="8" s="1"/>
  <c r="AC92" i="5"/>
  <c r="AE26" i="5"/>
  <c r="AE249" i="1"/>
  <c r="AE63" i="5" s="1"/>
  <c r="AE13" i="5"/>
  <c r="AE241" i="1"/>
  <c r="AE50" i="5" s="1"/>
  <c r="AE245" i="1"/>
  <c r="AE54" i="5" s="1"/>
  <c r="AE91" i="5" s="1"/>
  <c r="AE17" i="5"/>
  <c r="AE244" i="1"/>
  <c r="AE53" i="5" s="1"/>
  <c r="AE16" i="5"/>
  <c r="AE242" i="1"/>
  <c r="AE51" i="5" s="1"/>
  <c r="AE88" i="5" s="1"/>
  <c r="AE14" i="5"/>
  <c r="AE231" i="1"/>
  <c r="AE45" i="5" s="1"/>
  <c r="AE8" i="5"/>
  <c r="AE24" i="5"/>
  <c r="AE199" i="1"/>
  <c r="AE247" i="1"/>
  <c r="AE61" i="5" s="1"/>
  <c r="AE98" i="5" s="1"/>
  <c r="AG177" i="1"/>
  <c r="AF198" i="1"/>
  <c r="AF187" i="1"/>
  <c r="AF218" i="1"/>
  <c r="AF217" i="1"/>
  <c r="AF219" i="1"/>
  <c r="AF192" i="1"/>
  <c r="AF184" i="1"/>
  <c r="AF189" i="1"/>
  <c r="AF182" i="1"/>
  <c r="AF194" i="1"/>
  <c r="AF183" i="1"/>
  <c r="AF193" i="1"/>
  <c r="AF212" i="1"/>
  <c r="AF215" i="1"/>
  <c r="AF216" i="1"/>
  <c r="AF181" i="1"/>
  <c r="AF207" i="1"/>
  <c r="AF205" i="1"/>
  <c r="AF206" i="1"/>
  <c r="AF223" i="1"/>
  <c r="AF208" i="1"/>
  <c r="AF200" i="1"/>
  <c r="AF195" i="1"/>
  <c r="AF185" i="1"/>
  <c r="AF196" i="1"/>
  <c r="AF210" i="1"/>
  <c r="AF211" i="1" s="1"/>
  <c r="AF221" i="1"/>
  <c r="AF222" i="1" s="1"/>
  <c r="AD248" i="1"/>
  <c r="AD62" i="5" s="1"/>
  <c r="AD25" i="5"/>
  <c r="AD18" i="5"/>
  <c r="AD96" i="5"/>
  <c r="AD309" i="8"/>
  <c r="AC64" i="5"/>
  <c r="AC65" i="5" s="1"/>
  <c r="AC167" i="8" s="1"/>
  <c r="AC101" i="5"/>
  <c r="Y418" i="1"/>
  <c r="Y417" i="1"/>
  <c r="Z390" i="1"/>
  <c r="X17" i="7"/>
  <c r="X6" i="7"/>
  <c r="X69" i="8"/>
  <c r="W89" i="8"/>
  <c r="U323" i="8"/>
  <c r="V91" i="8"/>
  <c r="V92" i="8" s="1"/>
  <c r="V93" i="8" s="1"/>
  <c r="AF296" i="1"/>
  <c r="AF317" i="1"/>
  <c r="AG290" i="1"/>
  <c r="AG289" i="1"/>
  <c r="AH288" i="1"/>
  <c r="AG295" i="1"/>
  <c r="AE21" i="8"/>
  <c r="AF21" i="8" s="1"/>
  <c r="Z57" i="8"/>
  <c r="Y61" i="8"/>
  <c r="Z408" i="1"/>
  <c r="Z410" i="1"/>
  <c r="Z30" i="5"/>
  <c r="Z29" i="5"/>
  <c r="Z32" i="5" s="1"/>
  <c r="Y408" i="1"/>
  <c r="Y410" i="1"/>
  <c r="Y30" i="5"/>
  <c r="Y29" i="5"/>
  <c r="Y32" i="5" s="1"/>
  <c r="Y31" i="5"/>
  <c r="AA8" i="8"/>
  <c r="Z17" i="8"/>
  <c r="AF421" i="1"/>
  <c r="AJ298" i="1"/>
  <c r="Z27" i="8"/>
  <c r="Y412" i="1"/>
  <c r="AE13" i="8"/>
  <c r="AF13" i="8" s="1"/>
  <c r="AH25" i="8"/>
  <c r="W37" i="5"/>
  <c r="W38" i="5" s="1"/>
  <c r="V40" i="8"/>
  <c r="V41" i="8" s="1"/>
  <c r="W39" i="8" s="1"/>
  <c r="X283" i="8"/>
  <c r="X281" i="8"/>
  <c r="X280" i="8" s="1"/>
  <c r="L348" i="8"/>
  <c r="L320" i="8"/>
  <c r="W91" i="8" l="1"/>
  <c r="W92" i="8" s="1"/>
  <c r="V323" i="8"/>
  <c r="W40" i="8"/>
  <c r="W41" i="8" s="1"/>
  <c r="X39" i="8" s="1"/>
  <c r="AF10" i="7"/>
  <c r="AF21" i="7"/>
  <c r="AB8" i="8"/>
  <c r="AF24" i="8"/>
  <c r="AG24" i="8" s="1"/>
  <c r="Y283" i="8"/>
  <c r="Y281" i="8"/>
  <c r="Y280" i="8" s="1"/>
  <c r="AA27" i="8"/>
  <c r="Z412" i="1"/>
  <c r="AG421" i="1"/>
  <c r="AK298" i="1"/>
  <c r="Z59" i="8"/>
  <c r="Z60" i="8" s="1"/>
  <c r="AH289" i="1"/>
  <c r="AI288" i="1"/>
  <c r="AH290" i="1"/>
  <c r="AH295" i="1"/>
  <c r="Z417" i="1"/>
  <c r="AA390" i="1"/>
  <c r="Z418" i="1"/>
  <c r="Y17" i="7"/>
  <c r="Y6" i="7"/>
  <c r="AD28" i="5"/>
  <c r="AD99" i="5"/>
  <c r="AF11" i="5"/>
  <c r="AF234" i="1"/>
  <c r="AF48" i="5" s="1"/>
  <c r="AF26" i="5"/>
  <c r="AF249" i="1"/>
  <c r="AF63" i="5" s="1"/>
  <c r="AG181" i="1"/>
  <c r="AF230" i="1"/>
  <c r="AF44" i="5" s="1"/>
  <c r="AF7" i="5"/>
  <c r="AG193" i="1"/>
  <c r="AF242" i="1"/>
  <c r="AF51" i="5" s="1"/>
  <c r="AF88" i="5" s="1"/>
  <c r="AF14" i="5"/>
  <c r="AF15" i="5"/>
  <c r="AF243" i="1"/>
  <c r="AF52" i="5" s="1"/>
  <c r="AG194" i="1"/>
  <c r="AF238" i="1"/>
  <c r="AF59" i="5" s="1"/>
  <c r="AF22" i="5"/>
  <c r="AF241" i="1"/>
  <c r="AF50" i="5" s="1"/>
  <c r="AG192" i="1"/>
  <c r="AF13" i="5"/>
  <c r="AF20" i="5"/>
  <c r="AG187" i="1"/>
  <c r="AF188" i="1"/>
  <c r="AF236" i="1"/>
  <c r="AF57" i="5" s="1"/>
  <c r="AH177" i="1"/>
  <c r="AG208" i="1"/>
  <c r="AG207" i="1"/>
  <c r="AG215" i="1"/>
  <c r="AG206" i="1"/>
  <c r="AG212" i="1"/>
  <c r="AG219" i="1"/>
  <c r="AG218" i="1"/>
  <c r="AG185" i="1"/>
  <c r="AG216" i="1"/>
  <c r="AG223" i="1"/>
  <c r="AG189" i="1"/>
  <c r="AG200" i="1"/>
  <c r="AG196" i="1"/>
  <c r="AG205" i="1"/>
  <c r="AG217" i="1"/>
  <c r="AG221" i="1"/>
  <c r="AG222" i="1" s="1"/>
  <c r="AG210" i="1"/>
  <c r="AG211" i="1" s="1"/>
  <c r="AE248" i="1"/>
  <c r="AE62" i="5" s="1"/>
  <c r="AE99" i="5" s="1"/>
  <c r="AE25" i="5"/>
  <c r="AE87" i="5"/>
  <c r="AE100" i="5"/>
  <c r="AC102" i="5"/>
  <c r="AB19" i="8"/>
  <c r="AC19" i="8" s="1"/>
  <c r="X67" i="8"/>
  <c r="Y65" i="8" s="1"/>
  <c r="Y66" i="8" s="1"/>
  <c r="Y63" i="8"/>
  <c r="Z5" i="5"/>
  <c r="Y42" i="5"/>
  <c r="AD95" i="5"/>
  <c r="AD308" i="8"/>
  <c r="N79" i="8"/>
  <c r="M321" i="8"/>
  <c r="AH266" i="1"/>
  <c r="AI267" i="1"/>
  <c r="AH265" i="1"/>
  <c r="AK305" i="1"/>
  <c r="AK308" i="1"/>
  <c r="X36" i="5"/>
  <c r="X37" i="5" s="1"/>
  <c r="X38" i="5" s="1"/>
  <c r="AB407" i="1"/>
  <c r="AC387" i="1"/>
  <c r="AD92" i="5"/>
  <c r="AE94" i="5"/>
  <c r="AE307" i="8"/>
  <c r="AE64" i="5"/>
  <c r="AE237" i="1"/>
  <c r="AE58" i="5" s="1"/>
  <c r="AE21" i="5"/>
  <c r="AE84" i="5"/>
  <c r="AE309" i="8"/>
  <c r="AE96" i="5"/>
  <c r="AE83" i="5"/>
  <c r="AE305" i="8"/>
  <c r="AE85" i="5"/>
  <c r="AE18" i="5"/>
  <c r="X83" i="8"/>
  <c r="AJ315" i="1"/>
  <c r="AK311" i="1"/>
  <c r="AJ312" i="1"/>
  <c r="AH256" i="1"/>
  <c r="AH255" i="1"/>
  <c r="AI254" i="1"/>
  <c r="AH261" i="1"/>
  <c r="AH260" i="1"/>
  <c r="AG276" i="1"/>
  <c r="AF277" i="1"/>
  <c r="AF280" i="1"/>
  <c r="AA33" i="8"/>
  <c r="Z75" i="8"/>
  <c r="Z104" i="8" s="1"/>
  <c r="AD64" i="5"/>
  <c r="AD65" i="5" s="1"/>
  <c r="AD167" i="8" s="1"/>
  <c r="AD101" i="5"/>
  <c r="AE11" i="8"/>
  <c r="AF11" i="8" s="1"/>
  <c r="AF282" i="1"/>
  <c r="Y33" i="5"/>
  <c r="Y413" i="1"/>
  <c r="Y415" i="1"/>
  <c r="Y35" i="5"/>
  <c r="Y34" i="5"/>
  <c r="Y416" i="1"/>
  <c r="Z61" i="8"/>
  <c r="AA59" i="8" s="1"/>
  <c r="AA60" i="8" s="1"/>
  <c r="AA57" i="8"/>
  <c r="AG296" i="1"/>
  <c r="AG317" i="1"/>
  <c r="W93" i="8"/>
  <c r="Y69" i="8"/>
  <c r="X89" i="8"/>
  <c r="AF245" i="1"/>
  <c r="AF54" i="5" s="1"/>
  <c r="AF91" i="5" s="1"/>
  <c r="AF17" i="5"/>
  <c r="AF244" i="1"/>
  <c r="AF53" i="5" s="1"/>
  <c r="AF16" i="5"/>
  <c r="AG195" i="1"/>
  <c r="AF9" i="5"/>
  <c r="AF232" i="1"/>
  <c r="AF46" i="5" s="1"/>
  <c r="AF83" i="5" s="1"/>
  <c r="AG183" i="1"/>
  <c r="AF231" i="1"/>
  <c r="AF45" i="5" s="1"/>
  <c r="AG182" i="1"/>
  <c r="AF8" i="5"/>
  <c r="AF10" i="5"/>
  <c r="AG184" i="1"/>
  <c r="AF233" i="1"/>
  <c r="AF47" i="5" s="1"/>
  <c r="AF84" i="5" s="1"/>
  <c r="AG198" i="1"/>
  <c r="AF24" i="5"/>
  <c r="AF247" i="1"/>
  <c r="AF61" i="5" s="1"/>
  <c r="AF98" i="5" s="1"/>
  <c r="AF199" i="1"/>
  <c r="AE302" i="8"/>
  <c r="AE82" i="5"/>
  <c r="AE304" i="8"/>
  <c r="AE90" i="5"/>
  <c r="X77" i="8"/>
  <c r="Y37" i="8"/>
  <c r="AA16" i="8"/>
  <c r="AB16" i="8" s="1"/>
  <c r="AF302" i="1"/>
  <c r="AE300" i="1"/>
  <c r="AE318" i="1" s="1"/>
  <c r="AI252" i="1"/>
  <c r="AH285" i="1"/>
  <c r="AA408" i="1"/>
  <c r="AA30" i="5"/>
  <c r="AA410" i="1"/>
  <c r="AA29" i="5"/>
  <c r="AA32" i="5" s="1"/>
  <c r="AI278" i="1"/>
  <c r="AH281" i="1"/>
  <c r="AF10" i="8"/>
  <c r="AG10" i="8" s="1"/>
  <c r="AF18" i="7"/>
  <c r="AF7" i="7"/>
  <c r="AG419" i="1"/>
  <c r="AK263" i="1"/>
  <c r="AE27" i="5"/>
  <c r="AE303" i="8"/>
  <c r="AE89" i="5"/>
  <c r="AE301" i="8"/>
  <c r="AE300" i="8" s="1"/>
  <c r="AE55" i="5"/>
  <c r="AE92" i="5" s="1"/>
  <c r="AE81" i="5"/>
  <c r="AK292" i="1"/>
  <c r="AK293" i="1" s="1"/>
  <c r="AJ293" i="1"/>
  <c r="Y47" i="8"/>
  <c r="Z45" i="8" s="1"/>
  <c r="Z46" i="8" s="1"/>
  <c r="Y83" i="8"/>
  <c r="Z43" i="8"/>
  <c r="W72" i="8"/>
  <c r="W73" i="8" s="1"/>
  <c r="X71" i="8" s="1"/>
  <c r="AA53" i="8"/>
  <c r="AB51" i="8" s="1"/>
  <c r="AB52" i="8" s="1"/>
  <c r="AB49" i="8"/>
  <c r="AB31" i="5"/>
  <c r="AE283" i="1"/>
  <c r="Y183" i="8"/>
  <c r="Y234" i="8"/>
  <c r="AD306" i="8"/>
  <c r="AD299" i="8" s="1"/>
  <c r="W85" i="8"/>
  <c r="W86" i="8" s="1"/>
  <c r="W87" i="8" s="1"/>
  <c r="V322" i="8"/>
  <c r="W322" i="8" l="1"/>
  <c r="X85" i="8"/>
  <c r="X86" i="8" s="1"/>
  <c r="AB53" i="8"/>
  <c r="AC51" i="8" s="1"/>
  <c r="AC52" i="8" s="1"/>
  <c r="AC49" i="8"/>
  <c r="X72" i="8"/>
  <c r="X73" i="8" s="1"/>
  <c r="Y71" i="8" s="1"/>
  <c r="AG247" i="1"/>
  <c r="AG61" i="5" s="1"/>
  <c r="AG24" i="5"/>
  <c r="AH198" i="1"/>
  <c r="AG233" i="1"/>
  <c r="AG47" i="5" s="1"/>
  <c r="AH184" i="1"/>
  <c r="AG10" i="5"/>
  <c r="AF82" i="5"/>
  <c r="AF302" i="8"/>
  <c r="AG16" i="5"/>
  <c r="AG244" i="1"/>
  <c r="AG53" i="5" s="1"/>
  <c r="AH195" i="1"/>
  <c r="AF90" i="5"/>
  <c r="AF304" i="8"/>
  <c r="X91" i="8"/>
  <c r="X92" i="8" s="1"/>
  <c r="W323" i="8"/>
  <c r="Y36" i="5"/>
  <c r="Y37" i="5" s="1"/>
  <c r="Y38" i="5" s="1"/>
  <c r="AA75" i="8"/>
  <c r="AA104" i="8" s="1"/>
  <c r="AB33" i="8"/>
  <c r="AF283" i="1"/>
  <c r="AG280" i="1"/>
  <c r="AG277" i="1"/>
  <c r="AH276" i="1"/>
  <c r="AK315" i="1"/>
  <c r="AK312" i="1"/>
  <c r="X87" i="8"/>
  <c r="AE65" i="5"/>
  <c r="AE167" i="8" s="1"/>
  <c r="AB408" i="1"/>
  <c r="AB410" i="1"/>
  <c r="AB30" i="5"/>
  <c r="AB29" i="5"/>
  <c r="N80" i="8"/>
  <c r="N81" i="8" s="1"/>
  <c r="N312" i="8"/>
  <c r="N9" i="2" s="1"/>
  <c r="AA5" i="5"/>
  <c r="Z42" i="5"/>
  <c r="Y67" i="8"/>
  <c r="Z65" i="8" s="1"/>
  <c r="Z66" i="8" s="1"/>
  <c r="Z63" i="8"/>
  <c r="AG17" i="5"/>
  <c r="AG245" i="1"/>
  <c r="AG54" i="5" s="1"/>
  <c r="AG22" i="5"/>
  <c r="AG238" i="1"/>
  <c r="AG59" i="5" s="1"/>
  <c r="AF94" i="5"/>
  <c r="AF307" i="8"/>
  <c r="AG20" i="5"/>
  <c r="AH187" i="1"/>
  <c r="AG236" i="1"/>
  <c r="AG57" i="5" s="1"/>
  <c r="AF87" i="5"/>
  <c r="AF309" i="8"/>
  <c r="AF96" i="5"/>
  <c r="AF89" i="5"/>
  <c r="AF303" i="8"/>
  <c r="AG14" i="5"/>
  <c r="AG242" i="1"/>
  <c r="AG51" i="5" s="1"/>
  <c r="AG88" i="5" s="1"/>
  <c r="AH193" i="1"/>
  <c r="AF55" i="5"/>
  <c r="AF81" i="5"/>
  <c r="AF301" i="8"/>
  <c r="AF100" i="5"/>
  <c r="AF305" i="8"/>
  <c r="AF85" i="5"/>
  <c r="Z17" i="7"/>
  <c r="Z6" i="7"/>
  <c r="AH296" i="1"/>
  <c r="AH317" i="1"/>
  <c r="AI289" i="1"/>
  <c r="AJ288" i="1"/>
  <c r="AI290" i="1"/>
  <c r="AI295" i="1"/>
  <c r="AG21" i="8"/>
  <c r="AH21" i="8" s="1"/>
  <c r="AG10" i="7"/>
  <c r="AG21" i="7"/>
  <c r="AB27" i="8"/>
  <c r="AA412" i="1"/>
  <c r="Z283" i="8"/>
  <c r="Z281" i="8"/>
  <c r="Z280" i="8" s="1"/>
  <c r="AC8" i="8"/>
  <c r="AD19" i="8" s="1"/>
  <c r="AB17" i="8"/>
  <c r="AH419" i="1"/>
  <c r="AJ278" i="1"/>
  <c r="AI281" i="1"/>
  <c r="AC16" i="8"/>
  <c r="Z83" i="8"/>
  <c r="Z47" i="8"/>
  <c r="AA45" i="8" s="1"/>
  <c r="AA46" i="8" s="1"/>
  <c r="AA43" i="8"/>
  <c r="AG7" i="7"/>
  <c r="AG18" i="7"/>
  <c r="AI285" i="1"/>
  <c r="AJ252" i="1"/>
  <c r="AG302" i="1"/>
  <c r="AF300" i="1"/>
  <c r="AF318" i="1" s="1"/>
  <c r="Z37" i="8"/>
  <c r="Y77" i="8"/>
  <c r="AF248" i="1"/>
  <c r="AF62" i="5" s="1"/>
  <c r="AG199" i="1"/>
  <c r="AF25" i="5"/>
  <c r="AG8" i="5"/>
  <c r="AG231" i="1"/>
  <c r="AG45" i="5" s="1"/>
  <c r="AH182" i="1"/>
  <c r="AH183" i="1"/>
  <c r="AG9" i="5"/>
  <c r="AG232" i="1"/>
  <c r="AG46" i="5" s="1"/>
  <c r="X93" i="8"/>
  <c r="Z69" i="8"/>
  <c r="Y89" i="8"/>
  <c r="AB57" i="8"/>
  <c r="AA61" i="8"/>
  <c r="AB59" i="8" s="1"/>
  <c r="AB60" i="8" s="1"/>
  <c r="Z183" i="8"/>
  <c r="Z234" i="8"/>
  <c r="AH282" i="1"/>
  <c r="AI256" i="1"/>
  <c r="AJ254" i="1"/>
  <c r="AI255" i="1"/>
  <c r="AI261" i="1"/>
  <c r="AI260" i="1"/>
  <c r="AG282" i="1"/>
  <c r="AE28" i="5"/>
  <c r="AE308" i="8"/>
  <c r="AE95" i="5"/>
  <c r="AE101" i="5" s="1"/>
  <c r="AE102" i="5" s="1"/>
  <c r="AE306" i="8"/>
  <c r="AE299" i="8" s="1"/>
  <c r="AD102" i="5"/>
  <c r="AF22" i="8"/>
  <c r="AG22" i="8" s="1"/>
  <c r="AD387" i="1"/>
  <c r="AC407" i="1"/>
  <c r="AJ267" i="1"/>
  <c r="AI265" i="1"/>
  <c r="AI266" i="1"/>
  <c r="M348" i="8"/>
  <c r="M320" i="8"/>
  <c r="AC185" i="8"/>
  <c r="AC187" i="8" s="1"/>
  <c r="AC236" i="8"/>
  <c r="AG26" i="5"/>
  <c r="AG249" i="1"/>
  <c r="AG63" i="5" s="1"/>
  <c r="AG234" i="1"/>
  <c r="AG48" i="5" s="1"/>
  <c r="AG11" i="5"/>
  <c r="AH206" i="1"/>
  <c r="AH185" i="1"/>
  <c r="AH207" i="1"/>
  <c r="AH215" i="1"/>
  <c r="AH217" i="1"/>
  <c r="AH205" i="1"/>
  <c r="AH216" i="1"/>
  <c r="AH189" i="1"/>
  <c r="AH218" i="1"/>
  <c r="AH223" i="1"/>
  <c r="AH208" i="1"/>
  <c r="AH219" i="1"/>
  <c r="AH196" i="1"/>
  <c r="AH212" i="1"/>
  <c r="AH200" i="1"/>
  <c r="AH210" i="1"/>
  <c r="AH211" i="1" s="1"/>
  <c r="AH221" i="1"/>
  <c r="AH222" i="1" s="1"/>
  <c r="AF21" i="5"/>
  <c r="AG188" i="1"/>
  <c r="AF237" i="1"/>
  <c r="AF58" i="5" s="1"/>
  <c r="AF27" i="5"/>
  <c r="AH192" i="1"/>
  <c r="AG13" i="5"/>
  <c r="AG241" i="1"/>
  <c r="AG50" i="5" s="1"/>
  <c r="AG15" i="5"/>
  <c r="AG243" i="1"/>
  <c r="AG52" i="5" s="1"/>
  <c r="AH194" i="1"/>
  <c r="AF18" i="5"/>
  <c r="AF28" i="5" s="1"/>
  <c r="AG230" i="1"/>
  <c r="AG44" i="5" s="1"/>
  <c r="AG7" i="5"/>
  <c r="AG18" i="5" s="1"/>
  <c r="AH181" i="1"/>
  <c r="AB390" i="1"/>
  <c r="AA417" i="1"/>
  <c r="AA418" i="1"/>
  <c r="AH421" i="1"/>
  <c r="Z33" i="5"/>
  <c r="Z413" i="1"/>
  <c r="Z415" i="1"/>
  <c r="Z416" i="1" s="1"/>
  <c r="Z35" i="5"/>
  <c r="Z34" i="5"/>
  <c r="AA17" i="8"/>
  <c r="AG13" i="8"/>
  <c r="AH13" i="8" s="1"/>
  <c r="X40" i="8"/>
  <c r="X41" i="8" s="1"/>
  <c r="Y39" i="8" s="1"/>
  <c r="AE185" i="8" l="1"/>
  <c r="AE187" i="8" s="1"/>
  <c r="AE236" i="8"/>
  <c r="AH24" i="8"/>
  <c r="AH21" i="7"/>
  <c r="AH10" i="7"/>
  <c r="AA17" i="7"/>
  <c r="AA6" i="7"/>
  <c r="AB418" i="1"/>
  <c r="AB417" i="1"/>
  <c r="AC390" i="1"/>
  <c r="AH230" i="1"/>
  <c r="AH44" i="5" s="1"/>
  <c r="AH7" i="5"/>
  <c r="AG301" i="8"/>
  <c r="AG81" i="5"/>
  <c r="AG55" i="5"/>
  <c r="AG92" i="5" s="1"/>
  <c r="AH243" i="1"/>
  <c r="AH52" i="5" s="1"/>
  <c r="AH15" i="5"/>
  <c r="AG237" i="1"/>
  <c r="AG58" i="5" s="1"/>
  <c r="AH188" i="1"/>
  <c r="AG21" i="5"/>
  <c r="AH249" i="1"/>
  <c r="AH63" i="5" s="1"/>
  <c r="AH26" i="5"/>
  <c r="AH245" i="1"/>
  <c r="AH54" i="5" s="1"/>
  <c r="AH17" i="5"/>
  <c r="AG305" i="8"/>
  <c r="AG85" i="5"/>
  <c r="AC408" i="1"/>
  <c r="AC30" i="5"/>
  <c r="AC410" i="1"/>
  <c r="AC29" i="5"/>
  <c r="AD185" i="8"/>
  <c r="AD187" i="8" s="1"/>
  <c r="AD236" i="8"/>
  <c r="AC57" i="8"/>
  <c r="AB61" i="8"/>
  <c r="AC59" i="8" s="1"/>
  <c r="AC60" i="8" s="1"/>
  <c r="X323" i="8"/>
  <c r="Y91" i="8"/>
  <c r="Y92" i="8" s="1"/>
  <c r="AH231" i="1"/>
  <c r="AH45" i="5" s="1"/>
  <c r="AH8" i="5"/>
  <c r="AH199" i="1"/>
  <c r="AG25" i="5"/>
  <c r="AG248" i="1"/>
  <c r="AG62" i="5" s="1"/>
  <c r="AA37" i="8"/>
  <c r="Z77" i="8"/>
  <c r="AK252" i="1"/>
  <c r="AK285" i="1" s="1"/>
  <c r="AJ285" i="1"/>
  <c r="AK278" i="1"/>
  <c r="AK281" i="1" s="1"/>
  <c r="AJ281" i="1"/>
  <c r="AH18" i="7"/>
  <c r="AH7" i="7"/>
  <c r="AA35" i="5"/>
  <c r="AA413" i="1"/>
  <c r="AA33" i="5"/>
  <c r="AA415" i="1"/>
  <c r="AA416" i="1" s="1"/>
  <c r="AA34" i="5"/>
  <c r="AH242" i="1"/>
  <c r="AH51" i="5" s="1"/>
  <c r="AH88" i="5" s="1"/>
  <c r="AH14" i="5"/>
  <c r="AG94" i="5"/>
  <c r="AG307" i="8"/>
  <c r="AG64" i="5"/>
  <c r="AG65" i="5" s="1"/>
  <c r="AG167" i="8" s="1"/>
  <c r="AG27" i="5"/>
  <c r="AG96" i="5"/>
  <c r="AG309" i="8"/>
  <c r="AG91" i="5"/>
  <c r="AB5" i="5"/>
  <c r="AA42" i="5"/>
  <c r="O79" i="8"/>
  <c r="N321" i="8"/>
  <c r="AB32" i="5"/>
  <c r="Y85" i="8"/>
  <c r="Y86" i="8" s="1"/>
  <c r="Y87" i="8" s="1"/>
  <c r="X322" i="8"/>
  <c r="AA234" i="8"/>
  <c r="AA183" i="8"/>
  <c r="AG11" i="8"/>
  <c r="AH11" i="8" s="1"/>
  <c r="AH244" i="1"/>
  <c r="AH53" i="5" s="1"/>
  <c r="AH16" i="5"/>
  <c r="AH233" i="1"/>
  <c r="AH47" i="5" s="1"/>
  <c r="AH84" i="5" s="1"/>
  <c r="AH10" i="5"/>
  <c r="AH247" i="1"/>
  <c r="AH61" i="5" s="1"/>
  <c r="AH98" i="5" s="1"/>
  <c r="AH24" i="5"/>
  <c r="AG98" i="5"/>
  <c r="AH10" i="8"/>
  <c r="Y72" i="8"/>
  <c r="Y73" i="8" s="1"/>
  <c r="Z71" i="8" s="1"/>
  <c r="AD49" i="8"/>
  <c r="AC53" i="8"/>
  <c r="AD51" i="8" s="1"/>
  <c r="AD52" i="8" s="1"/>
  <c r="Y40" i="8"/>
  <c r="Y41" i="8" s="1"/>
  <c r="Z39" i="8" s="1"/>
  <c r="Z36" i="5"/>
  <c r="Z37" i="5" s="1"/>
  <c r="Z38" i="5" s="1"/>
  <c r="AG28" i="5"/>
  <c r="AG89" i="5"/>
  <c r="AG303" i="8"/>
  <c r="AG87" i="5"/>
  <c r="AH241" i="1"/>
  <c r="AH50" i="5" s="1"/>
  <c r="AH87" i="5" s="1"/>
  <c r="AH13" i="5"/>
  <c r="AF95" i="5"/>
  <c r="AF308" i="8"/>
  <c r="AF306" i="8" s="1"/>
  <c r="AH238" i="1"/>
  <c r="AH59" i="5" s="1"/>
  <c r="AH22" i="5"/>
  <c r="AH234" i="1"/>
  <c r="AH48" i="5" s="1"/>
  <c r="AH11" i="5"/>
  <c r="AG100" i="5"/>
  <c r="AK267" i="1"/>
  <c r="AJ265" i="1"/>
  <c r="AJ266" i="1"/>
  <c r="AE387" i="1"/>
  <c r="AD407" i="1"/>
  <c r="AH22" i="8"/>
  <c r="AK254" i="1"/>
  <c r="AJ256" i="1"/>
  <c r="AJ255" i="1"/>
  <c r="AJ260" i="1"/>
  <c r="AJ261" i="1"/>
  <c r="Y93" i="8"/>
  <c r="AA69" i="8"/>
  <c r="Z89" i="8"/>
  <c r="AG83" i="5"/>
  <c r="AH232" i="1"/>
  <c r="AH46" i="5" s="1"/>
  <c r="AH83" i="5" s="1"/>
  <c r="AH9" i="5"/>
  <c r="AG302" i="8"/>
  <c r="AG82" i="5"/>
  <c r="AF99" i="5"/>
  <c r="AH302" i="1"/>
  <c r="AG300" i="1"/>
  <c r="AG318" i="1" s="1"/>
  <c r="AB43" i="8"/>
  <c r="AA47" i="8"/>
  <c r="AB45" i="8" s="1"/>
  <c r="AB46" i="8" s="1"/>
  <c r="AD8" i="8"/>
  <c r="AC17" i="8"/>
  <c r="AA283" i="8"/>
  <c r="AA281" i="8"/>
  <c r="AA280" i="8" s="1"/>
  <c r="AC27" i="8"/>
  <c r="AB412" i="1"/>
  <c r="AI296" i="1"/>
  <c r="AI317" i="1"/>
  <c r="AJ289" i="1"/>
  <c r="AK288" i="1"/>
  <c r="AJ290" i="1"/>
  <c r="AJ295" i="1"/>
  <c r="AF300" i="8"/>
  <c r="AF92" i="5"/>
  <c r="AH20" i="5"/>
  <c r="AH236" i="1"/>
  <c r="AH57" i="5" s="1"/>
  <c r="AF64" i="5"/>
  <c r="AF65" i="5" s="1"/>
  <c r="AF167" i="8" s="1"/>
  <c r="AF101" i="5"/>
  <c r="AA63" i="8"/>
  <c r="AA83" i="8" s="1"/>
  <c r="Z67" i="8"/>
  <c r="AA65" i="8" s="1"/>
  <c r="AA66" i="8" s="1"/>
  <c r="AI276" i="1"/>
  <c r="AH280" i="1"/>
  <c r="AH277" i="1"/>
  <c r="AD31" i="5"/>
  <c r="AG283" i="1"/>
  <c r="AC31" i="5"/>
  <c r="AB75" i="8"/>
  <c r="AB104" i="8" s="1"/>
  <c r="AC33" i="8"/>
  <c r="AG90" i="5"/>
  <c r="AG304" i="8"/>
  <c r="AG84" i="5"/>
  <c r="AI280" i="1" l="1"/>
  <c r="AI277" i="1"/>
  <c r="AJ276" i="1"/>
  <c r="AH94" i="5"/>
  <c r="AH307" i="8"/>
  <c r="AF102" i="5"/>
  <c r="AB33" i="5"/>
  <c r="AB413" i="1"/>
  <c r="AB35" i="5"/>
  <c r="AB415" i="1"/>
  <c r="AB416" i="1" s="1"/>
  <c r="AB34" i="5"/>
  <c r="AI302" i="1"/>
  <c r="AH300" i="1"/>
  <c r="AH318" i="1" s="1"/>
  <c r="AJ282" i="1"/>
  <c r="AF387" i="1"/>
  <c r="AK265" i="1"/>
  <c r="AK266" i="1"/>
  <c r="AH85" i="5"/>
  <c r="AH305" i="8"/>
  <c r="AH96" i="5"/>
  <c r="AH309" i="8"/>
  <c r="AE49" i="8"/>
  <c r="AD53" i="8"/>
  <c r="AE51" i="8" s="1"/>
  <c r="AE52" i="8" s="1"/>
  <c r="Z72" i="8"/>
  <c r="Z73" i="8" s="1"/>
  <c r="AA71" i="8" s="1"/>
  <c r="AH90" i="5"/>
  <c r="AH304" i="8"/>
  <c r="Y322" i="8"/>
  <c r="Z85" i="8"/>
  <c r="Z86" i="8" s="1"/>
  <c r="Z87" i="8" s="1"/>
  <c r="O80" i="8"/>
  <c r="O81" i="8" s="1"/>
  <c r="O312" i="8"/>
  <c r="O9" i="2" s="1"/>
  <c r="AC5" i="5"/>
  <c r="AB42" i="5"/>
  <c r="AA36" i="5"/>
  <c r="AA37" i="5" s="1"/>
  <c r="AA38" i="5" s="1"/>
  <c r="AB37" i="8"/>
  <c r="AA77" i="8"/>
  <c r="AG99" i="5"/>
  <c r="AH248" i="1"/>
  <c r="AH62" i="5" s="1"/>
  <c r="AH25" i="5"/>
  <c r="AH302" i="8"/>
  <c r="AH82" i="5"/>
  <c r="AD57" i="8"/>
  <c r="AC61" i="8"/>
  <c r="AD59" i="8" s="1"/>
  <c r="AD60" i="8" s="1"/>
  <c r="AI282" i="1"/>
  <c r="AH91" i="5"/>
  <c r="AH100" i="5"/>
  <c r="AH21" i="5"/>
  <c r="AH237" i="1"/>
  <c r="AH58" i="5" s="1"/>
  <c r="AG300" i="8"/>
  <c r="AH55" i="5"/>
  <c r="AH81" i="5"/>
  <c r="AH301" i="8"/>
  <c r="AB183" i="8"/>
  <c r="AB234" i="8"/>
  <c r="AD33" i="8"/>
  <c r="AC75" i="8"/>
  <c r="AC104" i="8" s="1"/>
  <c r="AH283" i="1"/>
  <c r="AB63" i="8"/>
  <c r="AA67" i="8"/>
  <c r="AB65" i="8" s="1"/>
  <c r="AB66" i="8" s="1"/>
  <c r="AH27" i="5"/>
  <c r="AF299" i="8"/>
  <c r="AJ296" i="1"/>
  <c r="AJ317" i="1"/>
  <c r="AK289" i="1"/>
  <c r="AK290" i="1"/>
  <c r="AK295" i="1"/>
  <c r="AD27" i="8"/>
  <c r="AC412" i="1"/>
  <c r="AB281" i="8"/>
  <c r="AB280" i="8" s="1"/>
  <c r="AB283" i="8"/>
  <c r="AE8" i="8"/>
  <c r="AB83" i="8"/>
  <c r="AB47" i="8"/>
  <c r="AC45" i="8" s="1"/>
  <c r="AC46" i="8" s="1"/>
  <c r="AC43" i="8"/>
  <c r="AB69" i="8"/>
  <c r="AA89" i="8"/>
  <c r="Y323" i="8"/>
  <c r="Z91" i="8"/>
  <c r="Z92" i="8" s="1"/>
  <c r="Z93" i="8" s="1"/>
  <c r="AK256" i="1"/>
  <c r="AK255" i="1"/>
  <c r="AK261" i="1"/>
  <c r="AK260" i="1"/>
  <c r="AD410" i="1"/>
  <c r="AD408" i="1"/>
  <c r="AD30" i="5"/>
  <c r="AD29" i="5"/>
  <c r="Z40" i="8"/>
  <c r="Z41" i="8" s="1"/>
  <c r="AA39" i="8" s="1"/>
  <c r="N320" i="8"/>
  <c r="N348" i="8"/>
  <c r="AD16" i="8"/>
  <c r="AE16" i="8" s="1"/>
  <c r="AC32" i="5"/>
  <c r="AG95" i="5"/>
  <c r="AG101" i="5" s="1"/>
  <c r="AG102" i="5" s="1"/>
  <c r="AG308" i="8"/>
  <c r="AG306" i="8" s="1"/>
  <c r="AH303" i="8"/>
  <c r="AH89" i="5"/>
  <c r="AH18" i="5"/>
  <c r="AH28" i="5" s="1"/>
  <c r="AC418" i="1"/>
  <c r="AC417" i="1"/>
  <c r="AD390" i="1"/>
  <c r="AB6" i="7"/>
  <c r="AB17" i="7"/>
  <c r="AE19" i="8"/>
  <c r="AF19" i="8" s="1"/>
  <c r="AG236" i="8" l="1"/>
  <c r="AG185" i="8"/>
  <c r="B101" i="8"/>
  <c r="D15" i="13" s="1"/>
  <c r="Z323" i="8"/>
  <c r="AA91" i="8"/>
  <c r="AA92" i="8" s="1"/>
  <c r="AA40" i="8"/>
  <c r="AA41" i="8" s="1"/>
  <c r="AB39" i="8" s="1"/>
  <c r="AA93" i="8"/>
  <c r="AC69" i="8"/>
  <c r="AB89" i="8"/>
  <c r="AD17" i="8"/>
  <c r="AC281" i="8"/>
  <c r="AC280" i="8" s="1"/>
  <c r="AC283" i="8"/>
  <c r="AC415" i="1"/>
  <c r="AC416" i="1" s="1"/>
  <c r="AC35" i="5"/>
  <c r="AC413" i="1"/>
  <c r="AC33" i="5"/>
  <c r="AC36" i="5" s="1"/>
  <c r="AC34" i="5"/>
  <c r="AK296" i="1"/>
  <c r="AK317" i="1"/>
  <c r="AC183" i="8"/>
  <c r="AC234" i="8"/>
  <c r="AG299" i="8"/>
  <c r="AH308" i="8"/>
  <c r="AH95" i="5"/>
  <c r="AD61" i="8"/>
  <c r="AE59" i="8" s="1"/>
  <c r="AE60" i="8" s="1"/>
  <c r="AE57" i="8"/>
  <c r="AH99" i="5"/>
  <c r="AB77" i="8"/>
  <c r="AC37" i="8"/>
  <c r="AD5" i="5"/>
  <c r="AC42" i="5"/>
  <c r="P79" i="8"/>
  <c r="O321" i="8"/>
  <c r="AA85" i="8"/>
  <c r="AA86" i="8" s="1"/>
  <c r="AA87" i="8" s="1"/>
  <c r="Z322" i="8"/>
  <c r="AF49" i="8"/>
  <c r="AE53" i="8"/>
  <c r="AF51" i="8" s="1"/>
  <c r="AF52" i="8" s="1"/>
  <c r="AG387" i="1"/>
  <c r="AF407" i="1"/>
  <c r="AB36" i="5"/>
  <c r="AB37" i="5" s="1"/>
  <c r="AB38" i="5" s="1"/>
  <c r="AH64" i="5"/>
  <c r="AH65" i="5" s="1"/>
  <c r="AH167" i="8" s="1"/>
  <c r="AH101" i="5"/>
  <c r="AJ277" i="1"/>
  <c r="AK276" i="1"/>
  <c r="AJ280" i="1"/>
  <c r="AF31" i="5"/>
  <c r="AI283" i="1"/>
  <c r="AD417" i="1"/>
  <c r="AE390" i="1"/>
  <c r="AD418" i="1"/>
  <c r="AC6" i="7"/>
  <c r="AC17" i="7"/>
  <c r="AC37" i="5"/>
  <c r="AC38" i="5" s="1"/>
  <c r="AD32" i="5"/>
  <c r="AK282" i="1"/>
  <c r="AC47" i="8"/>
  <c r="AD45" i="8" s="1"/>
  <c r="AD46" i="8" s="1"/>
  <c r="AD43" i="8"/>
  <c r="AF8" i="8"/>
  <c r="AE17" i="8"/>
  <c r="AE27" i="8"/>
  <c r="AD412" i="1"/>
  <c r="AB67" i="8"/>
  <c r="AC65" i="8" s="1"/>
  <c r="AC66" i="8" s="1"/>
  <c r="AC63" i="8"/>
  <c r="AD75" i="8"/>
  <c r="AD104" i="8" s="1"/>
  <c r="AE33" i="8"/>
  <c r="AH300" i="8"/>
  <c r="AH92" i="5"/>
  <c r="AH102" i="5" s="1"/>
  <c r="AA72" i="8"/>
  <c r="AA73" i="8" s="1"/>
  <c r="AB71" i="8" s="1"/>
  <c r="AE407" i="1"/>
  <c r="AJ302" i="1"/>
  <c r="AI300" i="1"/>
  <c r="AI318" i="1" s="1"/>
  <c r="AF185" i="8"/>
  <c r="AF187" i="8" s="1"/>
  <c r="AF236" i="8"/>
  <c r="AH306" i="8"/>
  <c r="AD234" i="8" l="1"/>
  <c r="AD183" i="8"/>
  <c r="AF27" i="8"/>
  <c r="AE412" i="1"/>
  <c r="AG8" i="8"/>
  <c r="AD47" i="8"/>
  <c r="AE45" i="8" s="1"/>
  <c r="AE46" i="8" s="1"/>
  <c r="AE43" i="8"/>
  <c r="AE30" i="5"/>
  <c r="AE410" i="1"/>
  <c r="AE408" i="1"/>
  <c r="AE29" i="5"/>
  <c r="AE32" i="5" s="1"/>
  <c r="AE31" i="5"/>
  <c r="AB72" i="8"/>
  <c r="AB73" i="8" s="1"/>
  <c r="AC71" i="8" s="1"/>
  <c r="AH185" i="8"/>
  <c r="AH187" i="8" s="1"/>
  <c r="AH236" i="8"/>
  <c r="AE75" i="8"/>
  <c r="AE104" i="8" s="1"/>
  <c r="AF33" i="8"/>
  <c r="AD63" i="8"/>
  <c r="AC67" i="8"/>
  <c r="AD65" i="8" s="1"/>
  <c r="AD66" i="8" s="1"/>
  <c r="AD35" i="5"/>
  <c r="AD415" i="1"/>
  <c r="AD416" i="1" s="1"/>
  <c r="AD33" i="5"/>
  <c r="AD413" i="1"/>
  <c r="AD34" i="5"/>
  <c r="AC83" i="8"/>
  <c r="AD17" i="7"/>
  <c r="AD6" i="7"/>
  <c r="AK280" i="1"/>
  <c r="AK277" i="1"/>
  <c r="AF410" i="1"/>
  <c r="AF30" i="5"/>
  <c r="AF408" i="1"/>
  <c r="AF29" i="5"/>
  <c r="AF32" i="5" s="1"/>
  <c r="AF53" i="8"/>
  <c r="AG51" i="8" s="1"/>
  <c r="AG52" i="8" s="1"/>
  <c r="AG49" i="8"/>
  <c r="AB85" i="8"/>
  <c r="AB86" i="8" s="1"/>
  <c r="AB87" i="8" s="1"/>
  <c r="AA322" i="8"/>
  <c r="P80" i="8"/>
  <c r="P81" i="8" s="1"/>
  <c r="P312" i="8"/>
  <c r="P9" i="2" s="1"/>
  <c r="AD42" i="5"/>
  <c r="AE5" i="5"/>
  <c r="AE61" i="8"/>
  <c r="AF59" i="8" s="1"/>
  <c r="AF60" i="8" s="1"/>
  <c r="AF57" i="8"/>
  <c r="AB40" i="8"/>
  <c r="AB41" i="8" s="1"/>
  <c r="AC39" i="8" s="1"/>
  <c r="AG19" i="8"/>
  <c r="AH19" i="8" s="1"/>
  <c r="AG187" i="8"/>
  <c r="B103" i="8"/>
  <c r="AK302" i="1"/>
  <c r="AK300" i="1" s="1"/>
  <c r="AK318" i="1" s="1"/>
  <c r="AJ300" i="1"/>
  <c r="AJ318" i="1" s="1"/>
  <c r="AH299" i="8"/>
  <c r="AE418" i="1"/>
  <c r="AE417" i="1"/>
  <c r="AF390" i="1"/>
  <c r="AJ283" i="1"/>
  <c r="AH387" i="1"/>
  <c r="AG407" i="1"/>
  <c r="O320" i="8"/>
  <c r="O348" i="8"/>
  <c r="AC77" i="8"/>
  <c r="AD37" i="8"/>
  <c r="AD283" i="8"/>
  <c r="AD281" i="8"/>
  <c r="AD280" i="8" s="1"/>
  <c r="AD69" i="8"/>
  <c r="AC89" i="8"/>
  <c r="AA323" i="8"/>
  <c r="AB91" i="8"/>
  <c r="AB92" i="8" s="1"/>
  <c r="AB93" i="8" s="1"/>
  <c r="AF16" i="8"/>
  <c r="AG16" i="8" s="1"/>
  <c r="AC91" i="8" l="1"/>
  <c r="AC92" i="8" s="1"/>
  <c r="AB323" i="8"/>
  <c r="AE69" i="8"/>
  <c r="AD89" i="8"/>
  <c r="AG30" i="5"/>
  <c r="AG410" i="1"/>
  <c r="AG408" i="1"/>
  <c r="AG29" i="5"/>
  <c r="AH407" i="1"/>
  <c r="AF418" i="1"/>
  <c r="AG390" i="1"/>
  <c r="AF417" i="1"/>
  <c r="AE6" i="7"/>
  <c r="AE17" i="7"/>
  <c r="Q79" i="8"/>
  <c r="P321" i="8"/>
  <c r="AB322" i="8"/>
  <c r="AC85" i="8"/>
  <c r="AC86" i="8" s="1"/>
  <c r="AH31" i="5"/>
  <c r="AK283" i="1"/>
  <c r="AD36" i="5"/>
  <c r="AD37" i="5" s="1"/>
  <c r="AD38" i="5" s="1"/>
  <c r="AE63" i="8"/>
  <c r="AD67" i="8"/>
  <c r="AE65" i="8" s="1"/>
  <c r="AE66" i="8" s="1"/>
  <c r="AE234" i="8"/>
  <c r="AE183" i="8"/>
  <c r="AC72" i="8"/>
  <c r="AC73" i="8" s="1"/>
  <c r="AD71" i="8" s="1"/>
  <c r="AF43" i="8"/>
  <c r="AE83" i="8"/>
  <c r="AE47" i="8"/>
  <c r="AF45" i="8" s="1"/>
  <c r="AF46" i="8" s="1"/>
  <c r="AF17" i="8"/>
  <c r="AE35" i="5"/>
  <c r="AE413" i="1"/>
  <c r="AE415" i="1"/>
  <c r="AE416" i="1" s="1"/>
  <c r="AE33" i="5"/>
  <c r="AE36" i="5" s="1"/>
  <c r="AE37" i="5" s="1"/>
  <c r="AE38" i="5" s="1"/>
  <c r="AE34" i="5"/>
  <c r="AE37" i="8"/>
  <c r="AD77" i="8"/>
  <c r="AC93" i="8"/>
  <c r="AE281" i="8"/>
  <c r="AE280" i="8" s="1"/>
  <c r="AE283" i="8"/>
  <c r="AG31" i="5"/>
  <c r="AC40" i="8"/>
  <c r="AC41" i="8" s="1"/>
  <c r="AD39" i="8" s="1"/>
  <c r="AF61" i="8"/>
  <c r="AG59" i="8" s="1"/>
  <c r="AG60" i="8" s="1"/>
  <c r="AG57" i="8"/>
  <c r="AF5" i="5"/>
  <c r="AE42" i="5"/>
  <c r="AG53" i="8"/>
  <c r="AH51" i="8" s="1"/>
  <c r="AH52" i="8" s="1"/>
  <c r="AH49" i="8"/>
  <c r="AC87" i="8"/>
  <c r="AF75" i="8"/>
  <c r="AF104" i="8" s="1"/>
  <c r="AG33" i="8"/>
  <c r="AD83" i="8"/>
  <c r="AH8" i="8"/>
  <c r="AG17" i="8"/>
  <c r="AG27" i="8"/>
  <c r="AF412" i="1"/>
  <c r="AH27" i="8" l="1"/>
  <c r="AH412" i="1" s="1"/>
  <c r="AG412" i="1"/>
  <c r="AF234" i="8"/>
  <c r="AF183" i="8"/>
  <c r="AF413" i="1"/>
  <c r="AF415" i="1"/>
  <c r="AF416" i="1" s="1"/>
  <c r="AF35" i="5"/>
  <c r="AF33" i="5"/>
  <c r="AF34" i="5"/>
  <c r="AG75" i="8"/>
  <c r="AH33" i="8"/>
  <c r="AH75" i="8" s="1"/>
  <c r="AH104" i="8" s="1"/>
  <c r="AD85" i="8"/>
  <c r="AD86" i="8" s="1"/>
  <c r="AD87" i="8" s="1"/>
  <c r="AC322" i="8"/>
  <c r="AH53" i="8"/>
  <c r="AG61" i="8"/>
  <c r="AH57" i="8"/>
  <c r="AF47" i="8"/>
  <c r="AG45" i="8" s="1"/>
  <c r="AG46" i="8" s="1"/>
  <c r="AG43" i="8"/>
  <c r="AD72" i="8"/>
  <c r="AD73" i="8" s="1"/>
  <c r="AE71" i="8" s="1"/>
  <c r="AF63" i="8"/>
  <c r="AE67" i="8"/>
  <c r="AF65" i="8" s="1"/>
  <c r="AF66" i="8" s="1"/>
  <c r="Q80" i="8"/>
  <c r="Q81" i="8" s="1"/>
  <c r="Q312" i="8"/>
  <c r="Q9" i="2" s="1"/>
  <c r="AF17" i="7"/>
  <c r="AF6" i="7"/>
  <c r="AH410" i="1"/>
  <c r="AH408" i="1"/>
  <c r="AH30" i="5"/>
  <c r="AH29" i="5"/>
  <c r="AH32" i="5" s="1"/>
  <c r="AF69" i="8"/>
  <c r="AE89" i="8"/>
  <c r="AF42" i="5"/>
  <c r="AG5" i="5"/>
  <c r="AD40" i="8"/>
  <c r="AD41" i="8" s="1"/>
  <c r="AE39" i="8" s="1"/>
  <c r="AF281" i="8"/>
  <c r="AF280" i="8" s="1"/>
  <c r="AF283" i="8"/>
  <c r="AD91" i="8"/>
  <c r="AD92" i="8" s="1"/>
  <c r="AC323" i="8"/>
  <c r="AF37" i="8"/>
  <c r="AE77" i="8"/>
  <c r="AH16" i="8"/>
  <c r="AH17" i="8" s="1"/>
  <c r="P320" i="8"/>
  <c r="P348" i="8"/>
  <c r="AG417" i="1"/>
  <c r="AH390" i="1"/>
  <c r="AG418" i="1"/>
  <c r="AG32" i="5"/>
  <c r="AD93" i="8"/>
  <c r="AD322" i="8" l="1"/>
  <c r="AE85" i="8"/>
  <c r="AE86" i="8" s="1"/>
  <c r="AE87" i="8" s="1"/>
  <c r="AH418" i="1"/>
  <c r="AH417" i="1"/>
  <c r="AG6" i="7"/>
  <c r="AG17" i="7"/>
  <c r="AF77" i="8"/>
  <c r="AG37" i="8"/>
  <c r="AE40" i="8"/>
  <c r="AE41" i="8" s="1"/>
  <c r="AF39" i="8" s="1"/>
  <c r="AG63" i="8"/>
  <c r="AF67" i="8"/>
  <c r="AG65" i="8" s="1"/>
  <c r="AG66" i="8" s="1"/>
  <c r="AE72" i="8"/>
  <c r="AE73" i="8" s="1"/>
  <c r="AF71" i="8" s="1"/>
  <c r="AH59" i="8"/>
  <c r="AH60" i="8" s="1"/>
  <c r="AH183" i="8"/>
  <c r="AH234" i="8"/>
  <c r="AF36" i="5"/>
  <c r="AF37" i="5" s="1"/>
  <c r="AF38" i="5" s="1"/>
  <c r="AG33" i="5"/>
  <c r="AG415" i="1"/>
  <c r="AG416" i="1" s="1"/>
  <c r="AG35" i="5"/>
  <c r="AG413" i="1"/>
  <c r="AG34" i="5"/>
  <c r="AE91" i="8"/>
  <c r="AE92" i="8" s="1"/>
  <c r="AE93" i="8" s="1"/>
  <c r="AD323" i="8"/>
  <c r="AG281" i="8"/>
  <c r="AG280" i="8" s="1"/>
  <c r="AG283" i="8"/>
  <c r="AG42" i="5"/>
  <c r="AH5" i="5"/>
  <c r="AH42" i="5" s="1"/>
  <c r="AG69" i="8"/>
  <c r="AF89" i="8"/>
  <c r="R79" i="8"/>
  <c r="Q321" i="8"/>
  <c r="AG83" i="8"/>
  <c r="AG47" i="8"/>
  <c r="AH45" i="8" s="1"/>
  <c r="AH46" i="8" s="1"/>
  <c r="AH43" i="8"/>
  <c r="AF83" i="8"/>
  <c r="AH61" i="8"/>
  <c r="AH413" i="1"/>
  <c r="AH35" i="5"/>
  <c r="AH415" i="1"/>
  <c r="AH416" i="1" s="1"/>
  <c r="AH33" i="5"/>
  <c r="AH36" i="5" s="1"/>
  <c r="AH37" i="5" s="1"/>
  <c r="AH38" i="5" s="1"/>
  <c r="AH34" i="5"/>
  <c r="AF91" i="8" l="1"/>
  <c r="AF92" i="8" s="1"/>
  <c r="AE323" i="8"/>
  <c r="R80" i="8"/>
  <c r="R81" i="8" s="1"/>
  <c r="R312" i="8"/>
  <c r="R9" i="2" s="1"/>
  <c r="AH69" i="8"/>
  <c r="AG89" i="8"/>
  <c r="AH281" i="8"/>
  <c r="AH280" i="8" s="1"/>
  <c r="AH283" i="8"/>
  <c r="AH37" i="8"/>
  <c r="AG77" i="8"/>
  <c r="AH17" i="7"/>
  <c r="AH6" i="7"/>
  <c r="AF85" i="8"/>
  <c r="AF86" i="8" s="1"/>
  <c r="AE322" i="8"/>
  <c r="AH47" i="8"/>
  <c r="AF87" i="8"/>
  <c r="Q320" i="8"/>
  <c r="Q348" i="8"/>
  <c r="AF93" i="8"/>
  <c r="AG36" i="5"/>
  <c r="AG37" i="5" s="1"/>
  <c r="AG38" i="5" s="1"/>
  <c r="AF72" i="8"/>
  <c r="AF73" i="8" s="1"/>
  <c r="AG71" i="8" s="1"/>
  <c r="AH63" i="8"/>
  <c r="AH83" i="8" s="1"/>
  <c r="AG67" i="8"/>
  <c r="AH65" i="8" s="1"/>
  <c r="AH66" i="8" s="1"/>
  <c r="AF40" i="8"/>
  <c r="AF41" i="8" s="1"/>
  <c r="AG39" i="8" s="1"/>
  <c r="AF323" i="8" l="1"/>
  <c r="AG91" i="8"/>
  <c r="AG92" i="8" s="1"/>
  <c r="AH77" i="8"/>
  <c r="AH89" i="8"/>
  <c r="AG40" i="8"/>
  <c r="AG41" i="8" s="1"/>
  <c r="AH39" i="8" s="1"/>
  <c r="AH67" i="8"/>
  <c r="AG72" i="8"/>
  <c r="AG73" i="8" s="1"/>
  <c r="AH71" i="8" s="1"/>
  <c r="AG85" i="8"/>
  <c r="AG86" i="8" s="1"/>
  <c r="AG87" i="8" s="1"/>
  <c r="AF322" i="8"/>
  <c r="AG93" i="8"/>
  <c r="R321" i="8"/>
  <c r="S79" i="8"/>
  <c r="AH91" i="8" l="1"/>
  <c r="AH92" i="8" s="1"/>
  <c r="AG323" i="8"/>
  <c r="AH85" i="8"/>
  <c r="AH86" i="8" s="1"/>
  <c r="AH87" i="8" s="1"/>
  <c r="AH322" i="8" s="1"/>
  <c r="AG322" i="8"/>
  <c r="AH72" i="8"/>
  <c r="AH73" i="8" s="1"/>
  <c r="AH93" i="8"/>
  <c r="AH323" i="8" s="1"/>
  <c r="S80" i="8"/>
  <c r="S81" i="8" s="1"/>
  <c r="S312" i="8"/>
  <c r="S9" i="2" s="1"/>
  <c r="R348" i="8"/>
  <c r="R320" i="8"/>
  <c r="AH40" i="8"/>
  <c r="AH41" i="8" s="1"/>
  <c r="T79" i="8" l="1"/>
  <c r="S321" i="8"/>
  <c r="S348" i="8" l="1"/>
  <c r="S320" i="8"/>
  <c r="T80" i="8"/>
  <c r="T81" i="8" s="1"/>
  <c r="T312" i="8"/>
  <c r="T9" i="2" s="1"/>
  <c r="U79" i="8" l="1"/>
  <c r="T321" i="8"/>
  <c r="T348" i="8" l="1"/>
  <c r="T320" i="8"/>
  <c r="U80" i="8"/>
  <c r="U81" i="8" s="1"/>
  <c r="U312" i="8"/>
  <c r="U9" i="2" s="1"/>
  <c r="V79" i="8" l="1"/>
  <c r="U321" i="8"/>
  <c r="U348" i="8" l="1"/>
  <c r="U320" i="8"/>
  <c r="V80" i="8"/>
  <c r="V81" i="8" s="1"/>
  <c r="V312" i="8"/>
  <c r="V9" i="2" s="1"/>
  <c r="W79" i="8" l="1"/>
  <c r="V321" i="8"/>
  <c r="V348" i="8" l="1"/>
  <c r="V320" i="8"/>
  <c r="W80" i="8"/>
  <c r="W81" i="8" s="1"/>
  <c r="W312" i="8"/>
  <c r="W9" i="2" s="1"/>
  <c r="W321" i="8" l="1"/>
  <c r="X79" i="8"/>
  <c r="X80" i="8" l="1"/>
  <c r="X81" i="8" s="1"/>
  <c r="X312" i="8"/>
  <c r="X9" i="2" s="1"/>
  <c r="W348" i="8"/>
  <c r="W320" i="8"/>
  <c r="Y79" i="8" l="1"/>
  <c r="X321" i="8"/>
  <c r="Y80" i="8" l="1"/>
  <c r="Y81" i="8" s="1"/>
  <c r="Y312" i="8"/>
  <c r="Y9" i="2" s="1"/>
  <c r="X348" i="8"/>
  <c r="X320" i="8"/>
  <c r="Z79" i="8" l="1"/>
  <c r="Y321" i="8"/>
  <c r="Y320" i="8" l="1"/>
  <c r="Y348" i="8"/>
  <c r="Z80" i="8"/>
  <c r="Z81" i="8" s="1"/>
  <c r="Z312" i="8"/>
  <c r="Z9" i="2" s="1"/>
  <c r="Z321" i="8" l="1"/>
  <c r="AA79" i="8"/>
  <c r="AA80" i="8" l="1"/>
  <c r="AA81" i="8" s="1"/>
  <c r="AA312" i="8"/>
  <c r="AA9" i="2" s="1"/>
  <c r="Z348" i="8"/>
  <c r="Z320" i="8"/>
  <c r="AA321" i="8" l="1"/>
  <c r="AB79" i="8"/>
  <c r="AB80" i="8" l="1"/>
  <c r="AB81" i="8" s="1"/>
  <c r="AB312" i="8"/>
  <c r="AB9" i="2" s="1"/>
  <c r="AA348" i="8"/>
  <c r="AA320" i="8"/>
  <c r="AC79" i="8" l="1"/>
  <c r="AB321" i="8"/>
  <c r="AC80" i="8" l="1"/>
  <c r="AC81" i="8" s="1"/>
  <c r="AC312" i="8"/>
  <c r="AC9" i="2" s="1"/>
  <c r="AB348" i="8"/>
  <c r="AB320" i="8"/>
  <c r="AD79" i="8" l="1"/>
  <c r="AC321" i="8"/>
  <c r="AC320" i="8" l="1"/>
  <c r="AC348" i="8"/>
  <c r="AD80" i="8"/>
  <c r="AD81" i="8" s="1"/>
  <c r="AD312" i="8"/>
  <c r="AD9" i="2" s="1"/>
  <c r="AE79" i="8" l="1"/>
  <c r="AD321" i="8"/>
  <c r="AD320" i="8" l="1"/>
  <c r="AD348" i="8"/>
  <c r="AE80" i="8"/>
  <c r="AE81" i="8" s="1"/>
  <c r="AE312" i="8"/>
  <c r="AE9" i="2" s="1"/>
  <c r="AE321" i="8" l="1"/>
  <c r="AF79" i="8"/>
  <c r="AF80" i="8" l="1"/>
  <c r="AF81" i="8" s="1"/>
  <c r="AF312" i="8"/>
  <c r="AF9" i="2" s="1"/>
  <c r="AE320" i="8"/>
  <c r="AE348" i="8"/>
  <c r="AF321" i="8" l="1"/>
  <c r="AG79" i="8"/>
  <c r="AG80" i="8" l="1"/>
  <c r="AG81" i="8" s="1"/>
  <c r="AG312" i="8"/>
  <c r="AG9" i="2" s="1"/>
  <c r="AF348" i="8"/>
  <c r="AF320" i="8"/>
  <c r="AH79" i="8" l="1"/>
  <c r="AG321" i="8"/>
  <c r="AG104" i="8"/>
  <c r="AG320" i="8" l="1"/>
  <c r="AG348" i="8"/>
  <c r="AG183" i="8"/>
  <c r="AG234" i="8"/>
  <c r="B106" i="8"/>
  <c r="D13" i="13" s="1"/>
  <c r="B105" i="8"/>
  <c r="C12" i="13" s="1"/>
  <c r="AH80" i="8"/>
  <c r="AH81" i="8" s="1"/>
  <c r="AH321" i="8" s="1"/>
  <c r="AH312" i="8"/>
  <c r="AH9" i="2" s="1"/>
  <c r="AH320" i="8" l="1"/>
  <c r="AH348" i="8"/>
  <c r="B251" i="8" l="1"/>
  <c r="C251" i="8"/>
  <c r="D251" i="8"/>
  <c r="E251" i="8"/>
  <c r="F251" i="8"/>
  <c r="G251" i="8"/>
  <c r="B255" i="8"/>
  <c r="B253" i="8" s="1"/>
  <c r="B311" i="8" s="1"/>
  <c r="B86" i="1"/>
  <c r="C86" i="1" s="1"/>
  <c r="B113" i="1"/>
  <c r="B146" i="8" s="1"/>
  <c r="D113" i="1"/>
  <c r="D146" i="8" s="1"/>
  <c r="F113" i="1"/>
  <c r="F146" i="8" s="1"/>
  <c r="B133" i="1"/>
  <c r="C133" i="1"/>
  <c r="D133" i="1"/>
  <c r="E133" i="1"/>
  <c r="F133" i="1"/>
  <c r="G133" i="1"/>
  <c r="B399" i="1"/>
  <c r="B402" i="1" s="1"/>
  <c r="B22" i="2"/>
  <c r="D22" i="2"/>
  <c r="F22" i="2"/>
  <c r="B392" i="1" l="1"/>
  <c r="G113" i="1"/>
  <c r="G146" i="8" s="1"/>
  <c r="G22" i="2" s="1"/>
  <c r="E113" i="1"/>
  <c r="E146" i="8" s="1"/>
  <c r="E22" i="2" s="1"/>
  <c r="C113" i="1"/>
  <c r="C146" i="8" s="1"/>
  <c r="C22" i="2" s="1"/>
  <c r="D86" i="1"/>
  <c r="B422" i="1"/>
  <c r="B169" i="8"/>
  <c r="B173" i="8" s="1"/>
  <c r="B201" i="8"/>
  <c r="B237" i="8"/>
  <c r="B252" i="8"/>
  <c r="B18" i="6" s="1"/>
  <c r="C255" i="8"/>
  <c r="C253" i="8"/>
  <c r="B395" i="1" l="1"/>
  <c r="B404" i="1" s="1"/>
  <c r="B420" i="1"/>
  <c r="B423" i="1"/>
  <c r="B427" i="1" s="1"/>
  <c r="C169" i="8"/>
  <c r="C252" i="8"/>
  <c r="C18" i="6" s="1"/>
  <c r="B337" i="1"/>
  <c r="B19" i="6"/>
  <c r="B45" i="6" s="1"/>
  <c r="B47" i="6" s="1"/>
  <c r="C3" i="14" s="1"/>
  <c r="D253" i="8"/>
  <c r="B424" i="1" l="1"/>
  <c r="B425" i="1" s="1"/>
  <c r="B429" i="1" s="1"/>
  <c r="B431" i="1" s="1"/>
  <c r="B426" i="1"/>
  <c r="D169" i="8"/>
  <c r="C19" i="6"/>
  <c r="C337" i="1"/>
  <c r="B259" i="8"/>
  <c r="B263" i="8" s="1"/>
  <c r="C259" i="8"/>
  <c r="D259" i="8"/>
  <c r="E259" i="8"/>
  <c r="F259" i="8"/>
  <c r="G259" i="8"/>
  <c r="C261" i="8"/>
  <c r="C311" i="8" s="1"/>
  <c r="D261" i="8"/>
  <c r="C263" i="8"/>
  <c r="D263" i="8" s="1"/>
  <c r="E263" i="8" s="1"/>
  <c r="D311" i="8"/>
  <c r="B87" i="1"/>
  <c r="C87" i="1" s="1"/>
  <c r="B117" i="1"/>
  <c r="B148" i="8" s="1"/>
  <c r="F117" i="1"/>
  <c r="F148" i="8" s="1"/>
  <c r="B135" i="1"/>
  <c r="C135" i="1"/>
  <c r="D135" i="1"/>
  <c r="E135" i="1"/>
  <c r="F135" i="1"/>
  <c r="G135" i="1"/>
  <c r="C392" i="1"/>
  <c r="D393" i="1" s="1"/>
  <c r="D392" i="1"/>
  <c r="C393" i="1"/>
  <c r="C395" i="1"/>
  <c r="D395" i="1"/>
  <c r="C399" i="1"/>
  <c r="D400" i="1" s="1"/>
  <c r="D399" i="1"/>
  <c r="C400" i="1"/>
  <c r="C402" i="1"/>
  <c r="D402" i="1"/>
  <c r="C404" i="1"/>
  <c r="D404" i="1"/>
  <c r="C420" i="1"/>
  <c r="D420" i="1"/>
  <c r="C422" i="1"/>
  <c r="D422" i="1"/>
  <c r="C423" i="1"/>
  <c r="D423" i="1"/>
  <c r="C424" i="1"/>
  <c r="D424" i="1"/>
  <c r="C425" i="1"/>
  <c r="D425" i="1"/>
  <c r="C426" i="1"/>
  <c r="D426" i="1"/>
  <c r="C427" i="1"/>
  <c r="D427" i="1"/>
  <c r="C428" i="1"/>
  <c r="D428" i="1"/>
  <c r="C429" i="1"/>
  <c r="D429" i="1"/>
  <c r="C430" i="1"/>
  <c r="C394" i="1" s="1"/>
  <c r="D430" i="1"/>
  <c r="D394" i="1" s="1"/>
  <c r="C431" i="1"/>
  <c r="C401" i="1" s="1"/>
  <c r="D431" i="1"/>
  <c r="D401" i="1" s="1"/>
  <c r="B23" i="2"/>
  <c r="F23" i="2"/>
  <c r="C6" i="16"/>
  <c r="D398" i="1" l="1"/>
  <c r="D391" i="1"/>
  <c r="D19" i="7" s="1"/>
  <c r="D20" i="7" s="1"/>
  <c r="D24" i="7" s="1"/>
  <c r="D25" i="7" s="1"/>
  <c r="C398" i="1"/>
  <c r="C391" i="1"/>
  <c r="C19" i="7" s="1"/>
  <c r="C20" i="7" s="1"/>
  <c r="C24" i="7" s="1"/>
  <c r="C25" i="7" s="1"/>
  <c r="D117" i="1"/>
  <c r="D148" i="8" s="1"/>
  <c r="D23" i="2" s="1"/>
  <c r="D87" i="1"/>
  <c r="B428" i="1"/>
  <c r="B430" i="1" s="1"/>
  <c r="B394" i="1" s="1"/>
  <c r="D11" i="7"/>
  <c r="D12" i="7" s="1"/>
  <c r="D22" i="7"/>
  <c r="D23" i="7" s="1"/>
  <c r="D8" i="7"/>
  <c r="D9" i="7" s="1"/>
  <c r="D13" i="7" s="1"/>
  <c r="D14" i="7" s="1"/>
  <c r="E7" i="14" s="1"/>
  <c r="C11" i="7"/>
  <c r="C12" i="7" s="1"/>
  <c r="C22" i="7"/>
  <c r="C23" i="7" s="1"/>
  <c r="C8" i="7"/>
  <c r="C9" i="7" s="1"/>
  <c r="C13" i="7" s="1"/>
  <c r="C14" i="7" s="1"/>
  <c r="D7" i="14" s="1"/>
  <c r="F261" i="8"/>
  <c r="F262" i="8"/>
  <c r="F263" i="8" s="1"/>
  <c r="E261" i="8"/>
  <c r="C170" i="8"/>
  <c r="C173" i="8" s="1"/>
  <c r="C201" i="8"/>
  <c r="C237" i="8"/>
  <c r="C260" i="8"/>
  <c r="C37" i="6" s="1"/>
  <c r="G117" i="1"/>
  <c r="E117" i="1"/>
  <c r="C117" i="1"/>
  <c r="D170" i="8"/>
  <c r="D237" i="8"/>
  <c r="D260" i="8"/>
  <c r="D37" i="6" s="1"/>
  <c r="C66" i="5" l="1"/>
  <c r="C67" i="5"/>
  <c r="C291" i="8" s="1"/>
  <c r="C68" i="5"/>
  <c r="C292" i="8" s="1"/>
  <c r="D66" i="5"/>
  <c r="D67" i="5"/>
  <c r="D68" i="5"/>
  <c r="C70" i="5"/>
  <c r="C71" i="5"/>
  <c r="C296" i="8" s="1"/>
  <c r="C72" i="5"/>
  <c r="C297" i="8" s="1"/>
  <c r="D70" i="5"/>
  <c r="D71" i="5"/>
  <c r="D72" i="5"/>
  <c r="G261" i="8"/>
  <c r="E148" i="8"/>
  <c r="E23" i="2" s="1"/>
  <c r="C355" i="1"/>
  <c r="C38" i="6"/>
  <c r="C45" i="6" s="1"/>
  <c r="C47" i="6" s="1"/>
  <c r="D3" i="14" s="1"/>
  <c r="E170" i="8"/>
  <c r="E260" i="8"/>
  <c r="E37" i="6" s="1"/>
  <c r="D355" i="1"/>
  <c r="D38" i="6"/>
  <c r="C148" i="8"/>
  <c r="C23" i="2" s="1"/>
  <c r="G148" i="8"/>
  <c r="G23" i="2" s="1"/>
  <c r="F172" i="8"/>
  <c r="G262" i="8"/>
  <c r="G263" i="8" s="1"/>
  <c r="F25" i="2"/>
  <c r="F170" i="8"/>
  <c r="F260" i="8"/>
  <c r="F37" i="6" s="1"/>
  <c r="H262" i="8" l="1"/>
  <c r="I262" i="8" s="1"/>
  <c r="D297" i="8"/>
  <c r="D109" i="5"/>
  <c r="D295" i="8"/>
  <c r="D107" i="5"/>
  <c r="D73" i="5"/>
  <c r="D292" i="8"/>
  <c r="D105" i="5"/>
  <c r="D290" i="8"/>
  <c r="D103" i="5"/>
  <c r="D69" i="5"/>
  <c r="D296" i="8"/>
  <c r="D108" i="5"/>
  <c r="C295" i="8"/>
  <c r="C73" i="5"/>
  <c r="D291" i="8"/>
  <c r="D104" i="5"/>
  <c r="C290" i="8"/>
  <c r="C69" i="5"/>
  <c r="H261" i="8"/>
  <c r="H263" i="8"/>
  <c r="E355" i="1"/>
  <c r="E38" i="6"/>
  <c r="F355" i="1"/>
  <c r="F38" i="6"/>
  <c r="H172" i="8"/>
  <c r="G172" i="8"/>
  <c r="G25" i="2"/>
  <c r="G170" i="8"/>
  <c r="G260" i="8"/>
  <c r="G37" i="6" s="1"/>
  <c r="H25" i="2" l="1"/>
  <c r="D106" i="5"/>
  <c r="D74" i="5"/>
  <c r="C74" i="5"/>
  <c r="D110" i="5"/>
  <c r="I172" i="8"/>
  <c r="I25" i="2"/>
  <c r="H170" i="8"/>
  <c r="H260" i="8"/>
  <c r="H37" i="6" s="1"/>
  <c r="G355" i="1"/>
  <c r="G38" i="6"/>
  <c r="J262" i="8"/>
  <c r="I263" i="8"/>
  <c r="I261" i="8"/>
  <c r="D111" i="5" l="1"/>
  <c r="D8" i="2"/>
  <c r="D75" i="5"/>
  <c r="D326" i="8"/>
  <c r="D205" i="8" s="1"/>
  <c r="D165" i="8"/>
  <c r="C75" i="5"/>
  <c r="C326" i="8"/>
  <c r="C205" i="8" s="1"/>
  <c r="C165" i="8"/>
  <c r="C8" i="2"/>
  <c r="D112" i="5"/>
  <c r="D233" i="8"/>
  <c r="D235" i="8" s="1"/>
  <c r="D182" i="8"/>
  <c r="D184" i="8" s="1"/>
  <c r="D188" i="8" s="1"/>
  <c r="J172" i="8"/>
  <c r="J25" i="2"/>
  <c r="K262" i="8"/>
  <c r="J261" i="8"/>
  <c r="J263" i="8"/>
  <c r="I170" i="8"/>
  <c r="I260" i="8"/>
  <c r="I37" i="6" s="1"/>
  <c r="H355" i="1"/>
  <c r="H38" i="6"/>
  <c r="D120" i="5" l="1"/>
  <c r="I355" i="1"/>
  <c r="I38" i="6"/>
  <c r="J170" i="8"/>
  <c r="J260" i="8"/>
  <c r="J37" i="6" s="1"/>
  <c r="L262" i="8"/>
  <c r="K261" i="8"/>
  <c r="K263" i="8"/>
  <c r="K172" i="8"/>
  <c r="K25" i="2"/>
  <c r="L261" i="8" l="1"/>
  <c r="L263" i="8"/>
  <c r="K170" i="8"/>
  <c r="K260" i="8"/>
  <c r="K37" i="6" s="1"/>
  <c r="L172" i="8"/>
  <c r="L25" i="2"/>
  <c r="M262" i="8"/>
  <c r="J355" i="1"/>
  <c r="J38" i="6"/>
  <c r="M172" i="8" l="1"/>
  <c r="M25" i="2"/>
  <c r="N262" i="8"/>
  <c r="M263" i="8"/>
  <c r="M261" i="8"/>
  <c r="K355" i="1"/>
  <c r="K38" i="6"/>
  <c r="L170" i="8"/>
  <c r="L260" i="8"/>
  <c r="L37" i="6" s="1"/>
  <c r="M170" i="8" l="1"/>
  <c r="M260" i="8"/>
  <c r="M37" i="6" s="1"/>
  <c r="N172" i="8"/>
  <c r="N25" i="2"/>
  <c r="O262" i="8"/>
  <c r="L355" i="1"/>
  <c r="L38" i="6"/>
  <c r="N261" i="8"/>
  <c r="N263" i="8"/>
  <c r="O261" i="8" l="1"/>
  <c r="O263" i="8"/>
  <c r="N170" i="8"/>
  <c r="N260" i="8"/>
  <c r="N37" i="6" s="1"/>
  <c r="O172" i="8"/>
  <c r="O25" i="2"/>
  <c r="P262" i="8"/>
  <c r="M355" i="1"/>
  <c r="M38" i="6"/>
  <c r="P172" i="8" l="1"/>
  <c r="P25" i="2"/>
  <c r="Q262" i="8"/>
  <c r="P261" i="8"/>
  <c r="P263" i="8"/>
  <c r="N355" i="1"/>
  <c r="N38" i="6"/>
  <c r="O170" i="8"/>
  <c r="O260" i="8"/>
  <c r="O37" i="6" s="1"/>
  <c r="Q263" i="8" l="1"/>
  <c r="Q261" i="8"/>
  <c r="Q172" i="8"/>
  <c r="Q25" i="2"/>
  <c r="R262" i="8"/>
  <c r="O355" i="1"/>
  <c r="O38" i="6"/>
  <c r="P170" i="8"/>
  <c r="P260" i="8"/>
  <c r="P37" i="6" s="1"/>
  <c r="R172" i="8" l="1"/>
  <c r="R25" i="2"/>
  <c r="S262" i="8"/>
  <c r="Q170" i="8"/>
  <c r="Q260" i="8"/>
  <c r="Q37" i="6" s="1"/>
  <c r="P355" i="1"/>
  <c r="P38" i="6"/>
  <c r="R261" i="8"/>
  <c r="R263" i="8"/>
  <c r="R170" i="8" l="1"/>
  <c r="R260" i="8"/>
  <c r="R37" i="6" s="1"/>
  <c r="S172" i="8"/>
  <c r="S25" i="2"/>
  <c r="T262" i="8"/>
  <c r="S261" i="8"/>
  <c r="S263" i="8"/>
  <c r="Q355" i="1"/>
  <c r="Q38" i="6"/>
  <c r="T261" i="8" l="1"/>
  <c r="T263" i="8"/>
  <c r="S170" i="8"/>
  <c r="S260" i="8"/>
  <c r="S37" i="6" s="1"/>
  <c r="T172" i="8"/>
  <c r="T25" i="2"/>
  <c r="U262" i="8"/>
  <c r="R355" i="1"/>
  <c r="R38" i="6"/>
  <c r="U263" i="8" l="1"/>
  <c r="U261" i="8"/>
  <c r="U172" i="8"/>
  <c r="U25" i="2"/>
  <c r="V262" i="8"/>
  <c r="S355" i="1"/>
  <c r="S38" i="6"/>
  <c r="T170" i="8"/>
  <c r="T260" i="8"/>
  <c r="T37" i="6" s="1"/>
  <c r="V172" i="8" l="1"/>
  <c r="V25" i="2"/>
  <c r="W262" i="8"/>
  <c r="U170" i="8"/>
  <c r="U260" i="8"/>
  <c r="U37" i="6" s="1"/>
  <c r="T355" i="1"/>
  <c r="T38" i="6"/>
  <c r="V261" i="8"/>
  <c r="V263" i="8"/>
  <c r="W261" i="8" l="1"/>
  <c r="W263" i="8"/>
  <c r="U355" i="1"/>
  <c r="U38" i="6"/>
  <c r="V170" i="8"/>
  <c r="V260" i="8"/>
  <c r="V37" i="6" s="1"/>
  <c r="W172" i="8"/>
  <c r="W25" i="2"/>
  <c r="X262" i="8"/>
  <c r="X172" i="8" l="1"/>
  <c r="X25" i="2"/>
  <c r="Y262" i="8"/>
  <c r="V355" i="1"/>
  <c r="V38" i="6"/>
  <c r="W170" i="8"/>
  <c r="W260" i="8"/>
  <c r="W37" i="6" s="1"/>
  <c r="X261" i="8"/>
  <c r="X263" i="8"/>
  <c r="Y263" i="8" l="1"/>
  <c r="Y261" i="8"/>
  <c r="W355" i="1"/>
  <c r="W38" i="6"/>
  <c r="X170" i="8"/>
  <c r="X260" i="8"/>
  <c r="X37" i="6" s="1"/>
  <c r="Y172" i="8"/>
  <c r="Y25" i="2"/>
  <c r="Z262" i="8"/>
  <c r="Z172" i="8" l="1"/>
  <c r="Z25" i="2"/>
  <c r="AA262" i="8"/>
  <c r="X355" i="1"/>
  <c r="X38" i="6"/>
  <c r="Z261" i="8"/>
  <c r="Z263" i="8"/>
  <c r="Y170" i="8"/>
  <c r="Y260" i="8"/>
  <c r="Y37" i="6" s="1"/>
  <c r="Y355" i="1" l="1"/>
  <c r="Y38" i="6"/>
  <c r="Z170" i="8"/>
  <c r="Z260" i="8"/>
  <c r="Z37" i="6" s="1"/>
  <c r="AA261" i="8"/>
  <c r="AA263" i="8"/>
  <c r="AA172" i="8"/>
  <c r="AA25" i="2"/>
  <c r="AB262" i="8"/>
  <c r="AB172" i="8" l="1"/>
  <c r="AB25" i="2"/>
  <c r="AC262" i="8"/>
  <c r="AB261" i="8"/>
  <c r="AB263" i="8"/>
  <c r="Z355" i="1"/>
  <c r="Z38" i="6"/>
  <c r="AA170" i="8"/>
  <c r="AA260" i="8"/>
  <c r="AA37" i="6" s="1"/>
  <c r="AA355" i="1" l="1"/>
  <c r="AA38" i="6"/>
  <c r="AB170" i="8"/>
  <c r="AB260" i="8"/>
  <c r="AB37" i="6" s="1"/>
  <c r="AC263" i="8"/>
  <c r="AC261" i="8"/>
  <c r="AC172" i="8"/>
  <c r="AC25" i="2"/>
  <c r="AD262" i="8"/>
  <c r="AD172" i="8" l="1"/>
  <c r="AD25" i="2"/>
  <c r="AE262" i="8"/>
  <c r="AC170" i="8"/>
  <c r="AC260" i="8"/>
  <c r="AC37" i="6" s="1"/>
  <c r="AB355" i="1"/>
  <c r="AB38" i="6"/>
  <c r="AD261" i="8"/>
  <c r="AD263" i="8"/>
  <c r="AE261" i="8" l="1"/>
  <c r="AE263" i="8"/>
  <c r="AC355" i="1"/>
  <c r="AC38" i="6"/>
  <c r="AD260" i="8"/>
  <c r="AD37" i="6" s="1"/>
  <c r="AD170" i="8"/>
  <c r="AE172" i="8"/>
  <c r="AE25" i="2"/>
  <c r="AF262" i="8"/>
  <c r="AF172" i="8" l="1"/>
  <c r="AF25" i="2"/>
  <c r="AG262" i="8"/>
  <c r="AE170" i="8"/>
  <c r="AE260" i="8"/>
  <c r="AE37" i="6" s="1"/>
  <c r="AD355" i="1"/>
  <c r="AD38" i="6"/>
  <c r="AF261" i="8"/>
  <c r="AF263" i="8"/>
  <c r="AG263" i="8" l="1"/>
  <c r="AG261" i="8"/>
  <c r="AE355" i="1"/>
  <c r="AE38" i="6"/>
  <c r="AF170" i="8"/>
  <c r="AF260" i="8"/>
  <c r="AF37" i="6" s="1"/>
  <c r="AG172" i="8"/>
  <c r="AG25" i="2"/>
  <c r="AH262" i="8"/>
  <c r="AH172" i="8" l="1"/>
  <c r="AH25" i="2"/>
  <c r="AF355" i="1"/>
  <c r="AF38" i="6"/>
  <c r="AH261" i="8"/>
  <c r="AH263" i="8"/>
  <c r="AG170" i="8"/>
  <c r="AG260" i="8"/>
  <c r="AG37" i="6" s="1"/>
  <c r="AG355" i="1" l="1"/>
  <c r="AG38" i="6"/>
  <c r="AH170" i="8"/>
  <c r="AH260" i="8"/>
  <c r="AH37" i="6" s="1"/>
  <c r="AH355" i="1" l="1"/>
  <c r="AH38" i="6"/>
  <c r="B84" i="1" l="1"/>
  <c r="B115" i="1"/>
  <c r="B147" i="8" s="1"/>
  <c r="B18" i="2" s="1"/>
  <c r="D115" i="1"/>
  <c r="D147" i="8" s="1"/>
  <c r="F115" i="1"/>
  <c r="F147" i="8" s="1"/>
  <c r="F18" i="2" s="1"/>
  <c r="B143" i="1"/>
  <c r="B146" i="1"/>
  <c r="D18" i="2"/>
  <c r="C84" i="1" l="1"/>
  <c r="D84" i="1"/>
  <c r="C115" i="1"/>
  <c r="C147" i="8" s="1"/>
  <c r="C18" i="2" s="1"/>
  <c r="E115" i="1"/>
  <c r="E147" i="8" s="1"/>
  <c r="E18" i="2" s="1"/>
  <c r="G115" i="1"/>
  <c r="G147" i="8" s="1"/>
  <c r="G18" i="2" s="1"/>
  <c r="B99" i="8"/>
  <c r="B100" i="8"/>
  <c r="B102" i="8"/>
  <c r="B145" i="8"/>
  <c r="C145" i="8"/>
  <c r="D145" i="8"/>
  <c r="E145" i="8"/>
  <c r="F145" i="8"/>
  <c r="G145" i="8"/>
  <c r="B149" i="8"/>
  <c r="C149" i="8"/>
  <c r="D149" i="8"/>
  <c r="E149" i="8"/>
  <c r="F149" i="8"/>
  <c r="G149" i="8"/>
  <c r="B151" i="8"/>
  <c r="C151" i="8"/>
  <c r="D151" i="8"/>
  <c r="E151" i="8"/>
  <c r="F151" i="8"/>
  <c r="G151" i="8"/>
  <c r="B152" i="8"/>
  <c r="C152" i="8"/>
  <c r="D152" i="8"/>
  <c r="E152" i="8"/>
  <c r="F152" i="8"/>
  <c r="G152" i="8"/>
  <c r="B153" i="8"/>
  <c r="C153" i="8"/>
  <c r="D153" i="8"/>
  <c r="E153" i="8"/>
  <c r="F153" i="8"/>
  <c r="G153" i="8"/>
  <c r="B154" i="8"/>
  <c r="C154" i="8"/>
  <c r="D154" i="8"/>
  <c r="E154" i="8"/>
  <c r="F154" i="8"/>
  <c r="G154" i="8"/>
  <c r="B156" i="8"/>
  <c r="B157" i="8"/>
  <c r="B158" i="8"/>
  <c r="B164" i="8"/>
  <c r="C164" i="8"/>
  <c r="D164" i="8"/>
  <c r="E164" i="8"/>
  <c r="F164" i="8"/>
  <c r="G164" i="8"/>
  <c r="E165" i="8"/>
  <c r="F165" i="8"/>
  <c r="G165" i="8"/>
  <c r="H165" i="8"/>
  <c r="I165" i="8"/>
  <c r="J165" i="8"/>
  <c r="K165" i="8"/>
  <c r="L165" i="8"/>
  <c r="M165" i="8"/>
  <c r="N165" i="8"/>
  <c r="O165" i="8"/>
  <c r="P165" i="8"/>
  <c r="Q165" i="8"/>
  <c r="R165" i="8"/>
  <c r="S165" i="8"/>
  <c r="T165" i="8"/>
  <c r="U165" i="8"/>
  <c r="V165" i="8"/>
  <c r="W165" i="8"/>
  <c r="X165" i="8"/>
  <c r="Y165" i="8"/>
  <c r="Z165" i="8"/>
  <c r="AA165" i="8"/>
  <c r="AB165" i="8"/>
  <c r="AC165" i="8"/>
  <c r="AD165" i="8"/>
  <c r="AE165" i="8"/>
  <c r="AF165" i="8"/>
  <c r="AG165" i="8"/>
  <c r="AH165" i="8"/>
  <c r="B166" i="8"/>
  <c r="C166" i="8"/>
  <c r="D166" i="8"/>
  <c r="E166" i="8"/>
  <c r="F166" i="8"/>
  <c r="G166" i="8"/>
  <c r="H166" i="8"/>
  <c r="I166" i="8"/>
  <c r="J166" i="8"/>
  <c r="K166" i="8"/>
  <c r="L166" i="8"/>
  <c r="M166" i="8"/>
  <c r="N166" i="8"/>
  <c r="O166" i="8"/>
  <c r="P166" i="8"/>
  <c r="Q166" i="8"/>
  <c r="R166" i="8"/>
  <c r="S166" i="8"/>
  <c r="T166" i="8"/>
  <c r="U166" i="8"/>
  <c r="V166" i="8"/>
  <c r="W166" i="8"/>
  <c r="X166" i="8"/>
  <c r="Y166" i="8"/>
  <c r="Z166" i="8"/>
  <c r="AA166" i="8"/>
  <c r="AB166" i="8"/>
  <c r="AC166" i="8"/>
  <c r="AD166" i="8"/>
  <c r="AE166" i="8"/>
  <c r="AF166" i="8"/>
  <c r="AG166" i="8"/>
  <c r="AH166" i="8"/>
  <c r="E169" i="8"/>
  <c r="F169" i="8"/>
  <c r="G169" i="8"/>
  <c r="H169" i="8"/>
  <c r="I169" i="8"/>
  <c r="J169" i="8"/>
  <c r="K169" i="8"/>
  <c r="L169" i="8"/>
  <c r="M169" i="8"/>
  <c r="N169" i="8"/>
  <c r="O169" i="8"/>
  <c r="P169" i="8"/>
  <c r="Q169" i="8"/>
  <c r="R169" i="8"/>
  <c r="S169" i="8"/>
  <c r="T169" i="8"/>
  <c r="U169" i="8"/>
  <c r="V169" i="8"/>
  <c r="W169" i="8"/>
  <c r="X169" i="8"/>
  <c r="Y169" i="8"/>
  <c r="Z169" i="8"/>
  <c r="AA169" i="8"/>
  <c r="AB169" i="8"/>
  <c r="AC169" i="8"/>
  <c r="AD169" i="8"/>
  <c r="AE169" i="8"/>
  <c r="AF169" i="8"/>
  <c r="AG169" i="8"/>
  <c r="AH169" i="8"/>
  <c r="D171" i="8"/>
  <c r="E171" i="8"/>
  <c r="F171" i="8"/>
  <c r="G171" i="8"/>
  <c r="H171" i="8"/>
  <c r="I171" i="8"/>
  <c r="J171" i="8"/>
  <c r="K171" i="8"/>
  <c r="L171" i="8"/>
  <c r="M171" i="8"/>
  <c r="N171" i="8"/>
  <c r="O171" i="8"/>
  <c r="P171" i="8"/>
  <c r="Q171" i="8"/>
  <c r="R171" i="8"/>
  <c r="S171" i="8"/>
  <c r="T171" i="8"/>
  <c r="U171" i="8"/>
  <c r="V171" i="8"/>
  <c r="W171" i="8"/>
  <c r="X171" i="8"/>
  <c r="Y171" i="8"/>
  <c r="Z171" i="8"/>
  <c r="AA171" i="8"/>
  <c r="AB171" i="8"/>
  <c r="AC171" i="8"/>
  <c r="AD171" i="8"/>
  <c r="AE171" i="8"/>
  <c r="AF171" i="8"/>
  <c r="AG171" i="8"/>
  <c r="AH171" i="8"/>
  <c r="D173" i="8"/>
  <c r="E173" i="8"/>
  <c r="F173" i="8"/>
  <c r="G173" i="8"/>
  <c r="H173" i="8"/>
  <c r="I173" i="8"/>
  <c r="J173" i="8"/>
  <c r="K173" i="8"/>
  <c r="L173" i="8"/>
  <c r="M173" i="8"/>
  <c r="N173" i="8"/>
  <c r="O173" i="8"/>
  <c r="P173" i="8"/>
  <c r="Q173" i="8"/>
  <c r="R173" i="8"/>
  <c r="S173" i="8"/>
  <c r="T173" i="8"/>
  <c r="U173" i="8"/>
  <c r="V173" i="8"/>
  <c r="W173" i="8"/>
  <c r="X173" i="8"/>
  <c r="Y173" i="8"/>
  <c r="Z173" i="8"/>
  <c r="AA173" i="8"/>
  <c r="AB173" i="8"/>
  <c r="AC173" i="8"/>
  <c r="AD173" i="8"/>
  <c r="AE173" i="8"/>
  <c r="AF173" i="8"/>
  <c r="AG173" i="8"/>
  <c r="AH173" i="8"/>
  <c r="B174" i="8"/>
  <c r="C174" i="8"/>
  <c r="D174" i="8"/>
  <c r="E174" i="8"/>
  <c r="F174" i="8"/>
  <c r="G174" i="8"/>
  <c r="H174" i="8"/>
  <c r="I174" i="8"/>
  <c r="J174" i="8"/>
  <c r="K174" i="8"/>
  <c r="L174" i="8"/>
  <c r="M174" i="8"/>
  <c r="N174" i="8"/>
  <c r="O174" i="8"/>
  <c r="P174" i="8"/>
  <c r="Q174" i="8"/>
  <c r="R174" i="8"/>
  <c r="S174" i="8"/>
  <c r="T174" i="8"/>
  <c r="U174" i="8"/>
  <c r="V174" i="8"/>
  <c r="W174" i="8"/>
  <c r="X174" i="8"/>
  <c r="Y174" i="8"/>
  <c r="Z174" i="8"/>
  <c r="AA174" i="8"/>
  <c r="AB174" i="8"/>
  <c r="AC174" i="8"/>
  <c r="AD174" i="8"/>
  <c r="AE174" i="8"/>
  <c r="AF174" i="8"/>
  <c r="AG174" i="8"/>
  <c r="AH174" i="8"/>
  <c r="B175" i="8"/>
  <c r="C175" i="8"/>
  <c r="D175" i="8"/>
  <c r="E175" i="8"/>
  <c r="F175" i="8"/>
  <c r="G175" i="8"/>
  <c r="H175" i="8"/>
  <c r="I175" i="8"/>
  <c r="J175" i="8"/>
  <c r="K175" i="8"/>
  <c r="L175" i="8"/>
  <c r="M175" i="8"/>
  <c r="N175" i="8"/>
  <c r="O175" i="8"/>
  <c r="P175" i="8"/>
  <c r="Q175" i="8"/>
  <c r="R175" i="8"/>
  <c r="S175" i="8"/>
  <c r="T175" i="8"/>
  <c r="U175" i="8"/>
  <c r="V175" i="8"/>
  <c r="W175" i="8"/>
  <c r="X175" i="8"/>
  <c r="Y175" i="8"/>
  <c r="Z175" i="8"/>
  <c r="AA175" i="8"/>
  <c r="AB175" i="8"/>
  <c r="AC175" i="8"/>
  <c r="AD175" i="8"/>
  <c r="AE175" i="8"/>
  <c r="AF175" i="8"/>
  <c r="AG175" i="8"/>
  <c r="AH175" i="8"/>
  <c r="B176" i="8"/>
  <c r="C176" i="8"/>
  <c r="D176" i="8"/>
  <c r="E176" i="8"/>
  <c r="F176" i="8"/>
  <c r="G176" i="8"/>
  <c r="H176" i="8"/>
  <c r="I176" i="8"/>
  <c r="J176" i="8"/>
  <c r="K176" i="8"/>
  <c r="L176" i="8"/>
  <c r="M176" i="8"/>
  <c r="N176" i="8"/>
  <c r="O176" i="8"/>
  <c r="P176" i="8"/>
  <c r="Q176" i="8"/>
  <c r="R176" i="8"/>
  <c r="S176" i="8"/>
  <c r="T176" i="8"/>
  <c r="U176" i="8"/>
  <c r="V176" i="8"/>
  <c r="W176" i="8"/>
  <c r="X176" i="8"/>
  <c r="Y176" i="8"/>
  <c r="Z176" i="8"/>
  <c r="AA176" i="8"/>
  <c r="AB176" i="8"/>
  <c r="AC176" i="8"/>
  <c r="AD176" i="8"/>
  <c r="AE176" i="8"/>
  <c r="AF176" i="8"/>
  <c r="AG176" i="8"/>
  <c r="AH176" i="8"/>
  <c r="E182" i="8"/>
  <c r="F182" i="8"/>
  <c r="G182" i="8"/>
  <c r="H182" i="8"/>
  <c r="I182" i="8"/>
  <c r="J182" i="8"/>
  <c r="K182" i="8"/>
  <c r="L182" i="8"/>
  <c r="M182" i="8"/>
  <c r="N182" i="8"/>
  <c r="O182" i="8"/>
  <c r="P182" i="8"/>
  <c r="Q182" i="8"/>
  <c r="R182" i="8"/>
  <c r="S182" i="8"/>
  <c r="T182" i="8"/>
  <c r="U182" i="8"/>
  <c r="V182" i="8"/>
  <c r="W182" i="8"/>
  <c r="X182" i="8"/>
  <c r="Y182" i="8"/>
  <c r="Z182" i="8"/>
  <c r="AA182" i="8"/>
  <c r="AB182" i="8"/>
  <c r="AC182" i="8"/>
  <c r="AD182" i="8"/>
  <c r="AE182" i="8"/>
  <c r="AF182" i="8"/>
  <c r="AG182" i="8"/>
  <c r="AH182" i="8"/>
  <c r="E184" i="8"/>
  <c r="F184" i="8"/>
  <c r="G184" i="8"/>
  <c r="H184" i="8"/>
  <c r="I184" i="8"/>
  <c r="J184" i="8"/>
  <c r="K184" i="8"/>
  <c r="L184" i="8"/>
  <c r="M184" i="8"/>
  <c r="N184" i="8"/>
  <c r="O184" i="8"/>
  <c r="P184" i="8"/>
  <c r="Q184" i="8"/>
  <c r="R184" i="8"/>
  <c r="S184" i="8"/>
  <c r="T184" i="8"/>
  <c r="U184" i="8"/>
  <c r="V184" i="8"/>
  <c r="W184" i="8"/>
  <c r="X184" i="8"/>
  <c r="Y184" i="8"/>
  <c r="Z184" i="8"/>
  <c r="AA184" i="8"/>
  <c r="AB184" i="8"/>
  <c r="AC184" i="8"/>
  <c r="AD184" i="8"/>
  <c r="AE184" i="8"/>
  <c r="AF184" i="8"/>
  <c r="AG184" i="8"/>
  <c r="AH184" i="8"/>
  <c r="E188" i="8"/>
  <c r="F188" i="8"/>
  <c r="G188" i="8"/>
  <c r="H188" i="8"/>
  <c r="I188" i="8"/>
  <c r="J188" i="8"/>
  <c r="K188" i="8"/>
  <c r="L188" i="8"/>
  <c r="M188" i="8"/>
  <c r="N188" i="8"/>
  <c r="O188" i="8"/>
  <c r="P188" i="8"/>
  <c r="Q188" i="8"/>
  <c r="R188" i="8"/>
  <c r="S188" i="8"/>
  <c r="T188" i="8"/>
  <c r="U188" i="8"/>
  <c r="V188" i="8"/>
  <c r="W188" i="8"/>
  <c r="X188" i="8"/>
  <c r="Y188" i="8"/>
  <c r="Z188" i="8"/>
  <c r="AA188" i="8"/>
  <c r="AB188" i="8"/>
  <c r="AC188" i="8"/>
  <c r="AD188" i="8"/>
  <c r="AE188" i="8"/>
  <c r="AF188" i="8"/>
  <c r="AG188" i="8"/>
  <c r="AH188" i="8"/>
  <c r="M189" i="8"/>
  <c r="M190" i="8"/>
  <c r="B197" i="8"/>
  <c r="C197" i="8"/>
  <c r="D197" i="8"/>
  <c r="E197" i="8"/>
  <c r="F197" i="8"/>
  <c r="G197" i="8"/>
  <c r="H197" i="8"/>
  <c r="I197" i="8"/>
  <c r="J197" i="8"/>
  <c r="K197" i="8"/>
  <c r="L197" i="8"/>
  <c r="M197" i="8"/>
  <c r="N197" i="8"/>
  <c r="O197" i="8"/>
  <c r="P197" i="8"/>
  <c r="Q197" i="8"/>
  <c r="R197" i="8"/>
  <c r="S197" i="8"/>
  <c r="T197" i="8"/>
  <c r="U197" i="8"/>
  <c r="V197" i="8"/>
  <c r="W197" i="8"/>
  <c r="X197" i="8"/>
  <c r="Y197" i="8"/>
  <c r="Z197" i="8"/>
  <c r="AA197" i="8"/>
  <c r="AB197" i="8"/>
  <c r="AC197" i="8"/>
  <c r="AD197" i="8"/>
  <c r="AE197" i="8"/>
  <c r="AF197" i="8"/>
  <c r="AG197" i="8"/>
  <c r="AH197" i="8"/>
  <c r="B199" i="8"/>
  <c r="C199" i="8"/>
  <c r="D199" i="8"/>
  <c r="E199" i="8"/>
  <c r="F199" i="8"/>
  <c r="G199" i="8"/>
  <c r="H199" i="8"/>
  <c r="I199" i="8"/>
  <c r="J199" i="8"/>
  <c r="K199" i="8"/>
  <c r="L199" i="8"/>
  <c r="M199" i="8"/>
  <c r="N199" i="8"/>
  <c r="O199" i="8"/>
  <c r="P199" i="8"/>
  <c r="Q199" i="8"/>
  <c r="R199" i="8"/>
  <c r="S199" i="8"/>
  <c r="T199" i="8"/>
  <c r="U199" i="8"/>
  <c r="V199" i="8"/>
  <c r="W199" i="8"/>
  <c r="X199" i="8"/>
  <c r="Y199" i="8"/>
  <c r="Z199" i="8"/>
  <c r="AA199" i="8"/>
  <c r="AB199" i="8"/>
  <c r="AC199" i="8"/>
  <c r="AD199" i="8"/>
  <c r="AE199" i="8"/>
  <c r="AF199" i="8"/>
  <c r="AG199" i="8"/>
  <c r="AH199" i="8"/>
  <c r="D201" i="8"/>
  <c r="E201" i="8"/>
  <c r="F201" i="8"/>
  <c r="G201" i="8"/>
  <c r="H201" i="8"/>
  <c r="I201" i="8"/>
  <c r="J201" i="8"/>
  <c r="K201" i="8"/>
  <c r="L201" i="8"/>
  <c r="M201" i="8"/>
  <c r="N201" i="8"/>
  <c r="O201" i="8"/>
  <c r="P201" i="8"/>
  <c r="Q201" i="8"/>
  <c r="R201" i="8"/>
  <c r="S201" i="8"/>
  <c r="T201" i="8"/>
  <c r="U201" i="8"/>
  <c r="V201" i="8"/>
  <c r="W201" i="8"/>
  <c r="X201" i="8"/>
  <c r="Y201" i="8"/>
  <c r="Z201" i="8"/>
  <c r="AA201" i="8"/>
  <c r="AB201" i="8"/>
  <c r="AC201" i="8"/>
  <c r="AD201" i="8"/>
  <c r="AE201" i="8"/>
  <c r="AF201" i="8"/>
  <c r="AG201" i="8"/>
  <c r="AH201" i="8"/>
  <c r="E205" i="8"/>
  <c r="F205" i="8"/>
  <c r="G205" i="8"/>
  <c r="H205" i="8"/>
  <c r="I205" i="8"/>
  <c r="J205" i="8"/>
  <c r="K205" i="8"/>
  <c r="L205" i="8"/>
  <c r="M205" i="8"/>
  <c r="N205" i="8"/>
  <c r="O205" i="8"/>
  <c r="P205" i="8"/>
  <c r="Q205" i="8"/>
  <c r="R205" i="8"/>
  <c r="S205" i="8"/>
  <c r="T205" i="8"/>
  <c r="U205" i="8"/>
  <c r="V205" i="8"/>
  <c r="W205" i="8"/>
  <c r="X205" i="8"/>
  <c r="Y205" i="8"/>
  <c r="Z205" i="8"/>
  <c r="AA205" i="8"/>
  <c r="AB205" i="8"/>
  <c r="AC205" i="8"/>
  <c r="AD205" i="8"/>
  <c r="AE205" i="8"/>
  <c r="AF205" i="8"/>
  <c r="AG205" i="8"/>
  <c r="AH205" i="8"/>
  <c r="B207" i="8"/>
  <c r="C207" i="8"/>
  <c r="D207" i="8"/>
  <c r="E207" i="8"/>
  <c r="F207" i="8"/>
  <c r="G207" i="8"/>
  <c r="H207" i="8"/>
  <c r="I207" i="8"/>
  <c r="J207" i="8"/>
  <c r="K207" i="8"/>
  <c r="L207" i="8"/>
  <c r="M207" i="8"/>
  <c r="N207" i="8"/>
  <c r="O207" i="8"/>
  <c r="P207" i="8"/>
  <c r="Q207" i="8"/>
  <c r="R207" i="8"/>
  <c r="S207" i="8"/>
  <c r="T207" i="8"/>
  <c r="U207" i="8"/>
  <c r="V207" i="8"/>
  <c r="W207" i="8"/>
  <c r="X207" i="8"/>
  <c r="Y207" i="8"/>
  <c r="Z207" i="8"/>
  <c r="AA207" i="8"/>
  <c r="AB207" i="8"/>
  <c r="AC207" i="8"/>
  <c r="AD207" i="8"/>
  <c r="AE207" i="8"/>
  <c r="AF207" i="8"/>
  <c r="AG207" i="8"/>
  <c r="AH207" i="8"/>
  <c r="B209" i="8"/>
  <c r="C209" i="8"/>
  <c r="D209" i="8"/>
  <c r="E209" i="8"/>
  <c r="F209" i="8"/>
  <c r="G209" i="8"/>
  <c r="H209" i="8"/>
  <c r="I209" i="8"/>
  <c r="J209" i="8"/>
  <c r="K209" i="8"/>
  <c r="L209" i="8"/>
  <c r="M209" i="8"/>
  <c r="N209" i="8"/>
  <c r="O209" i="8"/>
  <c r="P209" i="8"/>
  <c r="Q209" i="8"/>
  <c r="R209" i="8"/>
  <c r="S209" i="8"/>
  <c r="T209" i="8"/>
  <c r="U209" i="8"/>
  <c r="V209" i="8"/>
  <c r="W209" i="8"/>
  <c r="X209" i="8"/>
  <c r="Y209" i="8"/>
  <c r="Z209" i="8"/>
  <c r="AA209" i="8"/>
  <c r="AB209" i="8"/>
  <c r="AC209" i="8"/>
  <c r="AD209" i="8"/>
  <c r="AE209" i="8"/>
  <c r="AF209" i="8"/>
  <c r="AG209" i="8"/>
  <c r="AH209" i="8"/>
  <c r="B213" i="8"/>
  <c r="C213" i="8"/>
  <c r="D213" i="8"/>
  <c r="E213" i="8"/>
  <c r="F213" i="8"/>
  <c r="G213" i="8"/>
  <c r="H213" i="8"/>
  <c r="I213" i="8"/>
  <c r="J213" i="8"/>
  <c r="K213" i="8"/>
  <c r="L213" i="8"/>
  <c r="M213" i="8"/>
  <c r="N213" i="8"/>
  <c r="O213" i="8"/>
  <c r="P213" i="8"/>
  <c r="Q213" i="8"/>
  <c r="R213" i="8"/>
  <c r="S213" i="8"/>
  <c r="T213" i="8"/>
  <c r="U213" i="8"/>
  <c r="V213" i="8"/>
  <c r="W213" i="8"/>
  <c r="X213" i="8"/>
  <c r="Y213" i="8"/>
  <c r="Z213" i="8"/>
  <c r="AA213" i="8"/>
  <c r="AB213" i="8"/>
  <c r="AC213" i="8"/>
  <c r="AD213" i="8"/>
  <c r="AE213" i="8"/>
  <c r="AF213" i="8"/>
  <c r="AG213" i="8"/>
  <c r="AH213" i="8"/>
  <c r="B215" i="8"/>
  <c r="C215" i="8"/>
  <c r="D215" i="8"/>
  <c r="E215" i="8"/>
  <c r="F215" i="8"/>
  <c r="G215" i="8"/>
  <c r="H215" i="8"/>
  <c r="I215" i="8"/>
  <c r="J215" i="8"/>
  <c r="K215" i="8"/>
  <c r="L215" i="8"/>
  <c r="M215" i="8"/>
  <c r="N215" i="8"/>
  <c r="O215" i="8"/>
  <c r="P215" i="8"/>
  <c r="Q215" i="8"/>
  <c r="R215" i="8"/>
  <c r="S215" i="8"/>
  <c r="T215" i="8"/>
  <c r="U215" i="8"/>
  <c r="V215" i="8"/>
  <c r="W215" i="8"/>
  <c r="X215" i="8"/>
  <c r="Y215" i="8"/>
  <c r="Z215" i="8"/>
  <c r="AA215" i="8"/>
  <c r="AB215" i="8"/>
  <c r="AC215" i="8"/>
  <c r="AD215" i="8"/>
  <c r="AE215" i="8"/>
  <c r="AF215" i="8"/>
  <c r="AG215" i="8"/>
  <c r="AH215" i="8"/>
  <c r="B217" i="8"/>
  <c r="C217" i="8"/>
  <c r="D217" i="8"/>
  <c r="E217" i="8"/>
  <c r="F217" i="8"/>
  <c r="G217" i="8"/>
  <c r="H217" i="8"/>
  <c r="I217" i="8"/>
  <c r="J217" i="8"/>
  <c r="K217" i="8"/>
  <c r="L217" i="8"/>
  <c r="M217" i="8"/>
  <c r="N217" i="8"/>
  <c r="O217" i="8"/>
  <c r="P217" i="8"/>
  <c r="Q217" i="8"/>
  <c r="R217" i="8"/>
  <c r="S217" i="8"/>
  <c r="T217" i="8"/>
  <c r="U217" i="8"/>
  <c r="V217" i="8"/>
  <c r="W217" i="8"/>
  <c r="X217" i="8"/>
  <c r="Y217" i="8"/>
  <c r="Z217" i="8"/>
  <c r="AA217" i="8"/>
  <c r="AB217" i="8"/>
  <c r="AC217" i="8"/>
  <c r="AD217" i="8"/>
  <c r="AE217" i="8"/>
  <c r="AF217" i="8"/>
  <c r="AG217" i="8"/>
  <c r="AH217" i="8"/>
  <c r="B221" i="8"/>
  <c r="C221" i="8"/>
  <c r="D221" i="8"/>
  <c r="E221" i="8"/>
  <c r="F221" i="8"/>
  <c r="G221" i="8"/>
  <c r="H221" i="8"/>
  <c r="I221" i="8"/>
  <c r="J221" i="8"/>
  <c r="K221" i="8"/>
  <c r="L221" i="8"/>
  <c r="M221" i="8"/>
  <c r="N221" i="8"/>
  <c r="O221" i="8"/>
  <c r="P221" i="8"/>
  <c r="Q221" i="8"/>
  <c r="R221" i="8"/>
  <c r="S221" i="8"/>
  <c r="T221" i="8"/>
  <c r="U221" i="8"/>
  <c r="V221" i="8"/>
  <c r="W221" i="8"/>
  <c r="X221" i="8"/>
  <c r="Y221" i="8"/>
  <c r="Z221" i="8"/>
  <c r="AA221" i="8"/>
  <c r="AB221" i="8"/>
  <c r="AC221" i="8"/>
  <c r="AD221" i="8"/>
  <c r="AE221" i="8"/>
  <c r="AF221" i="8"/>
  <c r="AG221" i="8"/>
  <c r="AH221" i="8"/>
  <c r="B223" i="8"/>
  <c r="C223" i="8"/>
  <c r="D223" i="8"/>
  <c r="E223" i="8"/>
  <c r="F223" i="8"/>
  <c r="G223" i="8"/>
  <c r="H223" i="8"/>
  <c r="I223" i="8"/>
  <c r="J223" i="8"/>
  <c r="K223" i="8"/>
  <c r="L223" i="8"/>
  <c r="M223" i="8"/>
  <c r="N223" i="8"/>
  <c r="O223" i="8"/>
  <c r="P223" i="8"/>
  <c r="Q223" i="8"/>
  <c r="R223" i="8"/>
  <c r="S223" i="8"/>
  <c r="T223" i="8"/>
  <c r="U223" i="8"/>
  <c r="V223" i="8"/>
  <c r="W223" i="8"/>
  <c r="X223" i="8"/>
  <c r="Y223" i="8"/>
  <c r="Z223" i="8"/>
  <c r="AA223" i="8"/>
  <c r="AB223" i="8"/>
  <c r="AC223" i="8"/>
  <c r="AD223" i="8"/>
  <c r="AE223" i="8"/>
  <c r="AF223" i="8"/>
  <c r="AG223" i="8"/>
  <c r="AH223" i="8"/>
  <c r="B225" i="8"/>
  <c r="C225" i="8"/>
  <c r="D225" i="8"/>
  <c r="E225" i="8"/>
  <c r="F225" i="8"/>
  <c r="G225" i="8"/>
  <c r="H225" i="8"/>
  <c r="I225" i="8"/>
  <c r="J225" i="8"/>
  <c r="K225" i="8"/>
  <c r="L225" i="8"/>
  <c r="M225" i="8"/>
  <c r="N225" i="8"/>
  <c r="O225" i="8"/>
  <c r="P225" i="8"/>
  <c r="Q225" i="8"/>
  <c r="R225" i="8"/>
  <c r="S225" i="8"/>
  <c r="T225" i="8"/>
  <c r="U225" i="8"/>
  <c r="V225" i="8"/>
  <c r="W225" i="8"/>
  <c r="X225" i="8"/>
  <c r="Y225" i="8"/>
  <c r="Z225" i="8"/>
  <c r="AA225" i="8"/>
  <c r="AB225" i="8"/>
  <c r="AC225" i="8"/>
  <c r="AD225" i="8"/>
  <c r="AE225" i="8"/>
  <c r="AF225" i="8"/>
  <c r="AG225" i="8"/>
  <c r="AH225" i="8"/>
  <c r="B227" i="8"/>
  <c r="C227" i="8"/>
  <c r="D227" i="8"/>
  <c r="E227" i="8"/>
  <c r="F227" i="8"/>
  <c r="G227" i="8"/>
  <c r="H227" i="8"/>
  <c r="I227" i="8"/>
  <c r="J227" i="8"/>
  <c r="K227" i="8"/>
  <c r="L227" i="8"/>
  <c r="M227" i="8"/>
  <c r="N227" i="8"/>
  <c r="O227" i="8"/>
  <c r="P227" i="8"/>
  <c r="Q227" i="8"/>
  <c r="R227" i="8"/>
  <c r="S227" i="8"/>
  <c r="T227" i="8"/>
  <c r="U227" i="8"/>
  <c r="V227" i="8"/>
  <c r="W227" i="8"/>
  <c r="X227" i="8"/>
  <c r="Y227" i="8"/>
  <c r="Z227" i="8"/>
  <c r="AA227" i="8"/>
  <c r="AB227" i="8"/>
  <c r="AC227" i="8"/>
  <c r="AD227" i="8"/>
  <c r="AE227" i="8"/>
  <c r="AF227" i="8"/>
  <c r="AG227" i="8"/>
  <c r="AH227" i="8"/>
  <c r="E233" i="8"/>
  <c r="F233" i="8"/>
  <c r="G233" i="8"/>
  <c r="H233" i="8"/>
  <c r="I233" i="8"/>
  <c r="J233" i="8"/>
  <c r="K233" i="8"/>
  <c r="L233" i="8"/>
  <c r="M233" i="8"/>
  <c r="N233" i="8"/>
  <c r="O233" i="8"/>
  <c r="P233" i="8"/>
  <c r="Q233" i="8"/>
  <c r="R233" i="8"/>
  <c r="S233" i="8"/>
  <c r="T233" i="8"/>
  <c r="U233" i="8"/>
  <c r="V233" i="8"/>
  <c r="W233" i="8"/>
  <c r="X233" i="8"/>
  <c r="Y233" i="8"/>
  <c r="Z233" i="8"/>
  <c r="AA233" i="8"/>
  <c r="AB233" i="8"/>
  <c r="AC233" i="8"/>
  <c r="AD233" i="8"/>
  <c r="AE233" i="8"/>
  <c r="AF233" i="8"/>
  <c r="AG233" i="8"/>
  <c r="AH233" i="8"/>
  <c r="E235" i="8"/>
  <c r="F235" i="8"/>
  <c r="G235" i="8"/>
  <c r="H235" i="8"/>
  <c r="I235" i="8"/>
  <c r="J235" i="8"/>
  <c r="K235" i="8"/>
  <c r="L235" i="8"/>
  <c r="M235" i="8"/>
  <c r="N235" i="8"/>
  <c r="O235" i="8"/>
  <c r="P235" i="8"/>
  <c r="Q235" i="8"/>
  <c r="R235" i="8"/>
  <c r="S235" i="8"/>
  <c r="T235" i="8"/>
  <c r="U235" i="8"/>
  <c r="V235" i="8"/>
  <c r="W235" i="8"/>
  <c r="X235" i="8"/>
  <c r="Y235" i="8"/>
  <c r="Z235" i="8"/>
  <c r="AA235" i="8"/>
  <c r="AB235" i="8"/>
  <c r="AC235" i="8"/>
  <c r="AD235" i="8"/>
  <c r="AE235" i="8"/>
  <c r="AF235" i="8"/>
  <c r="AG235" i="8"/>
  <c r="AH235" i="8"/>
  <c r="E237" i="8"/>
  <c r="F237" i="8"/>
  <c r="G237" i="8"/>
  <c r="H237" i="8"/>
  <c r="I237" i="8"/>
  <c r="J237" i="8"/>
  <c r="K237" i="8"/>
  <c r="L237" i="8"/>
  <c r="M237" i="8"/>
  <c r="N237" i="8"/>
  <c r="O237" i="8"/>
  <c r="P237" i="8"/>
  <c r="Q237" i="8"/>
  <c r="R237" i="8"/>
  <c r="S237" i="8"/>
  <c r="T237" i="8"/>
  <c r="U237" i="8"/>
  <c r="V237" i="8"/>
  <c r="W237" i="8"/>
  <c r="X237" i="8"/>
  <c r="Y237" i="8"/>
  <c r="Z237" i="8"/>
  <c r="AA237" i="8"/>
  <c r="AB237" i="8"/>
  <c r="AC237" i="8"/>
  <c r="AD237" i="8"/>
  <c r="AE237" i="8"/>
  <c r="AF237" i="8"/>
  <c r="AG237" i="8"/>
  <c r="AH237" i="8"/>
  <c r="D238" i="8"/>
  <c r="E238" i="8"/>
  <c r="F238" i="8"/>
  <c r="G238" i="8"/>
  <c r="H238" i="8"/>
  <c r="I238" i="8"/>
  <c r="J238" i="8"/>
  <c r="K238" i="8"/>
  <c r="L238" i="8"/>
  <c r="M238" i="8"/>
  <c r="N238" i="8"/>
  <c r="O238" i="8"/>
  <c r="P238" i="8"/>
  <c r="Q238" i="8"/>
  <c r="R238" i="8"/>
  <c r="S238" i="8"/>
  <c r="T238" i="8"/>
  <c r="U238" i="8"/>
  <c r="V238" i="8"/>
  <c r="W238" i="8"/>
  <c r="X238" i="8"/>
  <c r="Y238" i="8"/>
  <c r="Z238" i="8"/>
  <c r="AA238" i="8"/>
  <c r="AB238" i="8"/>
  <c r="AC238" i="8"/>
  <c r="AD238" i="8"/>
  <c r="AE238" i="8"/>
  <c r="AF238" i="8"/>
  <c r="AG238" i="8"/>
  <c r="AH238" i="8"/>
  <c r="B239" i="8"/>
  <c r="C239" i="8"/>
  <c r="D239" i="8"/>
  <c r="E239" i="8"/>
  <c r="F239" i="8"/>
  <c r="G239" i="8"/>
  <c r="B240" i="8"/>
  <c r="C240" i="8"/>
  <c r="D240" i="8"/>
  <c r="E240" i="8"/>
  <c r="F240" i="8"/>
  <c r="G240" i="8"/>
  <c r="H240" i="8"/>
  <c r="I240" i="8"/>
  <c r="J240" i="8"/>
  <c r="K240" i="8"/>
  <c r="L240" i="8"/>
  <c r="M240" i="8"/>
  <c r="N240" i="8"/>
  <c r="O240" i="8"/>
  <c r="P240" i="8"/>
  <c r="Q240" i="8"/>
  <c r="R240" i="8"/>
  <c r="S240" i="8"/>
  <c r="T240" i="8"/>
  <c r="U240" i="8"/>
  <c r="V240" i="8"/>
  <c r="W240" i="8"/>
  <c r="X240" i="8"/>
  <c r="Y240" i="8"/>
  <c r="Z240" i="8"/>
  <c r="AA240" i="8"/>
  <c r="AB240" i="8"/>
  <c r="AC240" i="8"/>
  <c r="AD240" i="8"/>
  <c r="AE240" i="8"/>
  <c r="AF240" i="8"/>
  <c r="AG240" i="8"/>
  <c r="AH240" i="8"/>
  <c r="B241" i="8"/>
  <c r="C241" i="8"/>
  <c r="D241" i="8"/>
  <c r="E241" i="8"/>
  <c r="F241" i="8"/>
  <c r="G241" i="8"/>
  <c r="H241" i="8"/>
  <c r="I241" i="8"/>
  <c r="J241" i="8"/>
  <c r="K241" i="8"/>
  <c r="L241" i="8"/>
  <c r="M241" i="8"/>
  <c r="N241" i="8"/>
  <c r="O241" i="8"/>
  <c r="P241" i="8"/>
  <c r="Q241" i="8"/>
  <c r="R241" i="8"/>
  <c r="S241" i="8"/>
  <c r="T241" i="8"/>
  <c r="U241" i="8"/>
  <c r="V241" i="8"/>
  <c r="W241" i="8"/>
  <c r="X241" i="8"/>
  <c r="Y241" i="8"/>
  <c r="Z241" i="8"/>
  <c r="AA241" i="8"/>
  <c r="AB241" i="8"/>
  <c r="AC241" i="8"/>
  <c r="AD241" i="8"/>
  <c r="AE241" i="8"/>
  <c r="AF241" i="8"/>
  <c r="AG241" i="8"/>
  <c r="AH241" i="8"/>
  <c r="M242" i="8"/>
  <c r="M243" i="8"/>
  <c r="D252" i="8"/>
  <c r="E252" i="8"/>
  <c r="F252" i="8"/>
  <c r="G252" i="8"/>
  <c r="H252" i="8"/>
  <c r="I252" i="8"/>
  <c r="J252" i="8"/>
  <c r="K252" i="8"/>
  <c r="L252" i="8"/>
  <c r="M252" i="8"/>
  <c r="N252" i="8"/>
  <c r="O252" i="8"/>
  <c r="P252" i="8"/>
  <c r="Q252" i="8"/>
  <c r="R252" i="8"/>
  <c r="S252" i="8"/>
  <c r="T252" i="8"/>
  <c r="U252" i="8"/>
  <c r="V252" i="8"/>
  <c r="W252" i="8"/>
  <c r="X252" i="8"/>
  <c r="Y252" i="8"/>
  <c r="Z252" i="8"/>
  <c r="AA252" i="8"/>
  <c r="AB252" i="8"/>
  <c r="AC252" i="8"/>
  <c r="AD252" i="8"/>
  <c r="AE252" i="8"/>
  <c r="AF252" i="8"/>
  <c r="AG252" i="8"/>
  <c r="AH252" i="8"/>
  <c r="E253" i="8"/>
  <c r="F253" i="8"/>
  <c r="G253" i="8"/>
  <c r="H253" i="8"/>
  <c r="I253" i="8"/>
  <c r="J253" i="8"/>
  <c r="K253" i="8"/>
  <c r="L253" i="8"/>
  <c r="M253" i="8"/>
  <c r="N253" i="8"/>
  <c r="O253" i="8"/>
  <c r="P253" i="8"/>
  <c r="Q253" i="8"/>
  <c r="R253" i="8"/>
  <c r="S253" i="8"/>
  <c r="T253" i="8"/>
  <c r="U253" i="8"/>
  <c r="V253" i="8"/>
  <c r="W253" i="8"/>
  <c r="X253" i="8"/>
  <c r="Y253" i="8"/>
  <c r="Z253" i="8"/>
  <c r="AA253" i="8"/>
  <c r="AB253" i="8"/>
  <c r="AC253" i="8"/>
  <c r="AD253" i="8"/>
  <c r="AE253" i="8"/>
  <c r="AF253" i="8"/>
  <c r="AG253" i="8"/>
  <c r="AH253" i="8"/>
  <c r="D254" i="8"/>
  <c r="E254" i="8"/>
  <c r="F254" i="8"/>
  <c r="G254" i="8"/>
  <c r="H254" i="8"/>
  <c r="I254" i="8"/>
  <c r="J254" i="8"/>
  <c r="K254" i="8"/>
  <c r="L254" i="8"/>
  <c r="M254" i="8"/>
  <c r="N254" i="8"/>
  <c r="O254" i="8"/>
  <c r="P254" i="8"/>
  <c r="Q254" i="8"/>
  <c r="R254" i="8"/>
  <c r="S254" i="8"/>
  <c r="T254" i="8"/>
  <c r="U254" i="8"/>
  <c r="V254" i="8"/>
  <c r="W254" i="8"/>
  <c r="X254" i="8"/>
  <c r="Y254" i="8"/>
  <c r="Z254" i="8"/>
  <c r="AA254" i="8"/>
  <c r="AB254" i="8"/>
  <c r="AC254" i="8"/>
  <c r="AD254" i="8"/>
  <c r="AE254" i="8"/>
  <c r="AF254" i="8"/>
  <c r="AG254" i="8"/>
  <c r="AH254" i="8"/>
  <c r="D255" i="8"/>
  <c r="E255" i="8"/>
  <c r="F255" i="8"/>
  <c r="G255" i="8"/>
  <c r="H255" i="8"/>
  <c r="I255" i="8"/>
  <c r="J255" i="8"/>
  <c r="K255" i="8"/>
  <c r="L255" i="8"/>
  <c r="M255" i="8"/>
  <c r="N255" i="8"/>
  <c r="O255" i="8"/>
  <c r="P255" i="8"/>
  <c r="Q255" i="8"/>
  <c r="R255" i="8"/>
  <c r="S255" i="8"/>
  <c r="T255" i="8"/>
  <c r="U255" i="8"/>
  <c r="V255" i="8"/>
  <c r="W255" i="8"/>
  <c r="X255" i="8"/>
  <c r="Y255" i="8"/>
  <c r="Z255" i="8"/>
  <c r="AA255" i="8"/>
  <c r="AB255" i="8"/>
  <c r="AC255" i="8"/>
  <c r="AD255" i="8"/>
  <c r="AE255" i="8"/>
  <c r="AF255" i="8"/>
  <c r="AG255" i="8"/>
  <c r="AH255" i="8"/>
  <c r="E271" i="8"/>
  <c r="F271" i="8"/>
  <c r="G271" i="8"/>
  <c r="H271" i="8"/>
  <c r="I271" i="8"/>
  <c r="J271" i="8"/>
  <c r="K271" i="8"/>
  <c r="L271" i="8"/>
  <c r="M271" i="8"/>
  <c r="N271" i="8"/>
  <c r="O271" i="8"/>
  <c r="P271" i="8"/>
  <c r="Q271" i="8"/>
  <c r="R271" i="8"/>
  <c r="S271" i="8"/>
  <c r="T271" i="8"/>
  <c r="U271" i="8"/>
  <c r="V271" i="8"/>
  <c r="W271" i="8"/>
  <c r="X271" i="8"/>
  <c r="Y271" i="8"/>
  <c r="Z271" i="8"/>
  <c r="AA271" i="8"/>
  <c r="AB271" i="8"/>
  <c r="AC271" i="8"/>
  <c r="AD271" i="8"/>
  <c r="AE271" i="8"/>
  <c r="AF271" i="8"/>
  <c r="AG271" i="8"/>
  <c r="AH271" i="8"/>
  <c r="F272" i="8"/>
  <c r="G272" i="8"/>
  <c r="H272" i="8"/>
  <c r="I272" i="8"/>
  <c r="J272" i="8"/>
  <c r="K272" i="8"/>
  <c r="L272" i="8"/>
  <c r="M272" i="8"/>
  <c r="N272" i="8"/>
  <c r="O272" i="8"/>
  <c r="P272" i="8"/>
  <c r="Q272" i="8"/>
  <c r="R272" i="8"/>
  <c r="S272" i="8"/>
  <c r="T272" i="8"/>
  <c r="U272" i="8"/>
  <c r="V272" i="8"/>
  <c r="W272" i="8"/>
  <c r="X272" i="8"/>
  <c r="Y272" i="8"/>
  <c r="Z272" i="8"/>
  <c r="AA272" i="8"/>
  <c r="AB272" i="8"/>
  <c r="AC272" i="8"/>
  <c r="AD272" i="8"/>
  <c r="AE272" i="8"/>
  <c r="AF272" i="8"/>
  <c r="AG272" i="8"/>
  <c r="AH272" i="8"/>
  <c r="E273" i="8"/>
  <c r="F273" i="8"/>
  <c r="G273" i="8"/>
  <c r="H273" i="8"/>
  <c r="I273" i="8"/>
  <c r="J273" i="8"/>
  <c r="K273" i="8"/>
  <c r="L273" i="8"/>
  <c r="M273" i="8"/>
  <c r="N273" i="8"/>
  <c r="O273" i="8"/>
  <c r="P273" i="8"/>
  <c r="Q273" i="8"/>
  <c r="R273" i="8"/>
  <c r="S273" i="8"/>
  <c r="T273" i="8"/>
  <c r="U273" i="8"/>
  <c r="V273" i="8"/>
  <c r="W273" i="8"/>
  <c r="X273" i="8"/>
  <c r="Y273" i="8"/>
  <c r="Z273" i="8"/>
  <c r="AA273" i="8"/>
  <c r="AB273" i="8"/>
  <c r="AC273" i="8"/>
  <c r="AD273" i="8"/>
  <c r="AE273" i="8"/>
  <c r="AF273" i="8"/>
  <c r="AG273" i="8"/>
  <c r="AH273" i="8"/>
  <c r="E274" i="8"/>
  <c r="F274" i="8"/>
  <c r="G274" i="8"/>
  <c r="H274" i="8"/>
  <c r="I274" i="8"/>
  <c r="J274" i="8"/>
  <c r="K274" i="8"/>
  <c r="L274" i="8"/>
  <c r="M274" i="8"/>
  <c r="N274" i="8"/>
  <c r="O274" i="8"/>
  <c r="P274" i="8"/>
  <c r="Q274" i="8"/>
  <c r="R274" i="8"/>
  <c r="S274" i="8"/>
  <c r="T274" i="8"/>
  <c r="U274" i="8"/>
  <c r="V274" i="8"/>
  <c r="W274" i="8"/>
  <c r="X274" i="8"/>
  <c r="Y274" i="8"/>
  <c r="Z274" i="8"/>
  <c r="AA274" i="8"/>
  <c r="AB274" i="8"/>
  <c r="AC274" i="8"/>
  <c r="AD274" i="8"/>
  <c r="AE274" i="8"/>
  <c r="AF274" i="8"/>
  <c r="AG274" i="8"/>
  <c r="AH274" i="8"/>
  <c r="B288" i="8"/>
  <c r="C288" i="8"/>
  <c r="D288" i="8"/>
  <c r="E288" i="8"/>
  <c r="F288" i="8"/>
  <c r="G288" i="8"/>
  <c r="H288" i="8"/>
  <c r="I288" i="8"/>
  <c r="J288" i="8"/>
  <c r="K288" i="8"/>
  <c r="L288" i="8"/>
  <c r="M288" i="8"/>
  <c r="N288" i="8"/>
  <c r="O288" i="8"/>
  <c r="P288" i="8"/>
  <c r="Q288" i="8"/>
  <c r="R288" i="8"/>
  <c r="S288" i="8"/>
  <c r="T288" i="8"/>
  <c r="U288" i="8"/>
  <c r="V288" i="8"/>
  <c r="W288" i="8"/>
  <c r="X288" i="8"/>
  <c r="Y288" i="8"/>
  <c r="Z288" i="8"/>
  <c r="AA288" i="8"/>
  <c r="AB288" i="8"/>
  <c r="AC288" i="8"/>
  <c r="AD288" i="8"/>
  <c r="AE288" i="8"/>
  <c r="AF288" i="8"/>
  <c r="AG288" i="8"/>
  <c r="AH288" i="8"/>
  <c r="B289" i="8"/>
  <c r="C289" i="8"/>
  <c r="D289" i="8"/>
  <c r="E289" i="8"/>
  <c r="F289" i="8"/>
  <c r="G289" i="8"/>
  <c r="H289" i="8"/>
  <c r="I289" i="8"/>
  <c r="J289" i="8"/>
  <c r="K289" i="8"/>
  <c r="L289" i="8"/>
  <c r="M289" i="8"/>
  <c r="N289" i="8"/>
  <c r="O289" i="8"/>
  <c r="P289" i="8"/>
  <c r="Q289" i="8"/>
  <c r="R289" i="8"/>
  <c r="S289" i="8"/>
  <c r="T289" i="8"/>
  <c r="U289" i="8"/>
  <c r="V289" i="8"/>
  <c r="W289" i="8"/>
  <c r="X289" i="8"/>
  <c r="Y289" i="8"/>
  <c r="Z289" i="8"/>
  <c r="AA289" i="8"/>
  <c r="AB289" i="8"/>
  <c r="AC289" i="8"/>
  <c r="AD289" i="8"/>
  <c r="AE289" i="8"/>
  <c r="AF289" i="8"/>
  <c r="AG289" i="8"/>
  <c r="AH289" i="8"/>
  <c r="E290" i="8"/>
  <c r="F290" i="8"/>
  <c r="G290" i="8"/>
  <c r="H290" i="8"/>
  <c r="I290" i="8"/>
  <c r="J290" i="8"/>
  <c r="K290" i="8"/>
  <c r="L290" i="8"/>
  <c r="M290" i="8"/>
  <c r="N290" i="8"/>
  <c r="O290" i="8"/>
  <c r="P290" i="8"/>
  <c r="Q290" i="8"/>
  <c r="R290" i="8"/>
  <c r="S290" i="8"/>
  <c r="T290" i="8"/>
  <c r="U290" i="8"/>
  <c r="V290" i="8"/>
  <c r="W290" i="8"/>
  <c r="X290" i="8"/>
  <c r="Y290" i="8"/>
  <c r="Z290" i="8"/>
  <c r="AA290" i="8"/>
  <c r="AB290" i="8"/>
  <c r="AC290" i="8"/>
  <c r="AD290" i="8"/>
  <c r="AE290" i="8"/>
  <c r="AF290" i="8"/>
  <c r="AG290" i="8"/>
  <c r="AH290" i="8"/>
  <c r="E291" i="8"/>
  <c r="F291" i="8"/>
  <c r="G291" i="8"/>
  <c r="H291" i="8"/>
  <c r="I291" i="8"/>
  <c r="J291" i="8"/>
  <c r="K291" i="8"/>
  <c r="L291" i="8"/>
  <c r="M291" i="8"/>
  <c r="N291" i="8"/>
  <c r="O291" i="8"/>
  <c r="P291" i="8"/>
  <c r="Q291" i="8"/>
  <c r="R291" i="8"/>
  <c r="S291" i="8"/>
  <c r="T291" i="8"/>
  <c r="U291" i="8"/>
  <c r="V291" i="8"/>
  <c r="W291" i="8"/>
  <c r="X291" i="8"/>
  <c r="Y291" i="8"/>
  <c r="Z291" i="8"/>
  <c r="AA291" i="8"/>
  <c r="AB291" i="8"/>
  <c r="AC291" i="8"/>
  <c r="AD291" i="8"/>
  <c r="AE291" i="8"/>
  <c r="AF291" i="8"/>
  <c r="AG291" i="8"/>
  <c r="AH291" i="8"/>
  <c r="E292" i="8"/>
  <c r="F292" i="8"/>
  <c r="G292" i="8"/>
  <c r="H292" i="8"/>
  <c r="I292" i="8"/>
  <c r="J292" i="8"/>
  <c r="K292" i="8"/>
  <c r="L292" i="8"/>
  <c r="M292" i="8"/>
  <c r="N292" i="8"/>
  <c r="O292" i="8"/>
  <c r="P292" i="8"/>
  <c r="Q292" i="8"/>
  <c r="R292" i="8"/>
  <c r="S292" i="8"/>
  <c r="T292" i="8"/>
  <c r="U292" i="8"/>
  <c r="V292" i="8"/>
  <c r="W292" i="8"/>
  <c r="X292" i="8"/>
  <c r="Y292" i="8"/>
  <c r="Z292" i="8"/>
  <c r="AA292" i="8"/>
  <c r="AB292" i="8"/>
  <c r="AC292" i="8"/>
  <c r="AD292" i="8"/>
  <c r="AE292" i="8"/>
  <c r="AF292" i="8"/>
  <c r="AG292" i="8"/>
  <c r="AH292" i="8"/>
  <c r="B293" i="8"/>
  <c r="C293" i="8"/>
  <c r="D293" i="8"/>
  <c r="E293" i="8"/>
  <c r="F293" i="8"/>
  <c r="G293" i="8"/>
  <c r="H293" i="8"/>
  <c r="I293" i="8"/>
  <c r="J293" i="8"/>
  <c r="K293" i="8"/>
  <c r="L293" i="8"/>
  <c r="M293" i="8"/>
  <c r="N293" i="8"/>
  <c r="O293" i="8"/>
  <c r="P293" i="8"/>
  <c r="Q293" i="8"/>
  <c r="R293" i="8"/>
  <c r="S293" i="8"/>
  <c r="T293" i="8"/>
  <c r="U293" i="8"/>
  <c r="V293" i="8"/>
  <c r="W293" i="8"/>
  <c r="X293" i="8"/>
  <c r="Y293" i="8"/>
  <c r="Z293" i="8"/>
  <c r="AA293" i="8"/>
  <c r="AB293" i="8"/>
  <c r="AC293" i="8"/>
  <c r="AD293" i="8"/>
  <c r="AE293" i="8"/>
  <c r="AF293" i="8"/>
  <c r="AG293" i="8"/>
  <c r="AH293" i="8"/>
  <c r="B294" i="8"/>
  <c r="C294" i="8"/>
  <c r="D294" i="8"/>
  <c r="E294" i="8"/>
  <c r="F294" i="8"/>
  <c r="G294" i="8"/>
  <c r="H294" i="8"/>
  <c r="I294" i="8"/>
  <c r="J294" i="8"/>
  <c r="K294" i="8"/>
  <c r="L294" i="8"/>
  <c r="M294" i="8"/>
  <c r="N294" i="8"/>
  <c r="O294" i="8"/>
  <c r="P294" i="8"/>
  <c r="Q294" i="8"/>
  <c r="R294" i="8"/>
  <c r="S294" i="8"/>
  <c r="T294" i="8"/>
  <c r="U294" i="8"/>
  <c r="V294" i="8"/>
  <c r="W294" i="8"/>
  <c r="X294" i="8"/>
  <c r="Y294" i="8"/>
  <c r="Z294" i="8"/>
  <c r="AA294" i="8"/>
  <c r="AB294" i="8"/>
  <c r="AC294" i="8"/>
  <c r="AD294" i="8"/>
  <c r="AE294" i="8"/>
  <c r="AF294" i="8"/>
  <c r="AG294" i="8"/>
  <c r="AH294" i="8"/>
  <c r="E295" i="8"/>
  <c r="F295" i="8"/>
  <c r="G295" i="8"/>
  <c r="H295" i="8"/>
  <c r="I295" i="8"/>
  <c r="J295" i="8"/>
  <c r="K295" i="8"/>
  <c r="L295" i="8"/>
  <c r="M295" i="8"/>
  <c r="N295" i="8"/>
  <c r="O295" i="8"/>
  <c r="P295" i="8"/>
  <c r="Q295" i="8"/>
  <c r="R295" i="8"/>
  <c r="S295" i="8"/>
  <c r="T295" i="8"/>
  <c r="U295" i="8"/>
  <c r="V295" i="8"/>
  <c r="W295" i="8"/>
  <c r="X295" i="8"/>
  <c r="Y295" i="8"/>
  <c r="Z295" i="8"/>
  <c r="AA295" i="8"/>
  <c r="AB295" i="8"/>
  <c r="AC295" i="8"/>
  <c r="AD295" i="8"/>
  <c r="AE295" i="8"/>
  <c r="AF295" i="8"/>
  <c r="AG295" i="8"/>
  <c r="AH295" i="8"/>
  <c r="E296" i="8"/>
  <c r="F296" i="8"/>
  <c r="G296" i="8"/>
  <c r="H296" i="8"/>
  <c r="I296" i="8"/>
  <c r="J296" i="8"/>
  <c r="K296" i="8"/>
  <c r="L296" i="8"/>
  <c r="M296" i="8"/>
  <c r="N296" i="8"/>
  <c r="O296" i="8"/>
  <c r="P296" i="8"/>
  <c r="Q296" i="8"/>
  <c r="R296" i="8"/>
  <c r="S296" i="8"/>
  <c r="T296" i="8"/>
  <c r="U296" i="8"/>
  <c r="V296" i="8"/>
  <c r="W296" i="8"/>
  <c r="X296" i="8"/>
  <c r="Y296" i="8"/>
  <c r="Z296" i="8"/>
  <c r="AA296" i="8"/>
  <c r="AB296" i="8"/>
  <c r="AC296" i="8"/>
  <c r="AD296" i="8"/>
  <c r="AE296" i="8"/>
  <c r="AF296" i="8"/>
  <c r="AG296" i="8"/>
  <c r="AH296" i="8"/>
  <c r="E297" i="8"/>
  <c r="F297" i="8"/>
  <c r="G297" i="8"/>
  <c r="H297" i="8"/>
  <c r="I297" i="8"/>
  <c r="J297" i="8"/>
  <c r="K297" i="8"/>
  <c r="L297" i="8"/>
  <c r="M297" i="8"/>
  <c r="N297" i="8"/>
  <c r="O297" i="8"/>
  <c r="P297" i="8"/>
  <c r="Q297" i="8"/>
  <c r="R297" i="8"/>
  <c r="S297" i="8"/>
  <c r="T297" i="8"/>
  <c r="U297" i="8"/>
  <c r="V297" i="8"/>
  <c r="W297" i="8"/>
  <c r="X297" i="8"/>
  <c r="Y297" i="8"/>
  <c r="Z297" i="8"/>
  <c r="AA297" i="8"/>
  <c r="AB297" i="8"/>
  <c r="AC297" i="8"/>
  <c r="AD297" i="8"/>
  <c r="AE297" i="8"/>
  <c r="AF297" i="8"/>
  <c r="AG297" i="8"/>
  <c r="AH297" i="8"/>
  <c r="B298" i="8"/>
  <c r="C298" i="8"/>
  <c r="D298" i="8"/>
  <c r="E298" i="8"/>
  <c r="F298" i="8"/>
  <c r="G298" i="8"/>
  <c r="H298" i="8"/>
  <c r="I298" i="8"/>
  <c r="J298" i="8"/>
  <c r="K298" i="8"/>
  <c r="L298" i="8"/>
  <c r="M298" i="8"/>
  <c r="N298" i="8"/>
  <c r="O298" i="8"/>
  <c r="P298" i="8"/>
  <c r="Q298" i="8"/>
  <c r="R298" i="8"/>
  <c r="S298" i="8"/>
  <c r="T298" i="8"/>
  <c r="U298" i="8"/>
  <c r="V298" i="8"/>
  <c r="W298" i="8"/>
  <c r="X298" i="8"/>
  <c r="Y298" i="8"/>
  <c r="Z298" i="8"/>
  <c r="AA298" i="8"/>
  <c r="AB298" i="8"/>
  <c r="AC298" i="8"/>
  <c r="AD298" i="8"/>
  <c r="AE298" i="8"/>
  <c r="AF298" i="8"/>
  <c r="AG298" i="8"/>
  <c r="AH298" i="8"/>
  <c r="B310" i="8"/>
  <c r="C310" i="8"/>
  <c r="D310" i="8"/>
  <c r="E310" i="8"/>
  <c r="F310" i="8"/>
  <c r="G310" i="8"/>
  <c r="H310" i="8"/>
  <c r="I310" i="8"/>
  <c r="J310" i="8"/>
  <c r="K310" i="8"/>
  <c r="L310" i="8"/>
  <c r="M310" i="8"/>
  <c r="N310" i="8"/>
  <c r="O310" i="8"/>
  <c r="P310" i="8"/>
  <c r="Q310" i="8"/>
  <c r="R310" i="8"/>
  <c r="S310" i="8"/>
  <c r="T310" i="8"/>
  <c r="U310" i="8"/>
  <c r="V310" i="8"/>
  <c r="W310" i="8"/>
  <c r="X310" i="8"/>
  <c r="Y310" i="8"/>
  <c r="Z310" i="8"/>
  <c r="AA310" i="8"/>
  <c r="AB310" i="8"/>
  <c r="AC310" i="8"/>
  <c r="AD310" i="8"/>
  <c r="AE310" i="8"/>
  <c r="AF310" i="8"/>
  <c r="AG310" i="8"/>
  <c r="AH310" i="8"/>
  <c r="E311" i="8"/>
  <c r="F311" i="8"/>
  <c r="G311" i="8"/>
  <c r="H311" i="8"/>
  <c r="I311" i="8"/>
  <c r="J311" i="8"/>
  <c r="K311" i="8"/>
  <c r="L311" i="8"/>
  <c r="M311" i="8"/>
  <c r="N311" i="8"/>
  <c r="O311" i="8"/>
  <c r="P311" i="8"/>
  <c r="Q311" i="8"/>
  <c r="R311" i="8"/>
  <c r="S311" i="8"/>
  <c r="T311" i="8"/>
  <c r="U311" i="8"/>
  <c r="V311" i="8"/>
  <c r="W311" i="8"/>
  <c r="X311" i="8"/>
  <c r="Y311" i="8"/>
  <c r="Z311" i="8"/>
  <c r="AA311" i="8"/>
  <c r="AB311" i="8"/>
  <c r="AC311" i="8"/>
  <c r="AD311" i="8"/>
  <c r="AE311" i="8"/>
  <c r="AF311" i="8"/>
  <c r="AG311" i="8"/>
  <c r="AH311" i="8"/>
  <c r="B313" i="8"/>
  <c r="C313" i="8"/>
  <c r="D313" i="8"/>
  <c r="E313" i="8"/>
  <c r="F313" i="8"/>
  <c r="G313" i="8"/>
  <c r="H313" i="8"/>
  <c r="I313" i="8"/>
  <c r="J313" i="8"/>
  <c r="K313" i="8"/>
  <c r="L313" i="8"/>
  <c r="M313" i="8"/>
  <c r="N313" i="8"/>
  <c r="O313" i="8"/>
  <c r="P313" i="8"/>
  <c r="Q313" i="8"/>
  <c r="R313" i="8"/>
  <c r="S313" i="8"/>
  <c r="T313" i="8"/>
  <c r="U313" i="8"/>
  <c r="V313" i="8"/>
  <c r="W313" i="8"/>
  <c r="X313" i="8"/>
  <c r="Y313" i="8"/>
  <c r="Z313" i="8"/>
  <c r="AA313" i="8"/>
  <c r="AB313" i="8"/>
  <c r="AC313" i="8"/>
  <c r="AD313" i="8"/>
  <c r="AE313" i="8"/>
  <c r="AF313" i="8"/>
  <c r="AG313" i="8"/>
  <c r="AH313" i="8"/>
  <c r="B324" i="8"/>
  <c r="C324" i="8"/>
  <c r="D324" i="8"/>
  <c r="E324" i="8"/>
  <c r="F324" i="8"/>
  <c r="G324" i="8"/>
  <c r="H324" i="8"/>
  <c r="I324" i="8"/>
  <c r="J324" i="8"/>
  <c r="K324" i="8"/>
  <c r="L324" i="8"/>
  <c r="M324" i="8"/>
  <c r="N324" i="8"/>
  <c r="O324" i="8"/>
  <c r="P324" i="8"/>
  <c r="Q324" i="8"/>
  <c r="R324" i="8"/>
  <c r="S324" i="8"/>
  <c r="T324" i="8"/>
  <c r="U324" i="8"/>
  <c r="V324" i="8"/>
  <c r="W324" i="8"/>
  <c r="X324" i="8"/>
  <c r="Y324" i="8"/>
  <c r="Z324" i="8"/>
  <c r="AA324" i="8"/>
  <c r="AB324" i="8"/>
  <c r="AC324" i="8"/>
  <c r="AD324" i="8"/>
  <c r="AE324" i="8"/>
  <c r="AF324" i="8"/>
  <c r="AG324" i="8"/>
  <c r="AH324" i="8"/>
  <c r="B325" i="8"/>
  <c r="C325" i="8"/>
  <c r="D325" i="8"/>
  <c r="E325" i="8"/>
  <c r="F325" i="8"/>
  <c r="G325" i="8"/>
  <c r="H325" i="8"/>
  <c r="I325" i="8"/>
  <c r="J325" i="8"/>
  <c r="K325" i="8"/>
  <c r="L325" i="8"/>
  <c r="M325" i="8"/>
  <c r="N325" i="8"/>
  <c r="O325" i="8"/>
  <c r="P325" i="8"/>
  <c r="Q325" i="8"/>
  <c r="R325" i="8"/>
  <c r="S325" i="8"/>
  <c r="T325" i="8"/>
  <c r="U325" i="8"/>
  <c r="V325" i="8"/>
  <c r="W325" i="8"/>
  <c r="X325" i="8"/>
  <c r="Y325" i="8"/>
  <c r="Z325" i="8"/>
  <c r="AA325" i="8"/>
  <c r="AB325" i="8"/>
  <c r="AC325" i="8"/>
  <c r="AD325" i="8"/>
  <c r="AE325" i="8"/>
  <c r="AF325" i="8"/>
  <c r="AG325" i="8"/>
  <c r="AH325" i="8"/>
  <c r="E326" i="8"/>
  <c r="F326" i="8"/>
  <c r="G326" i="8"/>
  <c r="H326" i="8"/>
  <c r="I326" i="8"/>
  <c r="J326" i="8"/>
  <c r="K326" i="8"/>
  <c r="L326" i="8"/>
  <c r="M326" i="8"/>
  <c r="N326" i="8"/>
  <c r="O326" i="8"/>
  <c r="P326" i="8"/>
  <c r="Q326" i="8"/>
  <c r="R326" i="8"/>
  <c r="S326" i="8"/>
  <c r="T326" i="8"/>
  <c r="U326" i="8"/>
  <c r="V326" i="8"/>
  <c r="W326" i="8"/>
  <c r="X326" i="8"/>
  <c r="Y326" i="8"/>
  <c r="Z326" i="8"/>
  <c r="AA326" i="8"/>
  <c r="AB326" i="8"/>
  <c r="AC326" i="8"/>
  <c r="AD326" i="8"/>
  <c r="AE326" i="8"/>
  <c r="AF326" i="8"/>
  <c r="AG326" i="8"/>
  <c r="AH326" i="8"/>
  <c r="B327" i="8"/>
  <c r="C327" i="8"/>
  <c r="D327" i="8"/>
  <c r="E327" i="8"/>
  <c r="F327" i="8"/>
  <c r="G327" i="8"/>
  <c r="H327" i="8"/>
  <c r="I327" i="8"/>
  <c r="J327" i="8"/>
  <c r="K327" i="8"/>
  <c r="L327" i="8"/>
  <c r="M327" i="8"/>
  <c r="N327" i="8"/>
  <c r="O327" i="8"/>
  <c r="P327" i="8"/>
  <c r="Q327" i="8"/>
  <c r="R327" i="8"/>
  <c r="S327" i="8"/>
  <c r="T327" i="8"/>
  <c r="U327" i="8"/>
  <c r="V327" i="8"/>
  <c r="W327" i="8"/>
  <c r="X327" i="8"/>
  <c r="Y327" i="8"/>
  <c r="Z327" i="8"/>
  <c r="AA327" i="8"/>
  <c r="AB327" i="8"/>
  <c r="AC327" i="8"/>
  <c r="AD327" i="8"/>
  <c r="AE327" i="8"/>
  <c r="AF327" i="8"/>
  <c r="AG327" i="8"/>
  <c r="AH327" i="8"/>
  <c r="B329" i="8"/>
  <c r="C329" i="8"/>
  <c r="D329" i="8"/>
  <c r="E329" i="8"/>
  <c r="F329" i="8"/>
  <c r="G329" i="8"/>
  <c r="H329" i="8"/>
  <c r="I329" i="8"/>
  <c r="J329" i="8"/>
  <c r="K329" i="8"/>
  <c r="L329" i="8"/>
  <c r="M329" i="8"/>
  <c r="N329" i="8"/>
  <c r="O329" i="8"/>
  <c r="P329" i="8"/>
  <c r="Q329" i="8"/>
  <c r="R329" i="8"/>
  <c r="S329" i="8"/>
  <c r="T329" i="8"/>
  <c r="U329" i="8"/>
  <c r="V329" i="8"/>
  <c r="W329" i="8"/>
  <c r="X329" i="8"/>
  <c r="Y329" i="8"/>
  <c r="Z329" i="8"/>
  <c r="AA329" i="8"/>
  <c r="AB329" i="8"/>
  <c r="AC329" i="8"/>
  <c r="AD329" i="8"/>
  <c r="AE329" i="8"/>
  <c r="AF329" i="8"/>
  <c r="AG329" i="8"/>
  <c r="AH329" i="8"/>
  <c r="B330" i="8"/>
  <c r="C330" i="8"/>
  <c r="D330" i="8"/>
  <c r="E330" i="8"/>
  <c r="F330" i="8"/>
  <c r="G330" i="8"/>
  <c r="H330" i="8"/>
  <c r="I330" i="8"/>
  <c r="J330" i="8"/>
  <c r="K330" i="8"/>
  <c r="L330" i="8"/>
  <c r="M330" i="8"/>
  <c r="N330" i="8"/>
  <c r="O330" i="8"/>
  <c r="P330" i="8"/>
  <c r="Q330" i="8"/>
  <c r="R330" i="8"/>
  <c r="S330" i="8"/>
  <c r="T330" i="8"/>
  <c r="U330" i="8"/>
  <c r="V330" i="8"/>
  <c r="W330" i="8"/>
  <c r="X330" i="8"/>
  <c r="Y330" i="8"/>
  <c r="Z330" i="8"/>
  <c r="AA330" i="8"/>
  <c r="AB330" i="8"/>
  <c r="AC330" i="8"/>
  <c r="AD330" i="8"/>
  <c r="AE330" i="8"/>
  <c r="AF330" i="8"/>
  <c r="AG330" i="8"/>
  <c r="AH330" i="8"/>
  <c r="B331" i="8"/>
  <c r="C331" i="8"/>
  <c r="D331" i="8"/>
  <c r="E331" i="8"/>
  <c r="F331" i="8"/>
  <c r="G331" i="8"/>
  <c r="H331" i="8"/>
  <c r="I331" i="8"/>
  <c r="J331" i="8"/>
  <c r="K331" i="8"/>
  <c r="L331" i="8"/>
  <c r="M331" i="8"/>
  <c r="N331" i="8"/>
  <c r="O331" i="8"/>
  <c r="P331" i="8"/>
  <c r="Q331" i="8"/>
  <c r="R331" i="8"/>
  <c r="S331" i="8"/>
  <c r="T331" i="8"/>
  <c r="U331" i="8"/>
  <c r="V331" i="8"/>
  <c r="W331" i="8"/>
  <c r="X331" i="8"/>
  <c r="Y331" i="8"/>
  <c r="Z331" i="8"/>
  <c r="AA331" i="8"/>
  <c r="AB331" i="8"/>
  <c r="AC331" i="8"/>
  <c r="AD331" i="8"/>
  <c r="AE331" i="8"/>
  <c r="AF331" i="8"/>
  <c r="AG331" i="8"/>
  <c r="AH331" i="8"/>
  <c r="B332" i="8"/>
  <c r="C332" i="8"/>
  <c r="D332" i="8"/>
  <c r="E332" i="8"/>
  <c r="F332" i="8"/>
  <c r="G332" i="8"/>
  <c r="H332" i="8"/>
  <c r="I332" i="8"/>
  <c r="J332" i="8"/>
  <c r="K332" i="8"/>
  <c r="L332" i="8"/>
  <c r="M332" i="8"/>
  <c r="N332" i="8"/>
  <c r="O332" i="8"/>
  <c r="P332" i="8"/>
  <c r="Q332" i="8"/>
  <c r="R332" i="8"/>
  <c r="S332" i="8"/>
  <c r="T332" i="8"/>
  <c r="U332" i="8"/>
  <c r="V332" i="8"/>
  <c r="W332" i="8"/>
  <c r="X332" i="8"/>
  <c r="Y332" i="8"/>
  <c r="Z332" i="8"/>
  <c r="AA332" i="8"/>
  <c r="AB332" i="8"/>
  <c r="AC332" i="8"/>
  <c r="AD332" i="8"/>
  <c r="AE332" i="8"/>
  <c r="AF332" i="8"/>
  <c r="AG332" i="8"/>
  <c r="AH332" i="8"/>
  <c r="C333" i="8"/>
  <c r="D333" i="8"/>
  <c r="E333" i="8"/>
  <c r="F333" i="8"/>
  <c r="G333" i="8"/>
  <c r="H333" i="8"/>
  <c r="I333" i="8"/>
  <c r="J333" i="8"/>
  <c r="K333" i="8"/>
  <c r="L333" i="8"/>
  <c r="M333" i="8"/>
  <c r="N333" i="8"/>
  <c r="O333" i="8"/>
  <c r="P333" i="8"/>
  <c r="Q333" i="8"/>
  <c r="R333" i="8"/>
  <c r="S333" i="8"/>
  <c r="T333" i="8"/>
  <c r="U333" i="8"/>
  <c r="V333" i="8"/>
  <c r="W333" i="8"/>
  <c r="X333" i="8"/>
  <c r="Y333" i="8"/>
  <c r="Z333" i="8"/>
  <c r="AA333" i="8"/>
  <c r="AB333" i="8"/>
  <c r="AC333" i="8"/>
  <c r="AD333" i="8"/>
  <c r="AE333" i="8"/>
  <c r="AF333" i="8"/>
  <c r="AG333" i="8"/>
  <c r="AH333" i="8"/>
  <c r="B334" i="8"/>
  <c r="C334" i="8"/>
  <c r="D334" i="8"/>
  <c r="E334" i="8"/>
  <c r="F334" i="8"/>
  <c r="G334" i="8"/>
  <c r="H334" i="8"/>
  <c r="I334" i="8"/>
  <c r="J334" i="8"/>
  <c r="K334" i="8"/>
  <c r="L334" i="8"/>
  <c r="M334" i="8"/>
  <c r="N334" i="8"/>
  <c r="O334" i="8"/>
  <c r="P334" i="8"/>
  <c r="Q334" i="8"/>
  <c r="R334" i="8"/>
  <c r="S334" i="8"/>
  <c r="T334" i="8"/>
  <c r="U334" i="8"/>
  <c r="V334" i="8"/>
  <c r="W334" i="8"/>
  <c r="X334" i="8"/>
  <c r="Y334" i="8"/>
  <c r="Z334" i="8"/>
  <c r="AA334" i="8"/>
  <c r="AB334" i="8"/>
  <c r="AC334" i="8"/>
  <c r="AD334" i="8"/>
  <c r="AE334" i="8"/>
  <c r="AF334" i="8"/>
  <c r="AG334" i="8"/>
  <c r="AH334" i="8"/>
  <c r="B335" i="8"/>
  <c r="C335" i="8"/>
  <c r="D335" i="8"/>
  <c r="E335" i="8"/>
  <c r="F335" i="8"/>
  <c r="G335" i="8"/>
  <c r="H335" i="8"/>
  <c r="I335" i="8"/>
  <c r="J335" i="8"/>
  <c r="K335" i="8"/>
  <c r="L335" i="8"/>
  <c r="M335" i="8"/>
  <c r="N335" i="8"/>
  <c r="O335" i="8"/>
  <c r="P335" i="8"/>
  <c r="Q335" i="8"/>
  <c r="R335" i="8"/>
  <c r="S335" i="8"/>
  <c r="T335" i="8"/>
  <c r="U335" i="8"/>
  <c r="V335" i="8"/>
  <c r="W335" i="8"/>
  <c r="X335" i="8"/>
  <c r="Y335" i="8"/>
  <c r="Z335" i="8"/>
  <c r="AA335" i="8"/>
  <c r="AB335" i="8"/>
  <c r="AC335" i="8"/>
  <c r="AD335" i="8"/>
  <c r="AE335" i="8"/>
  <c r="AF335" i="8"/>
  <c r="AG335" i="8"/>
  <c r="AH335" i="8"/>
  <c r="B336" i="8"/>
  <c r="C336" i="8"/>
  <c r="D336" i="8"/>
  <c r="E336" i="8"/>
  <c r="F336" i="8"/>
  <c r="G336" i="8"/>
  <c r="H336" i="8"/>
  <c r="I336" i="8"/>
  <c r="J336" i="8"/>
  <c r="K336" i="8"/>
  <c r="L336" i="8"/>
  <c r="M336" i="8"/>
  <c r="N336" i="8"/>
  <c r="O336" i="8"/>
  <c r="P336" i="8"/>
  <c r="Q336" i="8"/>
  <c r="R336" i="8"/>
  <c r="S336" i="8"/>
  <c r="T336" i="8"/>
  <c r="U336" i="8"/>
  <c r="V336" i="8"/>
  <c r="W336" i="8"/>
  <c r="X336" i="8"/>
  <c r="Y336" i="8"/>
  <c r="Z336" i="8"/>
  <c r="AA336" i="8"/>
  <c r="AB336" i="8"/>
  <c r="AC336" i="8"/>
  <c r="AD336" i="8"/>
  <c r="AE336" i="8"/>
  <c r="AF336" i="8"/>
  <c r="AG336" i="8"/>
  <c r="AH336" i="8"/>
  <c r="B337" i="8"/>
  <c r="C337" i="8"/>
  <c r="D337" i="8"/>
  <c r="E337" i="8"/>
  <c r="F337" i="8"/>
  <c r="G337" i="8"/>
  <c r="H337" i="8"/>
  <c r="I337" i="8"/>
  <c r="J337" i="8"/>
  <c r="K337" i="8"/>
  <c r="L337" i="8"/>
  <c r="M337" i="8"/>
  <c r="N337" i="8"/>
  <c r="O337" i="8"/>
  <c r="P337" i="8"/>
  <c r="Q337" i="8"/>
  <c r="R337" i="8"/>
  <c r="S337" i="8"/>
  <c r="T337" i="8"/>
  <c r="U337" i="8"/>
  <c r="V337" i="8"/>
  <c r="W337" i="8"/>
  <c r="X337" i="8"/>
  <c r="Y337" i="8"/>
  <c r="Z337" i="8"/>
  <c r="AA337" i="8"/>
  <c r="AB337" i="8"/>
  <c r="AC337" i="8"/>
  <c r="AD337" i="8"/>
  <c r="AE337" i="8"/>
  <c r="AF337" i="8"/>
  <c r="AG337" i="8"/>
  <c r="AH337" i="8"/>
  <c r="B338" i="8"/>
  <c r="C338" i="8"/>
  <c r="D338" i="8"/>
  <c r="E338" i="8"/>
  <c r="F338" i="8"/>
  <c r="G338" i="8"/>
  <c r="H338" i="8"/>
  <c r="I338" i="8"/>
  <c r="J338" i="8"/>
  <c r="K338" i="8"/>
  <c r="L338" i="8"/>
  <c r="M338" i="8"/>
  <c r="N338" i="8"/>
  <c r="O338" i="8"/>
  <c r="P338" i="8"/>
  <c r="Q338" i="8"/>
  <c r="R338" i="8"/>
  <c r="S338" i="8"/>
  <c r="T338" i="8"/>
  <c r="U338" i="8"/>
  <c r="V338" i="8"/>
  <c r="W338" i="8"/>
  <c r="X338" i="8"/>
  <c r="Y338" i="8"/>
  <c r="Z338" i="8"/>
  <c r="AA338" i="8"/>
  <c r="AB338" i="8"/>
  <c r="AC338" i="8"/>
  <c r="AD338" i="8"/>
  <c r="AE338" i="8"/>
  <c r="AF338" i="8"/>
  <c r="AG338" i="8"/>
  <c r="AH338" i="8"/>
  <c r="B339" i="8"/>
  <c r="C339" i="8"/>
  <c r="D339" i="8"/>
  <c r="E339" i="8"/>
  <c r="F339" i="8"/>
  <c r="G339" i="8"/>
  <c r="H339" i="8"/>
  <c r="I339" i="8"/>
  <c r="J339" i="8"/>
  <c r="K339" i="8"/>
  <c r="L339" i="8"/>
  <c r="M339" i="8"/>
  <c r="N339" i="8"/>
  <c r="O339" i="8"/>
  <c r="P339" i="8"/>
  <c r="Q339" i="8"/>
  <c r="R339" i="8"/>
  <c r="S339" i="8"/>
  <c r="T339" i="8"/>
  <c r="U339" i="8"/>
  <c r="V339" i="8"/>
  <c r="W339" i="8"/>
  <c r="X339" i="8"/>
  <c r="Y339" i="8"/>
  <c r="Z339" i="8"/>
  <c r="AA339" i="8"/>
  <c r="AB339" i="8"/>
  <c r="AC339" i="8"/>
  <c r="AD339" i="8"/>
  <c r="AE339" i="8"/>
  <c r="AF339" i="8"/>
  <c r="AG339" i="8"/>
  <c r="AH339" i="8"/>
  <c r="B341" i="8"/>
  <c r="C341" i="8"/>
  <c r="D341" i="8"/>
  <c r="E341" i="8"/>
  <c r="F341" i="8"/>
  <c r="G341" i="8"/>
  <c r="H341" i="8"/>
  <c r="I341" i="8"/>
  <c r="J341" i="8"/>
  <c r="K341" i="8"/>
  <c r="L341" i="8"/>
  <c r="M341" i="8"/>
  <c r="N341" i="8"/>
  <c r="O341" i="8"/>
  <c r="P341" i="8"/>
  <c r="Q341" i="8"/>
  <c r="R341" i="8"/>
  <c r="S341" i="8"/>
  <c r="T341" i="8"/>
  <c r="U341" i="8"/>
  <c r="V341" i="8"/>
  <c r="W341" i="8"/>
  <c r="X341" i="8"/>
  <c r="Y341" i="8"/>
  <c r="Z341" i="8"/>
  <c r="AA341" i="8"/>
  <c r="AB341" i="8"/>
  <c r="AC341" i="8"/>
  <c r="AD341" i="8"/>
  <c r="AE341" i="8"/>
  <c r="AF341" i="8"/>
  <c r="AG341" i="8"/>
  <c r="AH341" i="8"/>
  <c r="C342" i="8"/>
  <c r="D342" i="8"/>
  <c r="E342" i="8"/>
  <c r="F342" i="8"/>
  <c r="G342" i="8"/>
  <c r="H342" i="8"/>
  <c r="I342" i="8"/>
  <c r="J342" i="8"/>
  <c r="K342" i="8"/>
  <c r="L342" i="8"/>
  <c r="M342" i="8"/>
  <c r="N342" i="8"/>
  <c r="O342" i="8"/>
  <c r="P342" i="8"/>
  <c r="Q342" i="8"/>
  <c r="R342" i="8"/>
  <c r="S342" i="8"/>
  <c r="T342" i="8"/>
  <c r="U342" i="8"/>
  <c r="V342" i="8"/>
  <c r="W342" i="8"/>
  <c r="X342" i="8"/>
  <c r="Y342" i="8"/>
  <c r="Z342" i="8"/>
  <c r="AA342" i="8"/>
  <c r="AB342" i="8"/>
  <c r="AC342" i="8"/>
  <c r="AD342" i="8"/>
  <c r="AE342" i="8"/>
  <c r="AF342" i="8"/>
  <c r="AG342" i="8"/>
  <c r="AH342" i="8"/>
  <c r="B345" i="8"/>
  <c r="C345" i="8"/>
  <c r="D345" i="8"/>
  <c r="E345" i="8"/>
  <c r="F345" i="8"/>
  <c r="G345" i="8"/>
  <c r="B346" i="8"/>
  <c r="C346" i="8"/>
  <c r="D346" i="8"/>
  <c r="E346" i="8"/>
  <c r="F346" i="8"/>
  <c r="G346" i="8"/>
  <c r="H346" i="8"/>
  <c r="I346" i="8"/>
  <c r="J346" i="8"/>
  <c r="K346" i="8"/>
  <c r="L346" i="8"/>
  <c r="M346" i="8"/>
  <c r="N346" i="8"/>
  <c r="O346" i="8"/>
  <c r="P346" i="8"/>
  <c r="Q346" i="8"/>
  <c r="R346" i="8"/>
  <c r="S346" i="8"/>
  <c r="T346" i="8"/>
  <c r="U346" i="8"/>
  <c r="V346" i="8"/>
  <c r="W346" i="8"/>
  <c r="X346" i="8"/>
  <c r="Y346" i="8"/>
  <c r="Z346" i="8"/>
  <c r="AA346" i="8"/>
  <c r="AB346" i="8"/>
  <c r="AC346" i="8"/>
  <c r="AD346" i="8"/>
  <c r="AE346" i="8"/>
  <c r="AF346" i="8"/>
  <c r="AG346" i="8"/>
  <c r="AH346" i="8"/>
  <c r="B347" i="8"/>
  <c r="C347" i="8"/>
  <c r="D347" i="8"/>
  <c r="E347" i="8"/>
  <c r="F347" i="8"/>
  <c r="G347" i="8"/>
  <c r="H347" i="8"/>
  <c r="I347" i="8"/>
  <c r="J347" i="8"/>
  <c r="K347" i="8"/>
  <c r="L347" i="8"/>
  <c r="M347" i="8"/>
  <c r="N347" i="8"/>
  <c r="O347" i="8"/>
  <c r="P347" i="8"/>
  <c r="Q347" i="8"/>
  <c r="R347" i="8"/>
  <c r="S347" i="8"/>
  <c r="T347" i="8"/>
  <c r="U347" i="8"/>
  <c r="V347" i="8"/>
  <c r="W347" i="8"/>
  <c r="X347" i="8"/>
  <c r="Y347" i="8"/>
  <c r="Z347" i="8"/>
  <c r="AA347" i="8"/>
  <c r="AB347" i="8"/>
  <c r="AC347" i="8"/>
  <c r="AD347" i="8"/>
  <c r="AE347" i="8"/>
  <c r="AF347" i="8"/>
  <c r="AG347" i="8"/>
  <c r="AH347" i="8"/>
  <c r="C349" i="8"/>
  <c r="D349" i="8"/>
  <c r="E349" i="8"/>
  <c r="F349" i="8"/>
  <c r="G349" i="8"/>
  <c r="H349" i="8"/>
  <c r="I349" i="8"/>
  <c r="J349" i="8"/>
  <c r="K349" i="8"/>
  <c r="L349" i="8"/>
  <c r="M349" i="8"/>
  <c r="N349" i="8"/>
  <c r="O349" i="8"/>
  <c r="P349" i="8"/>
  <c r="Q349" i="8"/>
  <c r="R349" i="8"/>
  <c r="S349" i="8"/>
  <c r="T349" i="8"/>
  <c r="U349" i="8"/>
  <c r="V349" i="8"/>
  <c r="W349" i="8"/>
  <c r="X349" i="8"/>
  <c r="Y349" i="8"/>
  <c r="Z349" i="8"/>
  <c r="AA349" i="8"/>
  <c r="AB349" i="8"/>
  <c r="AC349" i="8"/>
  <c r="AD349" i="8"/>
  <c r="AE349" i="8"/>
  <c r="AF349" i="8"/>
  <c r="AG349" i="8"/>
  <c r="AH349" i="8"/>
  <c r="B83" i="1"/>
  <c r="C83" i="1"/>
  <c r="D83" i="1"/>
  <c r="E83" i="1"/>
  <c r="F83" i="1"/>
  <c r="G83" i="1"/>
  <c r="E84" i="1"/>
  <c r="F84" i="1"/>
  <c r="G84" i="1"/>
  <c r="D85" i="1"/>
  <c r="E85" i="1"/>
  <c r="F85" i="1"/>
  <c r="G85" i="1"/>
  <c r="E86" i="1"/>
  <c r="F86" i="1"/>
  <c r="G86" i="1"/>
  <c r="E87" i="1"/>
  <c r="F87" i="1"/>
  <c r="G87" i="1"/>
  <c r="C88" i="1"/>
  <c r="E88" i="1"/>
  <c r="B89" i="1"/>
  <c r="C89" i="1"/>
  <c r="D89" i="1"/>
  <c r="E89" i="1"/>
  <c r="B90" i="1"/>
  <c r="C90" i="1"/>
  <c r="D90" i="1"/>
  <c r="E90" i="1"/>
  <c r="C91" i="1"/>
  <c r="B92" i="1"/>
  <c r="D92" i="1"/>
  <c r="E92" i="1"/>
  <c r="F92" i="1"/>
  <c r="G92" i="1"/>
  <c r="B111" i="1"/>
  <c r="C111" i="1"/>
  <c r="D111" i="1"/>
  <c r="E111" i="1"/>
  <c r="F111" i="1"/>
  <c r="G111" i="1"/>
  <c r="B112" i="1"/>
  <c r="C112" i="1"/>
  <c r="D112" i="1"/>
  <c r="E112" i="1"/>
  <c r="F112" i="1"/>
  <c r="G112" i="1"/>
  <c r="B114" i="1"/>
  <c r="C114" i="1"/>
  <c r="D114" i="1"/>
  <c r="E114" i="1"/>
  <c r="F114" i="1"/>
  <c r="G114" i="1"/>
  <c r="B116" i="1"/>
  <c r="C116" i="1"/>
  <c r="D116" i="1"/>
  <c r="E116" i="1"/>
  <c r="F116" i="1"/>
  <c r="G116" i="1"/>
  <c r="B118" i="1"/>
  <c r="C118" i="1"/>
  <c r="D118" i="1"/>
  <c r="E118" i="1"/>
  <c r="F118" i="1"/>
  <c r="G118" i="1"/>
  <c r="B121" i="1"/>
  <c r="C121" i="1"/>
  <c r="D121" i="1"/>
  <c r="E121" i="1"/>
  <c r="F121" i="1"/>
  <c r="G121" i="1"/>
  <c r="B122" i="1"/>
  <c r="C122" i="1"/>
  <c r="D122" i="1"/>
  <c r="E122" i="1"/>
  <c r="F122" i="1"/>
  <c r="G122" i="1"/>
  <c r="B129" i="1"/>
  <c r="C129" i="1"/>
  <c r="D129" i="1"/>
  <c r="E129" i="1"/>
  <c r="F129" i="1"/>
  <c r="G129" i="1"/>
  <c r="B130" i="1"/>
  <c r="C130" i="1"/>
  <c r="D130" i="1"/>
  <c r="E130" i="1"/>
  <c r="F130" i="1"/>
  <c r="G130" i="1"/>
  <c r="B131" i="1"/>
  <c r="C131" i="1"/>
  <c r="D131" i="1"/>
  <c r="E131" i="1"/>
  <c r="F131" i="1"/>
  <c r="G131" i="1"/>
  <c r="B132" i="1"/>
  <c r="C132" i="1"/>
  <c r="D132" i="1"/>
  <c r="E132" i="1"/>
  <c r="F132" i="1"/>
  <c r="G132" i="1"/>
  <c r="B134" i="1"/>
  <c r="C134" i="1"/>
  <c r="D134" i="1"/>
  <c r="E134" i="1"/>
  <c r="F134" i="1"/>
  <c r="G134" i="1"/>
  <c r="B136" i="1"/>
  <c r="C136" i="1"/>
  <c r="D136" i="1"/>
  <c r="E136" i="1"/>
  <c r="F136" i="1"/>
  <c r="G136" i="1"/>
  <c r="B137" i="1"/>
  <c r="C137" i="1"/>
  <c r="D137" i="1"/>
  <c r="E137" i="1"/>
  <c r="F137" i="1"/>
  <c r="G137" i="1"/>
  <c r="B138" i="1"/>
  <c r="C138" i="1"/>
  <c r="D138" i="1"/>
  <c r="E138" i="1"/>
  <c r="F138" i="1"/>
  <c r="G138" i="1"/>
  <c r="B140" i="1"/>
  <c r="B141" i="1"/>
  <c r="B142" i="1"/>
  <c r="B145" i="1"/>
  <c r="E146" i="1"/>
  <c r="B147" i="1"/>
  <c r="E322" i="1"/>
  <c r="F322" i="1"/>
  <c r="G322" i="1"/>
  <c r="H322" i="1"/>
  <c r="I322" i="1"/>
  <c r="D337" i="1"/>
  <c r="E337" i="1"/>
  <c r="F337" i="1"/>
  <c r="G337" i="1"/>
  <c r="H337" i="1"/>
  <c r="I337" i="1"/>
  <c r="J337" i="1"/>
  <c r="K337" i="1"/>
  <c r="L337" i="1"/>
  <c r="M337" i="1"/>
  <c r="N337" i="1"/>
  <c r="O337" i="1"/>
  <c r="P337" i="1"/>
  <c r="Q337" i="1"/>
  <c r="R337" i="1"/>
  <c r="S337" i="1"/>
  <c r="T337" i="1"/>
  <c r="U337" i="1"/>
  <c r="V337" i="1"/>
  <c r="W337" i="1"/>
  <c r="X337" i="1"/>
  <c r="Y337" i="1"/>
  <c r="Z337" i="1"/>
  <c r="AA337" i="1"/>
  <c r="AB337" i="1"/>
  <c r="AC337" i="1"/>
  <c r="AD337" i="1"/>
  <c r="AE337" i="1"/>
  <c r="AF337" i="1"/>
  <c r="AG337" i="1"/>
  <c r="AH337" i="1"/>
  <c r="G369" i="1"/>
  <c r="H369" i="1"/>
  <c r="E391" i="1"/>
  <c r="F391" i="1"/>
  <c r="G391" i="1"/>
  <c r="H391" i="1"/>
  <c r="I391" i="1"/>
  <c r="J391" i="1"/>
  <c r="K391" i="1"/>
  <c r="L391" i="1"/>
  <c r="M391" i="1"/>
  <c r="N391" i="1"/>
  <c r="O391" i="1"/>
  <c r="P391" i="1"/>
  <c r="Q391" i="1"/>
  <c r="R391" i="1"/>
  <c r="S391" i="1"/>
  <c r="T391" i="1"/>
  <c r="U391" i="1"/>
  <c r="V391" i="1"/>
  <c r="W391" i="1"/>
  <c r="X391" i="1"/>
  <c r="Y391" i="1"/>
  <c r="Z391" i="1"/>
  <c r="AA391" i="1"/>
  <c r="AB391" i="1"/>
  <c r="AC391" i="1"/>
  <c r="AD391" i="1"/>
  <c r="AE391" i="1"/>
  <c r="AF391" i="1"/>
  <c r="AG391" i="1"/>
  <c r="AH391" i="1"/>
  <c r="E392" i="1"/>
  <c r="F392" i="1"/>
  <c r="G392" i="1"/>
  <c r="H392" i="1"/>
  <c r="I392" i="1"/>
  <c r="J392" i="1"/>
  <c r="K392" i="1"/>
  <c r="L392" i="1"/>
  <c r="M392" i="1"/>
  <c r="N392" i="1"/>
  <c r="O392" i="1"/>
  <c r="P392" i="1"/>
  <c r="Q392" i="1"/>
  <c r="R392" i="1"/>
  <c r="S392" i="1"/>
  <c r="T392" i="1"/>
  <c r="U392" i="1"/>
  <c r="V392" i="1"/>
  <c r="W392" i="1"/>
  <c r="X392" i="1"/>
  <c r="Y392" i="1"/>
  <c r="Z392" i="1"/>
  <c r="AA392" i="1"/>
  <c r="AB392" i="1"/>
  <c r="AC392" i="1"/>
  <c r="AD392" i="1"/>
  <c r="AE392" i="1"/>
  <c r="AF392" i="1"/>
  <c r="AG392" i="1"/>
  <c r="AH392" i="1"/>
  <c r="E393" i="1"/>
  <c r="F393" i="1"/>
  <c r="G393" i="1"/>
  <c r="H393" i="1"/>
  <c r="I393" i="1"/>
  <c r="J393" i="1"/>
  <c r="K393" i="1"/>
  <c r="L393" i="1"/>
  <c r="M393" i="1"/>
  <c r="N393" i="1"/>
  <c r="O393" i="1"/>
  <c r="P393" i="1"/>
  <c r="Q393" i="1"/>
  <c r="R393" i="1"/>
  <c r="S393" i="1"/>
  <c r="T393" i="1"/>
  <c r="U393" i="1"/>
  <c r="V393" i="1"/>
  <c r="W393" i="1"/>
  <c r="X393" i="1"/>
  <c r="Y393" i="1"/>
  <c r="Z393" i="1"/>
  <c r="AA393" i="1"/>
  <c r="AB393" i="1"/>
  <c r="AC393" i="1"/>
  <c r="AD393" i="1"/>
  <c r="AE393" i="1"/>
  <c r="AF393" i="1"/>
  <c r="AG393" i="1"/>
  <c r="AH393" i="1"/>
  <c r="E394" i="1"/>
  <c r="F394" i="1"/>
  <c r="G394" i="1"/>
  <c r="H394" i="1"/>
  <c r="I394" i="1"/>
  <c r="J394" i="1"/>
  <c r="K394" i="1"/>
  <c r="L394" i="1"/>
  <c r="M394" i="1"/>
  <c r="N394" i="1"/>
  <c r="O394" i="1"/>
  <c r="P394" i="1"/>
  <c r="Q394" i="1"/>
  <c r="R394" i="1"/>
  <c r="S394" i="1"/>
  <c r="T394" i="1"/>
  <c r="U394" i="1"/>
  <c r="V394" i="1"/>
  <c r="W394" i="1"/>
  <c r="X394" i="1"/>
  <c r="Y394" i="1"/>
  <c r="Z394" i="1"/>
  <c r="AA394" i="1"/>
  <c r="AB394" i="1"/>
  <c r="AC394" i="1"/>
  <c r="AD394" i="1"/>
  <c r="AE394" i="1"/>
  <c r="AF394" i="1"/>
  <c r="AG394" i="1"/>
  <c r="AH394" i="1"/>
  <c r="E395" i="1"/>
  <c r="F395" i="1"/>
  <c r="G395" i="1"/>
  <c r="H395" i="1"/>
  <c r="I395" i="1"/>
  <c r="J395" i="1"/>
  <c r="K395" i="1"/>
  <c r="L395" i="1"/>
  <c r="M395" i="1"/>
  <c r="N395" i="1"/>
  <c r="O395" i="1"/>
  <c r="P395" i="1"/>
  <c r="Q395" i="1"/>
  <c r="R395" i="1"/>
  <c r="S395" i="1"/>
  <c r="T395" i="1"/>
  <c r="U395" i="1"/>
  <c r="V395" i="1"/>
  <c r="W395" i="1"/>
  <c r="X395" i="1"/>
  <c r="Y395" i="1"/>
  <c r="Z395" i="1"/>
  <c r="AA395" i="1"/>
  <c r="AB395" i="1"/>
  <c r="AC395" i="1"/>
  <c r="AD395" i="1"/>
  <c r="AE395" i="1"/>
  <c r="AF395" i="1"/>
  <c r="AG395" i="1"/>
  <c r="AH395" i="1"/>
  <c r="E398" i="1"/>
  <c r="F398" i="1"/>
  <c r="G398" i="1"/>
  <c r="H398" i="1"/>
  <c r="I398" i="1"/>
  <c r="J398" i="1"/>
  <c r="K398" i="1"/>
  <c r="L398" i="1"/>
  <c r="M398" i="1"/>
  <c r="N398" i="1"/>
  <c r="O398" i="1"/>
  <c r="P398" i="1"/>
  <c r="Q398" i="1"/>
  <c r="R398" i="1"/>
  <c r="S398" i="1"/>
  <c r="T398" i="1"/>
  <c r="U398" i="1"/>
  <c r="V398" i="1"/>
  <c r="W398" i="1"/>
  <c r="X398" i="1"/>
  <c r="Y398" i="1"/>
  <c r="Z398" i="1"/>
  <c r="AA398" i="1"/>
  <c r="AB398" i="1"/>
  <c r="AC398" i="1"/>
  <c r="AD398" i="1"/>
  <c r="AE398" i="1"/>
  <c r="AF398" i="1"/>
  <c r="AG398" i="1"/>
  <c r="AH398" i="1"/>
  <c r="E399" i="1"/>
  <c r="F399" i="1"/>
  <c r="G399" i="1"/>
  <c r="H399" i="1"/>
  <c r="I399" i="1"/>
  <c r="J399" i="1"/>
  <c r="K399" i="1"/>
  <c r="L399" i="1"/>
  <c r="M399" i="1"/>
  <c r="N399" i="1"/>
  <c r="O399" i="1"/>
  <c r="P399" i="1"/>
  <c r="Q399" i="1"/>
  <c r="R399" i="1"/>
  <c r="S399" i="1"/>
  <c r="T399" i="1"/>
  <c r="U399" i="1"/>
  <c r="V399" i="1"/>
  <c r="W399" i="1"/>
  <c r="X399" i="1"/>
  <c r="Y399" i="1"/>
  <c r="Z399" i="1"/>
  <c r="AA399" i="1"/>
  <c r="AB399" i="1"/>
  <c r="AC399" i="1"/>
  <c r="AD399" i="1"/>
  <c r="AE399" i="1"/>
  <c r="AF399" i="1"/>
  <c r="AG399" i="1"/>
  <c r="AH399" i="1"/>
  <c r="E400" i="1"/>
  <c r="F400" i="1"/>
  <c r="G400" i="1"/>
  <c r="H400" i="1"/>
  <c r="I400" i="1"/>
  <c r="J400" i="1"/>
  <c r="K400" i="1"/>
  <c r="L400" i="1"/>
  <c r="M400" i="1"/>
  <c r="N400" i="1"/>
  <c r="O400" i="1"/>
  <c r="P400" i="1"/>
  <c r="Q400" i="1"/>
  <c r="R400" i="1"/>
  <c r="S400" i="1"/>
  <c r="T400" i="1"/>
  <c r="U400" i="1"/>
  <c r="V400" i="1"/>
  <c r="W400" i="1"/>
  <c r="X400" i="1"/>
  <c r="Y400" i="1"/>
  <c r="Z400" i="1"/>
  <c r="AA400" i="1"/>
  <c r="AB400" i="1"/>
  <c r="AC400" i="1"/>
  <c r="AD400" i="1"/>
  <c r="AE400" i="1"/>
  <c r="AF400" i="1"/>
  <c r="AG400" i="1"/>
  <c r="AH400" i="1"/>
  <c r="E401" i="1"/>
  <c r="F401" i="1"/>
  <c r="G401" i="1"/>
  <c r="H401" i="1"/>
  <c r="I401" i="1"/>
  <c r="J401" i="1"/>
  <c r="K401" i="1"/>
  <c r="L401" i="1"/>
  <c r="M401" i="1"/>
  <c r="N401" i="1"/>
  <c r="O401" i="1"/>
  <c r="P401" i="1"/>
  <c r="Q401" i="1"/>
  <c r="R401" i="1"/>
  <c r="S401" i="1"/>
  <c r="T401" i="1"/>
  <c r="U401" i="1"/>
  <c r="V401" i="1"/>
  <c r="W401" i="1"/>
  <c r="X401" i="1"/>
  <c r="Y401" i="1"/>
  <c r="Z401" i="1"/>
  <c r="AA401" i="1"/>
  <c r="AB401" i="1"/>
  <c r="AC401" i="1"/>
  <c r="AD401" i="1"/>
  <c r="AE401" i="1"/>
  <c r="AF401" i="1"/>
  <c r="AG401" i="1"/>
  <c r="AH401" i="1"/>
  <c r="E402" i="1"/>
  <c r="F402" i="1"/>
  <c r="G402" i="1"/>
  <c r="H402" i="1"/>
  <c r="I402" i="1"/>
  <c r="J402" i="1"/>
  <c r="K402" i="1"/>
  <c r="L402" i="1"/>
  <c r="M402" i="1"/>
  <c r="N402" i="1"/>
  <c r="O402" i="1"/>
  <c r="P402" i="1"/>
  <c r="Q402" i="1"/>
  <c r="R402" i="1"/>
  <c r="S402" i="1"/>
  <c r="T402" i="1"/>
  <c r="U402" i="1"/>
  <c r="V402" i="1"/>
  <c r="W402" i="1"/>
  <c r="X402" i="1"/>
  <c r="Y402" i="1"/>
  <c r="Z402" i="1"/>
  <c r="AA402" i="1"/>
  <c r="AB402" i="1"/>
  <c r="AC402" i="1"/>
  <c r="AD402" i="1"/>
  <c r="AE402" i="1"/>
  <c r="AF402" i="1"/>
  <c r="AG402" i="1"/>
  <c r="AH402" i="1"/>
  <c r="E404" i="1"/>
  <c r="F404" i="1"/>
  <c r="G404" i="1"/>
  <c r="H404" i="1"/>
  <c r="I404" i="1"/>
  <c r="J404" i="1"/>
  <c r="K404" i="1"/>
  <c r="L404" i="1"/>
  <c r="M404" i="1"/>
  <c r="N404" i="1"/>
  <c r="O404" i="1"/>
  <c r="P404" i="1"/>
  <c r="Q404" i="1"/>
  <c r="R404" i="1"/>
  <c r="S404" i="1"/>
  <c r="T404" i="1"/>
  <c r="U404" i="1"/>
  <c r="V404" i="1"/>
  <c r="W404" i="1"/>
  <c r="X404" i="1"/>
  <c r="Y404" i="1"/>
  <c r="Z404" i="1"/>
  <c r="AA404" i="1"/>
  <c r="AB404" i="1"/>
  <c r="AC404" i="1"/>
  <c r="AD404" i="1"/>
  <c r="AE404" i="1"/>
  <c r="AF404" i="1"/>
  <c r="AG404" i="1"/>
  <c r="AH404" i="1"/>
  <c r="E420" i="1"/>
  <c r="F420" i="1"/>
  <c r="G420" i="1"/>
  <c r="H420" i="1"/>
  <c r="I420" i="1"/>
  <c r="J420" i="1"/>
  <c r="K420" i="1"/>
  <c r="L420" i="1"/>
  <c r="M420" i="1"/>
  <c r="N420" i="1"/>
  <c r="O420" i="1"/>
  <c r="P420" i="1"/>
  <c r="Q420" i="1"/>
  <c r="R420" i="1"/>
  <c r="S420" i="1"/>
  <c r="T420" i="1"/>
  <c r="U420" i="1"/>
  <c r="V420" i="1"/>
  <c r="W420" i="1"/>
  <c r="X420" i="1"/>
  <c r="Y420" i="1"/>
  <c r="Z420" i="1"/>
  <c r="AA420" i="1"/>
  <c r="AB420" i="1"/>
  <c r="AC420" i="1"/>
  <c r="AD420" i="1"/>
  <c r="AE420" i="1"/>
  <c r="AF420" i="1"/>
  <c r="AG420" i="1"/>
  <c r="AH420" i="1"/>
  <c r="E422" i="1"/>
  <c r="F422" i="1"/>
  <c r="G422" i="1"/>
  <c r="H422" i="1"/>
  <c r="I422" i="1"/>
  <c r="J422" i="1"/>
  <c r="K422" i="1"/>
  <c r="L422" i="1"/>
  <c r="M422" i="1"/>
  <c r="N422" i="1"/>
  <c r="O422" i="1"/>
  <c r="P422" i="1"/>
  <c r="Q422" i="1"/>
  <c r="R422" i="1"/>
  <c r="S422" i="1"/>
  <c r="T422" i="1"/>
  <c r="U422" i="1"/>
  <c r="V422" i="1"/>
  <c r="W422" i="1"/>
  <c r="X422" i="1"/>
  <c r="Y422" i="1"/>
  <c r="Z422" i="1"/>
  <c r="AA422" i="1"/>
  <c r="AB422" i="1"/>
  <c r="AC422" i="1"/>
  <c r="AD422" i="1"/>
  <c r="AE422" i="1"/>
  <c r="AF422" i="1"/>
  <c r="AG422" i="1"/>
  <c r="AH422" i="1"/>
  <c r="E423" i="1"/>
  <c r="F423" i="1"/>
  <c r="G423" i="1"/>
  <c r="H423" i="1"/>
  <c r="I423" i="1"/>
  <c r="J423" i="1"/>
  <c r="K423" i="1"/>
  <c r="L423" i="1"/>
  <c r="M423" i="1"/>
  <c r="N423" i="1"/>
  <c r="O423" i="1"/>
  <c r="P423" i="1"/>
  <c r="Q423" i="1"/>
  <c r="R423" i="1"/>
  <c r="S423" i="1"/>
  <c r="T423" i="1"/>
  <c r="U423" i="1"/>
  <c r="V423" i="1"/>
  <c r="W423" i="1"/>
  <c r="X423" i="1"/>
  <c r="Y423" i="1"/>
  <c r="Z423" i="1"/>
  <c r="AA423" i="1"/>
  <c r="AB423" i="1"/>
  <c r="AC423" i="1"/>
  <c r="AD423" i="1"/>
  <c r="AE423" i="1"/>
  <c r="AF423" i="1"/>
  <c r="AG423" i="1"/>
  <c r="AH423" i="1"/>
  <c r="E424" i="1"/>
  <c r="F424" i="1"/>
  <c r="G424" i="1"/>
  <c r="H424" i="1"/>
  <c r="I424" i="1"/>
  <c r="J424" i="1"/>
  <c r="K424" i="1"/>
  <c r="L424" i="1"/>
  <c r="M424" i="1"/>
  <c r="N424" i="1"/>
  <c r="O424" i="1"/>
  <c r="P424" i="1"/>
  <c r="Q424" i="1"/>
  <c r="R424" i="1"/>
  <c r="S424" i="1"/>
  <c r="T424" i="1"/>
  <c r="U424" i="1"/>
  <c r="V424" i="1"/>
  <c r="W424" i="1"/>
  <c r="X424" i="1"/>
  <c r="Y424" i="1"/>
  <c r="Z424" i="1"/>
  <c r="AA424" i="1"/>
  <c r="AB424" i="1"/>
  <c r="AC424" i="1"/>
  <c r="AD424" i="1"/>
  <c r="AE424" i="1"/>
  <c r="AF424" i="1"/>
  <c r="AG424" i="1"/>
  <c r="AH424" i="1"/>
  <c r="E425" i="1"/>
  <c r="F425" i="1"/>
  <c r="G425" i="1"/>
  <c r="H425" i="1"/>
  <c r="I425" i="1"/>
  <c r="J425" i="1"/>
  <c r="K425" i="1"/>
  <c r="L425" i="1"/>
  <c r="M425" i="1"/>
  <c r="N425" i="1"/>
  <c r="O425" i="1"/>
  <c r="P425" i="1"/>
  <c r="Q425" i="1"/>
  <c r="R425" i="1"/>
  <c r="S425" i="1"/>
  <c r="T425" i="1"/>
  <c r="U425" i="1"/>
  <c r="V425" i="1"/>
  <c r="W425" i="1"/>
  <c r="X425" i="1"/>
  <c r="Y425" i="1"/>
  <c r="Z425" i="1"/>
  <c r="AA425" i="1"/>
  <c r="AB425" i="1"/>
  <c r="AC425" i="1"/>
  <c r="AD425" i="1"/>
  <c r="AE425" i="1"/>
  <c r="AF425" i="1"/>
  <c r="AG425" i="1"/>
  <c r="AH425" i="1"/>
  <c r="E426" i="1"/>
  <c r="F426" i="1"/>
  <c r="G426" i="1"/>
  <c r="H426" i="1"/>
  <c r="I426" i="1"/>
  <c r="J426" i="1"/>
  <c r="K426" i="1"/>
  <c r="L426" i="1"/>
  <c r="M426" i="1"/>
  <c r="N426" i="1"/>
  <c r="O426" i="1"/>
  <c r="P426" i="1"/>
  <c r="Q426" i="1"/>
  <c r="R426" i="1"/>
  <c r="S426" i="1"/>
  <c r="T426" i="1"/>
  <c r="U426" i="1"/>
  <c r="V426" i="1"/>
  <c r="W426" i="1"/>
  <c r="X426" i="1"/>
  <c r="Y426" i="1"/>
  <c r="Z426" i="1"/>
  <c r="AA426" i="1"/>
  <c r="AB426" i="1"/>
  <c r="AC426" i="1"/>
  <c r="AD426" i="1"/>
  <c r="AE426" i="1"/>
  <c r="AF426" i="1"/>
  <c r="AG426" i="1"/>
  <c r="AH426" i="1"/>
  <c r="E427" i="1"/>
  <c r="F427" i="1"/>
  <c r="G427" i="1"/>
  <c r="H427" i="1"/>
  <c r="I427" i="1"/>
  <c r="J427" i="1"/>
  <c r="K427" i="1"/>
  <c r="L427" i="1"/>
  <c r="M427" i="1"/>
  <c r="N427" i="1"/>
  <c r="O427" i="1"/>
  <c r="P427" i="1"/>
  <c r="Q427" i="1"/>
  <c r="R427" i="1"/>
  <c r="S427" i="1"/>
  <c r="T427" i="1"/>
  <c r="U427" i="1"/>
  <c r="V427" i="1"/>
  <c r="W427" i="1"/>
  <c r="X427" i="1"/>
  <c r="Y427" i="1"/>
  <c r="Z427" i="1"/>
  <c r="AA427" i="1"/>
  <c r="AB427" i="1"/>
  <c r="AC427" i="1"/>
  <c r="AD427" i="1"/>
  <c r="AE427" i="1"/>
  <c r="AF427" i="1"/>
  <c r="AG427" i="1"/>
  <c r="AH427" i="1"/>
  <c r="E428" i="1"/>
  <c r="F428" i="1"/>
  <c r="G428" i="1"/>
  <c r="H428" i="1"/>
  <c r="I428" i="1"/>
  <c r="J428" i="1"/>
  <c r="K428" i="1"/>
  <c r="L428" i="1"/>
  <c r="M428" i="1"/>
  <c r="N428" i="1"/>
  <c r="O428" i="1"/>
  <c r="P428" i="1"/>
  <c r="Q428" i="1"/>
  <c r="R428" i="1"/>
  <c r="S428" i="1"/>
  <c r="T428" i="1"/>
  <c r="U428" i="1"/>
  <c r="V428" i="1"/>
  <c r="W428" i="1"/>
  <c r="X428" i="1"/>
  <c r="Y428" i="1"/>
  <c r="Z428" i="1"/>
  <c r="AA428" i="1"/>
  <c r="AB428" i="1"/>
  <c r="AC428" i="1"/>
  <c r="AD428" i="1"/>
  <c r="AE428" i="1"/>
  <c r="AF428" i="1"/>
  <c r="AG428" i="1"/>
  <c r="AH428" i="1"/>
  <c r="E429" i="1"/>
  <c r="F429" i="1"/>
  <c r="G429" i="1"/>
  <c r="H429" i="1"/>
  <c r="I429" i="1"/>
  <c r="J429" i="1"/>
  <c r="K429" i="1"/>
  <c r="L429" i="1"/>
  <c r="M429" i="1"/>
  <c r="N429" i="1"/>
  <c r="O429" i="1"/>
  <c r="P429" i="1"/>
  <c r="Q429" i="1"/>
  <c r="R429" i="1"/>
  <c r="S429" i="1"/>
  <c r="T429" i="1"/>
  <c r="U429" i="1"/>
  <c r="V429" i="1"/>
  <c r="W429" i="1"/>
  <c r="X429" i="1"/>
  <c r="Y429" i="1"/>
  <c r="Z429" i="1"/>
  <c r="AA429" i="1"/>
  <c r="AB429" i="1"/>
  <c r="AC429" i="1"/>
  <c r="AD429" i="1"/>
  <c r="AE429" i="1"/>
  <c r="AF429" i="1"/>
  <c r="AG429" i="1"/>
  <c r="AH429" i="1"/>
  <c r="E430" i="1"/>
  <c r="F430" i="1"/>
  <c r="G430" i="1"/>
  <c r="H430" i="1"/>
  <c r="I430" i="1"/>
  <c r="J430" i="1"/>
  <c r="K430" i="1"/>
  <c r="L430" i="1"/>
  <c r="M430" i="1"/>
  <c r="N430" i="1"/>
  <c r="O430" i="1"/>
  <c r="P430" i="1"/>
  <c r="Q430" i="1"/>
  <c r="R430" i="1"/>
  <c r="S430" i="1"/>
  <c r="T430" i="1"/>
  <c r="U430" i="1"/>
  <c r="V430" i="1"/>
  <c r="W430" i="1"/>
  <c r="X430" i="1"/>
  <c r="Y430" i="1"/>
  <c r="Z430" i="1"/>
  <c r="AA430" i="1"/>
  <c r="AB430" i="1"/>
  <c r="AC430" i="1"/>
  <c r="AD430" i="1"/>
  <c r="AE430" i="1"/>
  <c r="AF430" i="1"/>
  <c r="AG430" i="1"/>
  <c r="AH430"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 r="AD431" i="1"/>
  <c r="AE431" i="1"/>
  <c r="AF431" i="1"/>
  <c r="AG431" i="1"/>
  <c r="AH431" i="1"/>
  <c r="E455" i="1"/>
  <c r="E456" i="1"/>
  <c r="E458" i="1"/>
  <c r="E462" i="1"/>
  <c r="E474" i="1"/>
  <c r="E480" i="1"/>
  <c r="E484" i="1"/>
  <c r="E496" i="1"/>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D45" i="6"/>
  <c r="E45" i="6"/>
  <c r="F45" i="6"/>
  <c r="G45" i="6"/>
  <c r="H45" i="6"/>
  <c r="I45" i="6"/>
  <c r="J45" i="6"/>
  <c r="K45" i="6"/>
  <c r="L45" i="6"/>
  <c r="M45" i="6"/>
  <c r="N45" i="6"/>
  <c r="O45" i="6"/>
  <c r="P45" i="6"/>
  <c r="Q45" i="6"/>
  <c r="R45" i="6"/>
  <c r="S45" i="6"/>
  <c r="T45" i="6"/>
  <c r="U45" i="6"/>
  <c r="V45" i="6"/>
  <c r="W45" i="6"/>
  <c r="X45" i="6"/>
  <c r="Y45" i="6"/>
  <c r="Z45" i="6"/>
  <c r="AA45" i="6"/>
  <c r="AB45" i="6"/>
  <c r="AC45" i="6"/>
  <c r="AD45" i="6"/>
  <c r="AE45" i="6"/>
  <c r="AF45" i="6"/>
  <c r="AG45" i="6"/>
  <c r="AH45" i="6"/>
  <c r="D47" i="6"/>
  <c r="E47" i="6"/>
  <c r="F47" i="6"/>
  <c r="G47" i="6"/>
  <c r="H47" i="6"/>
  <c r="I47" i="6"/>
  <c r="J47" i="6"/>
  <c r="K47" i="6"/>
  <c r="L47" i="6"/>
  <c r="M47" i="6"/>
  <c r="N47" i="6"/>
  <c r="O47" i="6"/>
  <c r="P47" i="6"/>
  <c r="Q47" i="6"/>
  <c r="R47" i="6"/>
  <c r="S47" i="6"/>
  <c r="T47" i="6"/>
  <c r="U47" i="6"/>
  <c r="V47" i="6"/>
  <c r="W47" i="6"/>
  <c r="X47" i="6"/>
  <c r="Y47" i="6"/>
  <c r="Z47" i="6"/>
  <c r="AA47" i="6"/>
  <c r="AB47" i="6"/>
  <c r="AC47" i="6"/>
  <c r="AD47" i="6"/>
  <c r="AE47" i="6"/>
  <c r="AF47" i="6"/>
  <c r="AG47" i="6"/>
  <c r="AH47" i="6"/>
  <c r="E3" i="14"/>
  <c r="F3" i="14"/>
  <c r="G3" i="14"/>
  <c r="H3" i="14"/>
  <c r="I3" i="14"/>
  <c r="J3" i="14"/>
  <c r="K3" i="14"/>
  <c r="L3" i="14"/>
  <c r="M3" i="14"/>
  <c r="N3" i="14"/>
  <c r="O3" i="14"/>
  <c r="P3" i="14"/>
  <c r="Q3" i="14"/>
  <c r="R3" i="14"/>
  <c r="S3" i="14"/>
  <c r="T3" i="14"/>
  <c r="U3" i="14"/>
  <c r="V3" i="14"/>
  <c r="W3" i="14"/>
  <c r="X3" i="14"/>
  <c r="Y3" i="14"/>
  <c r="Z3" i="14"/>
  <c r="AA3" i="14"/>
  <c r="AB3" i="14"/>
  <c r="AC3" i="14"/>
  <c r="AD3" i="14"/>
  <c r="AE3" i="14"/>
  <c r="AF3" i="14"/>
  <c r="AG3" i="14"/>
  <c r="AH3" i="14"/>
  <c r="AI3" i="14"/>
  <c r="C4" i="14"/>
  <c r="D4" i="14"/>
  <c r="E4" i="14"/>
  <c r="F4" i="14"/>
  <c r="G4" i="14"/>
  <c r="H4" i="14"/>
  <c r="I4" i="14"/>
  <c r="J4" i="14"/>
  <c r="K4" i="14"/>
  <c r="L4" i="14"/>
  <c r="M4" i="14"/>
  <c r="N4" i="14"/>
  <c r="O4" i="14"/>
  <c r="P4" i="14"/>
  <c r="Q4" i="14"/>
  <c r="R4" i="14"/>
  <c r="S4" i="14"/>
  <c r="T4" i="14"/>
  <c r="U4" i="14"/>
  <c r="V4" i="14"/>
  <c r="W4" i="14"/>
  <c r="X4" i="14"/>
  <c r="Y4" i="14"/>
  <c r="Z4" i="14"/>
  <c r="AA4" i="14"/>
  <c r="AB4" i="14"/>
  <c r="AC4" i="14"/>
  <c r="AD4" i="14"/>
  <c r="AE4" i="14"/>
  <c r="AF4" i="14"/>
  <c r="AG4" i="14"/>
  <c r="AH4" i="14"/>
  <c r="AI4" i="14"/>
  <c r="F7" i="14"/>
  <c r="G7" i="14"/>
  <c r="H7"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D14" i="13"/>
  <c r="D16" i="13"/>
  <c r="D17" i="13"/>
  <c r="D18" i="13"/>
  <c r="C24" i="13"/>
  <c r="D24" i="13"/>
  <c r="C25" i="13"/>
  <c r="D25" i="13"/>
  <c r="C31" i="13"/>
  <c r="C34" i="13"/>
  <c r="C35" i="13"/>
  <c r="C38" i="13"/>
  <c r="E38" i="13"/>
  <c r="F38" i="13"/>
  <c r="G38" i="13"/>
  <c r="F40" i="13"/>
  <c r="G40" i="13"/>
  <c r="C45" i="13"/>
  <c r="E45" i="13"/>
  <c r="F45" i="13"/>
  <c r="G45" i="13"/>
  <c r="C51" i="13"/>
  <c r="E51" i="13"/>
  <c r="F51" i="13"/>
  <c r="C57" i="13"/>
  <c r="D57" i="13"/>
  <c r="E57" i="13"/>
  <c r="F57" i="13"/>
  <c r="G57" i="13"/>
  <c r="B7"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B10"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B11"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B16" i="2"/>
  <c r="C16" i="2"/>
  <c r="D16" i="2"/>
  <c r="E16" i="2"/>
  <c r="F16" i="2"/>
  <c r="G16" i="2"/>
  <c r="B17" i="2"/>
  <c r="C17" i="2"/>
  <c r="D17" i="2"/>
  <c r="E17" i="2"/>
  <c r="F17" i="2"/>
  <c r="G17" i="2"/>
  <c r="B19" i="2"/>
  <c r="C19" i="2"/>
  <c r="D19" i="2"/>
  <c r="E19" i="2"/>
  <c r="F19" i="2"/>
  <c r="B20" i="2"/>
  <c r="C20" i="2"/>
  <c r="D20" i="2"/>
  <c r="E20" i="2"/>
  <c r="F20" i="2"/>
  <c r="G20" i="2"/>
  <c r="B21" i="2"/>
  <c r="C21" i="2"/>
  <c r="F21" i="2"/>
  <c r="G21"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B26"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B28"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B29"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C2" i="16"/>
  <c r="C5" i="16"/>
  <c r="C15" i="16"/>
  <c r="C16" i="16"/>
  <c r="C19" i="16"/>
  <c r="D19" i="16"/>
  <c r="C20" i="16"/>
  <c r="C21" i="16"/>
  <c r="C24" i="16"/>
  <c r="C25" i="16"/>
  <c r="C26" i="16"/>
  <c r="D26" i="16"/>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AF67" i="5"/>
  <c r="AG67" i="5"/>
  <c r="AH67"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AF68" i="5"/>
  <c r="AG68" i="5"/>
  <c r="AH68"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AF70" i="5"/>
  <c r="AG70" i="5"/>
  <c r="AH70"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H72" i="5"/>
  <c r="E73" i="5"/>
  <c r="F73" i="5"/>
  <c r="G73" i="5"/>
  <c r="H73" i="5"/>
  <c r="I73" i="5"/>
  <c r="J73" i="5"/>
  <c r="K73" i="5"/>
  <c r="L73" i="5"/>
  <c r="M73" i="5"/>
  <c r="N73" i="5"/>
  <c r="O73" i="5"/>
  <c r="P73" i="5"/>
  <c r="Q73" i="5"/>
  <c r="R73" i="5"/>
  <c r="S73" i="5"/>
  <c r="T73" i="5"/>
  <c r="U73" i="5"/>
  <c r="V73" i="5"/>
  <c r="W73" i="5"/>
  <c r="X73" i="5"/>
  <c r="Y73" i="5"/>
  <c r="Z73" i="5"/>
  <c r="AA73" i="5"/>
  <c r="AB73" i="5"/>
  <c r="AC73" i="5"/>
  <c r="AD73" i="5"/>
  <c r="AE73" i="5"/>
  <c r="AF73" i="5"/>
  <c r="AG73" i="5"/>
  <c r="AH73"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AF74" i="5"/>
  <c r="AG74" i="5"/>
  <c r="AH74" i="5"/>
  <c r="E75" i="5"/>
  <c r="F75" i="5"/>
  <c r="G75" i="5"/>
  <c r="H75" i="5"/>
  <c r="I75" i="5"/>
  <c r="J75" i="5"/>
  <c r="K75" i="5"/>
  <c r="L75" i="5"/>
  <c r="M75" i="5"/>
  <c r="N75" i="5"/>
  <c r="O75" i="5"/>
  <c r="P75" i="5"/>
  <c r="Q75" i="5"/>
  <c r="R75" i="5"/>
  <c r="S75" i="5"/>
  <c r="T75" i="5"/>
  <c r="U75" i="5"/>
  <c r="V75" i="5"/>
  <c r="W75" i="5"/>
  <c r="X75" i="5"/>
  <c r="Y75" i="5"/>
  <c r="Z75" i="5"/>
  <c r="AA75" i="5"/>
  <c r="AB75" i="5"/>
  <c r="AC75" i="5"/>
  <c r="AD75" i="5"/>
  <c r="AE75" i="5"/>
  <c r="AF75" i="5"/>
  <c r="AG75" i="5"/>
  <c r="AH75" i="5"/>
  <c r="E103" i="5"/>
  <c r="F103" i="5"/>
  <c r="G103" i="5"/>
  <c r="H103" i="5"/>
  <c r="I103" i="5"/>
  <c r="J103" i="5"/>
  <c r="K103" i="5"/>
  <c r="L103" i="5"/>
  <c r="M103" i="5"/>
  <c r="N103" i="5"/>
  <c r="O103" i="5"/>
  <c r="P103" i="5"/>
  <c r="Q103" i="5"/>
  <c r="R103" i="5"/>
  <c r="S103" i="5"/>
  <c r="T103" i="5"/>
  <c r="U103" i="5"/>
  <c r="V103" i="5"/>
  <c r="W103" i="5"/>
  <c r="X103" i="5"/>
  <c r="Y103" i="5"/>
  <c r="Z103" i="5"/>
  <c r="AA103" i="5"/>
  <c r="AB103" i="5"/>
  <c r="AC103" i="5"/>
  <c r="AD103" i="5"/>
  <c r="AE103" i="5"/>
  <c r="AF103" i="5"/>
  <c r="AG103" i="5"/>
  <c r="AH103" i="5"/>
  <c r="E104" i="5"/>
  <c r="F104" i="5"/>
  <c r="G104" i="5"/>
  <c r="H104" i="5"/>
  <c r="I104" i="5"/>
  <c r="J104" i="5"/>
  <c r="K104" i="5"/>
  <c r="L104" i="5"/>
  <c r="M104" i="5"/>
  <c r="N104" i="5"/>
  <c r="O104" i="5"/>
  <c r="P104" i="5"/>
  <c r="Q104" i="5"/>
  <c r="R104" i="5"/>
  <c r="S104" i="5"/>
  <c r="T104" i="5"/>
  <c r="U104" i="5"/>
  <c r="V104" i="5"/>
  <c r="W104" i="5"/>
  <c r="X104" i="5"/>
  <c r="Y104" i="5"/>
  <c r="Z104" i="5"/>
  <c r="AA104" i="5"/>
  <c r="AB104" i="5"/>
  <c r="AC104" i="5"/>
  <c r="AD104" i="5"/>
  <c r="AE104" i="5"/>
  <c r="AF104" i="5"/>
  <c r="AG104" i="5"/>
  <c r="AH104" i="5"/>
  <c r="E105" i="5"/>
  <c r="F105" i="5"/>
  <c r="G105" i="5"/>
  <c r="H105"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AH105" i="5"/>
  <c r="E106" i="5"/>
  <c r="F106" i="5"/>
  <c r="G106" i="5"/>
  <c r="H106" i="5"/>
  <c r="I106" i="5"/>
  <c r="J106" i="5"/>
  <c r="K106" i="5"/>
  <c r="L106" i="5"/>
  <c r="M106" i="5"/>
  <c r="N106" i="5"/>
  <c r="O106" i="5"/>
  <c r="P106" i="5"/>
  <c r="Q106" i="5"/>
  <c r="R106" i="5"/>
  <c r="S106" i="5"/>
  <c r="T106" i="5"/>
  <c r="U106" i="5"/>
  <c r="V106" i="5"/>
  <c r="W106" i="5"/>
  <c r="X106" i="5"/>
  <c r="Y106" i="5"/>
  <c r="Z106" i="5"/>
  <c r="AA106" i="5"/>
  <c r="AB106" i="5"/>
  <c r="AC106" i="5"/>
  <c r="AD106" i="5"/>
  <c r="AE106" i="5"/>
  <c r="AF106" i="5"/>
  <c r="AG106" i="5"/>
  <c r="AH106" i="5"/>
  <c r="E107" i="5"/>
  <c r="F107" i="5"/>
  <c r="G107" i="5"/>
  <c r="H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AG107" i="5"/>
  <c r="AH107" i="5"/>
  <c r="E108" i="5"/>
  <c r="F108" i="5"/>
  <c r="G108" i="5"/>
  <c r="H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AG108" i="5"/>
  <c r="AH108" i="5"/>
  <c r="E109" i="5"/>
  <c r="F109" i="5"/>
  <c r="G109" i="5"/>
  <c r="H109" i="5"/>
  <c r="I109" i="5"/>
  <c r="J109" i="5"/>
  <c r="K109" i="5"/>
  <c r="L109" i="5"/>
  <c r="M109" i="5"/>
  <c r="N109" i="5"/>
  <c r="O109" i="5"/>
  <c r="P109" i="5"/>
  <c r="Q109" i="5"/>
  <c r="R109" i="5"/>
  <c r="S109" i="5"/>
  <c r="T109" i="5"/>
  <c r="U109" i="5"/>
  <c r="V109" i="5"/>
  <c r="W109" i="5"/>
  <c r="X109" i="5"/>
  <c r="Y109" i="5"/>
  <c r="Z109" i="5"/>
  <c r="AA109" i="5"/>
  <c r="AB109" i="5"/>
  <c r="AC109" i="5"/>
  <c r="AD109" i="5"/>
  <c r="AE109" i="5"/>
  <c r="AF109" i="5"/>
  <c r="AG109" i="5"/>
  <c r="AH109" i="5"/>
  <c r="E110" i="5"/>
  <c r="F110" i="5"/>
  <c r="G110" i="5"/>
  <c r="H110" i="5"/>
  <c r="I110" i="5"/>
  <c r="J110" i="5"/>
  <c r="K110" i="5"/>
  <c r="L110" i="5"/>
  <c r="M110" i="5"/>
  <c r="N110" i="5"/>
  <c r="O110" i="5"/>
  <c r="P110" i="5"/>
  <c r="Q110" i="5"/>
  <c r="R110" i="5"/>
  <c r="S110" i="5"/>
  <c r="T110" i="5"/>
  <c r="U110" i="5"/>
  <c r="V110" i="5"/>
  <c r="W110" i="5"/>
  <c r="X110" i="5"/>
  <c r="Y110" i="5"/>
  <c r="Z110" i="5"/>
  <c r="AA110" i="5"/>
  <c r="AB110" i="5"/>
  <c r="AC110" i="5"/>
  <c r="AD110" i="5"/>
  <c r="AE110" i="5"/>
  <c r="AF110" i="5"/>
  <c r="AG110" i="5"/>
  <c r="AH110" i="5"/>
  <c r="E111" i="5"/>
  <c r="F111" i="5"/>
  <c r="G111" i="5"/>
  <c r="H111" i="5"/>
  <c r="I111" i="5"/>
  <c r="J111" i="5"/>
  <c r="K111" i="5"/>
  <c r="L111" i="5"/>
  <c r="M111" i="5"/>
  <c r="N111" i="5"/>
  <c r="O111" i="5"/>
  <c r="P111" i="5"/>
  <c r="Q111" i="5"/>
  <c r="R111" i="5"/>
  <c r="S111" i="5"/>
  <c r="T111" i="5"/>
  <c r="U111" i="5"/>
  <c r="V111" i="5"/>
  <c r="W111" i="5"/>
  <c r="X111" i="5"/>
  <c r="Y111" i="5"/>
  <c r="Z111" i="5"/>
  <c r="AA111" i="5"/>
  <c r="AB111" i="5"/>
  <c r="AC111" i="5"/>
  <c r="AD111" i="5"/>
  <c r="AE111" i="5"/>
  <c r="AF111" i="5"/>
  <c r="AG111" i="5"/>
  <c r="AH111" i="5"/>
  <c r="E112" i="5"/>
  <c r="F112" i="5"/>
  <c r="G112" i="5"/>
  <c r="H112" i="5"/>
  <c r="I112" i="5"/>
  <c r="J112" i="5"/>
  <c r="K112" i="5"/>
  <c r="L112" i="5"/>
  <c r="M112" i="5"/>
  <c r="N112" i="5"/>
  <c r="O112" i="5"/>
  <c r="P112" i="5"/>
  <c r="Q112" i="5"/>
  <c r="R112" i="5"/>
  <c r="S112" i="5"/>
  <c r="T112" i="5"/>
  <c r="U112" i="5"/>
  <c r="V112" i="5"/>
  <c r="W112" i="5"/>
  <c r="X112" i="5"/>
  <c r="Y112" i="5"/>
  <c r="Z112" i="5"/>
  <c r="AA112" i="5"/>
  <c r="AB112" i="5"/>
  <c r="AC112" i="5"/>
  <c r="AD112" i="5"/>
  <c r="AE112" i="5"/>
  <c r="AF112" i="5"/>
  <c r="AG112" i="5"/>
  <c r="AH112" i="5"/>
  <c r="B116" i="5"/>
  <c r="C116" i="5"/>
  <c r="D116" i="5"/>
  <c r="E116" i="5"/>
  <c r="F116" i="5"/>
  <c r="G116" i="5"/>
  <c r="H116" i="5"/>
  <c r="I116" i="5"/>
  <c r="J116" i="5"/>
  <c r="K116" i="5"/>
  <c r="L116" i="5"/>
  <c r="M116" i="5"/>
  <c r="N116" i="5"/>
  <c r="O116" i="5"/>
  <c r="P116" i="5"/>
  <c r="Q116" i="5"/>
  <c r="R116" i="5"/>
  <c r="S116" i="5"/>
  <c r="T116" i="5"/>
  <c r="U116" i="5"/>
  <c r="V116" i="5"/>
  <c r="W116" i="5"/>
  <c r="X116" i="5"/>
  <c r="Y116" i="5"/>
  <c r="Z116" i="5"/>
  <c r="AA116" i="5"/>
  <c r="AB116" i="5"/>
  <c r="AC116" i="5"/>
  <c r="AD116" i="5"/>
  <c r="AE116" i="5"/>
  <c r="AF116" i="5"/>
  <c r="AG116" i="5"/>
  <c r="AH116" i="5"/>
  <c r="C118" i="5"/>
  <c r="D118" i="5"/>
  <c r="E118" i="5"/>
  <c r="F118" i="5"/>
  <c r="G118" i="5"/>
  <c r="H118" i="5"/>
  <c r="I118" i="5"/>
  <c r="J118" i="5"/>
  <c r="K118" i="5"/>
  <c r="L118" i="5"/>
  <c r="M118" i="5"/>
  <c r="N118" i="5"/>
  <c r="O118" i="5"/>
  <c r="P118" i="5"/>
  <c r="Q118" i="5"/>
  <c r="R118" i="5"/>
  <c r="S118" i="5"/>
  <c r="T118" i="5"/>
  <c r="U118" i="5"/>
  <c r="V118" i="5"/>
  <c r="W118" i="5"/>
  <c r="X118" i="5"/>
  <c r="Y118" i="5"/>
  <c r="Z118" i="5"/>
  <c r="AA118" i="5"/>
  <c r="AB118" i="5"/>
  <c r="AC118" i="5"/>
  <c r="AD118" i="5"/>
  <c r="AE118" i="5"/>
  <c r="AF118" i="5"/>
  <c r="AG118" i="5"/>
  <c r="AH118" i="5"/>
  <c r="E120" i="5"/>
  <c r="F120" i="5"/>
  <c r="G120" i="5"/>
  <c r="H120" i="5"/>
  <c r="I120" i="5"/>
  <c r="J120" i="5"/>
  <c r="K120" i="5"/>
  <c r="L120" i="5"/>
  <c r="M120" i="5"/>
  <c r="N120" i="5"/>
  <c r="O120" i="5"/>
  <c r="P120" i="5"/>
  <c r="Q120" i="5"/>
  <c r="R120" i="5"/>
  <c r="S120" i="5"/>
  <c r="T120" i="5"/>
  <c r="U120" i="5"/>
  <c r="V120" i="5"/>
  <c r="W120" i="5"/>
  <c r="X120" i="5"/>
  <c r="Y120" i="5"/>
  <c r="Z120" i="5"/>
  <c r="AA120" i="5"/>
  <c r="AB120" i="5"/>
  <c r="AC120" i="5"/>
  <c r="AD120" i="5"/>
  <c r="AE120" i="5"/>
  <c r="AF120" i="5"/>
  <c r="AG120" i="5"/>
  <c r="AH120" i="5"/>
</calcChain>
</file>

<file path=xl/comments1.xml><?xml version="1.0" encoding="utf-8"?>
<comments xmlns="http://schemas.openxmlformats.org/spreadsheetml/2006/main">
  <authors>
    <author>AL</author>
    <author>Janis Pastars</author>
  </authors>
  <commentList>
    <comment ref="B44" authorId="0" shapeId="0">
      <text>
        <r>
          <rPr>
            <sz val="8"/>
            <color indexed="8"/>
            <rFont val="Times New Roman"/>
            <family val="1"/>
          </rPr>
          <t>Jābūt &gt;=2% un &lt;=4%</t>
        </r>
      </text>
    </comment>
    <comment ref="A201" authorId="0" shapeId="0">
      <text>
        <r>
          <rPr>
            <sz val="8"/>
            <color indexed="8"/>
            <rFont val="Times New Roman"/>
            <family val="1"/>
          </rPr>
          <t>Izdevumu pieaugums ar (+) zīmi; izdevumu samazinājums ar (-) zīmi</t>
        </r>
      </text>
    </comment>
    <comment ref="A260" authorId="0" shape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62" authorId="0" shapeId="0">
      <text>
        <r>
          <rPr>
            <sz val="8"/>
            <color indexed="8"/>
            <rFont val="Times New Roman"/>
            <family val="1"/>
          </rPr>
          <t xml:space="preserve">Ūdens daudzums mērītāju uzstādīšan u.c. ieņēmumi, kas nav iekļauti tarifā vai pakalpojuma cenā
</t>
        </r>
      </text>
    </comment>
    <comment ref="A269" authorId="0" shape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71" authorId="0" shapeId="0">
      <text>
        <r>
          <rPr>
            <sz val="8"/>
            <color indexed="8"/>
            <rFont val="Times New Roman"/>
            <family val="1"/>
          </rPr>
          <t xml:space="preserve">Ūdens daudzums mērītāju uzstādīšan u.c. ieņēmumi, kas nav iekļauti tarifā vai pakalpojuma cenā
</t>
        </r>
      </text>
    </comment>
    <comment ref="A273" authorId="0" shape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74" authorId="0" shapeId="0">
      <text>
        <r>
          <rPr>
            <sz val="8"/>
            <color indexed="8"/>
            <rFont val="Times New Roman"/>
            <family val="1"/>
          </rPr>
          <t xml:space="preserve">Ūdens daudzums mērītāju uzstādīšan u.c. ieņēmumi, kas nav iekļauti tarifā vai pakalpojuma cenā
</t>
        </r>
      </text>
    </comment>
    <comment ref="A276" authorId="0" shape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78" authorId="0" shapeId="0">
      <text>
        <r>
          <rPr>
            <sz val="8"/>
            <color indexed="8"/>
            <rFont val="Times New Roman"/>
            <family val="1"/>
          </rPr>
          <t xml:space="preserve">Ūdens daudzums mērītāju uzstādīšan u.c. ieņēmumi, kas nav iekļauti tarifā vai pakalpojuma cenā
</t>
        </r>
      </text>
    </comment>
    <comment ref="A280" authorId="0" shape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81" authorId="0" shapeId="0">
      <text>
        <r>
          <rPr>
            <sz val="8"/>
            <color indexed="8"/>
            <rFont val="Times New Roman"/>
            <family val="1"/>
          </rPr>
          <t xml:space="preserve">Ūdens daudzums mērītāju uzstādīšan u.c. ieņēmumi, kas nav iekļauti tarifā vai pakalpojuma cenā
</t>
        </r>
      </text>
    </comment>
    <comment ref="A297" authorId="0" shapeId="0">
      <text>
        <r>
          <rPr>
            <sz val="8"/>
            <color indexed="8"/>
            <rFont val="Times New Roman"/>
            <family val="1"/>
          </rPr>
          <t xml:space="preserve">Citi ieņēmumi, kas nav iekļauti tarifā vai pakalpojuma cenā
</t>
        </r>
      </text>
    </comment>
    <comment ref="A301" authorId="0" shapeId="0">
      <text>
        <r>
          <rPr>
            <sz val="8"/>
            <color indexed="8"/>
            <rFont val="Times New Roman"/>
            <family val="1"/>
          </rPr>
          <t xml:space="preserve">Citi ieņēmumi, kas nav iekļauti tarifā vai pakalpojuma cenā
</t>
        </r>
      </text>
    </comment>
    <comment ref="A306" authorId="0" shapeId="0">
      <text>
        <r>
          <rPr>
            <sz val="8"/>
            <color indexed="8"/>
            <rFont val="Times New Roman"/>
            <family val="1"/>
          </rPr>
          <t xml:space="preserve">Citi ieņēmumi, kas nav iekļauti tarifā vai pakalpojuma cenā
</t>
        </r>
      </text>
    </comment>
    <comment ref="A309" authorId="0" shapeId="0">
      <text>
        <r>
          <rPr>
            <sz val="8"/>
            <color indexed="8"/>
            <rFont val="Times New Roman"/>
            <family val="1"/>
          </rPr>
          <t xml:space="preserve">Citi ieņēmumi, kas nav iekļauti tarifā vai pakalpojuma cenā
</t>
        </r>
      </text>
    </comment>
    <comment ref="A313" authorId="0" shapeId="0">
      <text>
        <r>
          <rPr>
            <sz val="8"/>
            <color indexed="8"/>
            <rFont val="Times New Roman"/>
            <family val="1"/>
          </rPr>
          <t xml:space="preserve">Citi ieņēmumi, kas nav iekļauti tarifā vai pakalpojuma cenā
</t>
        </r>
      </text>
    </comment>
    <comment ref="A316" authorId="0" shapeId="0">
      <text>
        <r>
          <rPr>
            <sz val="8"/>
            <color indexed="8"/>
            <rFont val="Times New Roman"/>
            <family val="1"/>
          </rPr>
          <t xml:space="preserve">Citi ieņēmumi, kas nav iekļauti tarifā vai pakalpojuma cenā
</t>
        </r>
      </text>
    </comment>
    <comment ref="A319" authorId="0" shapeId="0">
      <text>
        <r>
          <rPr>
            <b/>
            <sz val="8"/>
            <color indexed="8"/>
            <rFont val="Times New Roman"/>
            <family val="1"/>
          </rPr>
          <t xml:space="preserve">Normunds Cizevskis:
</t>
        </r>
        <r>
          <rPr>
            <sz val="8"/>
            <color indexed="8"/>
            <rFont val="Times New Roman"/>
            <family val="1"/>
          </rPr>
          <t>Ievadiet prognozējamo ūdenssaimniecības debitoru līmeni visā pārskata periodā</t>
        </r>
      </text>
    </comment>
    <comment ref="A321" authorId="0" shapeId="0">
      <text>
        <r>
          <rPr>
            <b/>
            <sz val="8"/>
            <color indexed="8"/>
            <rFont val="Times New Roman"/>
            <family val="1"/>
          </rPr>
          <t xml:space="preserve">Normunds Cizevskis:
</t>
        </r>
        <r>
          <rPr>
            <sz val="8"/>
            <color indexed="8"/>
            <rFont val="Times New Roman"/>
            <family val="1"/>
          </rPr>
          <t>Ievadiet naudas līdzekļu atlikumu uz perioda beigām pirms analīzes veikšanas gada</t>
        </r>
      </text>
    </comment>
    <comment ref="A361" authorId="0" shapeId="0">
      <text>
        <r>
          <rPr>
            <b/>
            <sz val="8"/>
            <color indexed="8"/>
            <rFont val="Times New Roman"/>
            <family val="1"/>
          </rPr>
          <t xml:space="preserve">Normunds Cizevskis:
</t>
        </r>
        <r>
          <rPr>
            <sz val="8"/>
            <color indexed="8"/>
            <rFont val="Times New Roman"/>
            <family val="1"/>
          </rPr>
          <t>Ievadiet prognozējamos pašvaldības pamatbudžeta ieņēmumus tuvākajiem 5 gadiem</t>
        </r>
      </text>
    </comment>
    <comment ref="A365" authorId="0" shapeId="0">
      <text>
        <r>
          <rPr>
            <b/>
            <sz val="8"/>
            <color indexed="8"/>
            <rFont val="Times New Roman"/>
            <family val="1"/>
          </rPr>
          <t xml:space="preserve">Normunds Cizevskis:
</t>
        </r>
        <r>
          <rPr>
            <sz val="8"/>
            <color indexed="8"/>
            <rFont val="Times New Roman"/>
            <family val="1"/>
          </rPr>
          <t>Izvēlieties vai veikt analīzi variantam "AR projektu" vai "BEZ projekta"</t>
        </r>
      </text>
    </comment>
    <comment ref="A373" authorId="0" shapeId="0">
      <text>
        <r>
          <rPr>
            <sz val="8"/>
            <color indexed="8"/>
            <rFont val="Times New Roman"/>
            <family val="1"/>
          </rPr>
          <t xml:space="preserve">Ir jāņem vērā, ka gadījumā, ja tarifa aprēķinā iekļauj aizņēmuma pamatsummu, tiek iekļauta arī tā nolietojuma daļa, kas atbilst ES un Valsts dāvinājumam. Ja aizņēmums netiek iekļauts tarifā, tad tajā ir jāiekļauj viss nolietojums jaunajiem pamatlīdzekļiem.
</t>
        </r>
      </text>
    </comment>
    <comment ref="A377" authorId="1" shapeId="0">
      <text>
        <r>
          <rPr>
            <b/>
            <sz val="9"/>
            <color indexed="81"/>
            <rFont val="Tahoma"/>
            <charset val="1"/>
          </rPr>
          <t>Janis Pastars:</t>
        </r>
        <r>
          <rPr>
            <sz val="9"/>
            <color indexed="81"/>
            <rFont val="Tahoma"/>
            <charset val="1"/>
          </rPr>
          <t xml:space="preserve">
rentabiitāte nedrīkst pārsniegt 7%</t>
        </r>
      </text>
    </comment>
    <comment ref="A393" authorId="0" shape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94" authorId="0" shapeId="0">
      <text>
        <r>
          <rPr>
            <b/>
            <sz val="8"/>
            <color indexed="8"/>
            <rFont val="Times New Roman"/>
            <family val="1"/>
          </rPr>
          <t xml:space="preserve">Normunds Cizevskis:
</t>
        </r>
        <r>
          <rPr>
            <sz val="8"/>
            <color indexed="8"/>
            <rFont val="Times New Roman"/>
            <family val="1"/>
          </rPr>
          <t>Tikai, ja pieļaujamais tarifs pārsniedz aprēķināto</t>
        </r>
      </text>
    </comment>
    <comment ref="A395" authorId="0" shapeId="0">
      <text>
        <r>
          <rPr>
            <sz val="8"/>
            <color indexed="8"/>
            <rFont val="Times New Roman"/>
            <family val="1"/>
          </rPr>
          <t>Šajā rindā raksta vai nu tarifu, ko automātiski aprēķina finansu modelis, vai arī citu tarifu (tādā gadījumā ūdenssaimniecībai ir jāpamato cita tarifa izvēle)</t>
        </r>
      </text>
    </comment>
    <comment ref="A400" authorId="0" shape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402" authorId="0" shapeId="0">
      <text>
        <r>
          <rPr>
            <sz val="8"/>
            <color indexed="8"/>
            <rFont val="Times New Roman"/>
            <family val="1"/>
          </rPr>
          <t xml:space="preserve">Šajā rindā raksta vai nu tarifu, ko automātiski aprēķina finansu modelis, vai arī citu tarifu (tādā gadījumā ūdenssaimniecībai ir jāpamato cita tarifa izvēle)
</t>
        </r>
      </text>
    </comment>
    <comment ref="A404" authorId="0" shapeId="0">
      <text>
        <r>
          <rPr>
            <sz val="8"/>
            <color indexed="8"/>
            <rFont val="Times New Roman"/>
            <family val="1"/>
          </rPr>
          <t>(LVL par 1m3 ūdens un 1m3 kanalizācijas)</t>
        </r>
      </text>
    </comment>
    <comment ref="A408" authorId="0" shape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409" authorId="0" shapeId="0">
      <text>
        <r>
          <rPr>
            <b/>
            <sz val="8"/>
            <color indexed="8"/>
            <rFont val="Times New Roman"/>
            <family val="1"/>
          </rPr>
          <t xml:space="preserve">Normunds Cizevskis:
</t>
        </r>
        <r>
          <rPr>
            <sz val="8"/>
            <color indexed="8"/>
            <rFont val="Times New Roman"/>
            <family val="1"/>
          </rPr>
          <t>Tikai, ja pieļaujamais tarifs pārsniedz aprēķināto</t>
        </r>
      </text>
    </comment>
    <comment ref="A410" authorId="0" shapeId="0">
      <text>
        <r>
          <rPr>
            <sz val="8"/>
            <color indexed="8"/>
            <rFont val="Times New Roman"/>
            <family val="1"/>
          </rPr>
          <t>Šajā rindā raksta vai nu tarifu, ko automātiski aprēķina finansu modelis, vai arī citu tarifu (tādā gadījumā ūdenssaimniecībai ir jāpamato cita tarifa izvēle)</t>
        </r>
      </text>
    </comment>
    <comment ref="A413" authorId="0" shape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415" authorId="0" shapeId="0">
      <text>
        <r>
          <rPr>
            <sz val="8"/>
            <color indexed="8"/>
            <rFont val="Times New Roman"/>
            <family val="1"/>
          </rPr>
          <t xml:space="preserve">Šajā rindā raksta vai nu tarifu, ko automātiski aprēķina finansu modelis, vai arī citu tarifu (tādā gadījumā ūdenssaimniecībai ir jāpamato cita tarifa izvēle)
</t>
        </r>
      </text>
    </comment>
    <comment ref="A416" authorId="0" shapeId="0">
      <text>
        <r>
          <rPr>
            <sz val="8"/>
            <color indexed="8"/>
            <rFont val="Times New Roman"/>
            <family val="1"/>
          </rPr>
          <t>(LVL par 1m3 ūdens un 1m3 kanalizācijas)</t>
        </r>
      </text>
    </comment>
    <comment ref="A438" authorId="0" shapeId="0">
      <text>
        <r>
          <rPr>
            <sz val="8"/>
            <color indexed="8"/>
            <rFont val="Times New Roman"/>
            <family val="1"/>
          </rPr>
          <t>Pamatdarbības ieņēmumu un izmaksu indeksācijai un mājsaimniecību ieņēmumu indeksācijai</t>
        </r>
      </text>
    </comment>
    <comment ref="A440" authorId="0" shapeId="0">
      <text>
        <r>
          <rPr>
            <b/>
            <sz val="8"/>
            <color indexed="8"/>
            <rFont val="Times New Roman"/>
            <family val="1"/>
          </rPr>
          <t xml:space="preserve">Normunds Cizevskis:
</t>
        </r>
        <r>
          <rPr>
            <sz val="8"/>
            <color indexed="8"/>
            <rFont val="Times New Roman"/>
            <family val="1"/>
          </rPr>
          <t>Pamatdarbības izmaksās iekļautās darba algas indeksācijai</t>
        </r>
      </text>
    </comment>
    <comment ref="A442" authorId="0" shapeId="0">
      <text>
        <r>
          <rPr>
            <b/>
            <sz val="8"/>
            <color indexed="8"/>
            <rFont val="Times New Roman"/>
            <family val="1"/>
          </rPr>
          <t xml:space="preserve">Normunds Cizevskis:
</t>
        </r>
        <r>
          <rPr>
            <sz val="8"/>
            <color indexed="8"/>
            <rFont val="Times New Roman"/>
            <family val="1"/>
          </rPr>
          <t>Ieguldījumu izmaksu indeksācijai</t>
        </r>
      </text>
    </comment>
  </commentList>
</comments>
</file>

<file path=xl/comments2.xml><?xml version="1.0" encoding="utf-8"?>
<comments xmlns="http://schemas.openxmlformats.org/spreadsheetml/2006/main">
  <authors>
    <author>AL</author>
  </authors>
  <commentList>
    <comment ref="A199" authorId="0" shapeId="0">
      <text>
        <r>
          <rPr>
            <sz val="8"/>
            <color indexed="8"/>
            <rFont val="Times New Roman"/>
            <family val="1"/>
          </rPr>
          <t xml:space="preserve">Šim rādītājam jāpievērš ļoti liela uzmanība, jo tas norāda uz uzņēmuma spēju apmaksāt drīzumā paredzamos maksājumus. Jāņem vērā, ka brīvie apgrozāmie līdzekļi parasti ir proporcionāli realizācijas apjomiem. Ja, tiek plānots realizācijas apjomu pieaugums, būs nepieciešams arī lielāki brīvie apgrozāmie līdzekļi, lai finansētu realizācijas izmaksas. 
</t>
        </r>
      </text>
    </comment>
    <comment ref="A205" authorId="0" shapeId="0">
      <text>
        <r>
          <rPr>
            <sz val="8"/>
            <color indexed="8"/>
            <rFont val="Times New Roman"/>
            <family val="1"/>
          </rPr>
          <t xml:space="preserve">Zems koeficients norāda, ka klienti lēni apmaksā pakalpojumus, vai arī uzņēmumā izmantotā rēķinu apmaksas sistēma neatbilst konkrētajai nozarei vajadzīgajai. </t>
        </r>
      </text>
    </comment>
    <comment ref="A207" authorId="0" shapeId="0">
      <text>
        <r>
          <rPr>
            <sz val="8"/>
            <color indexed="8"/>
            <rFont val="Times New Roman"/>
            <family val="1"/>
          </rPr>
          <t xml:space="preserve">Augsts koeficients var norādīt uz nepietiekamiem apgrozāmajiem līdzekļiem, kamēr zems koeficients var norādīt uz esošo apgrozāmo līdzekļu neefektīvu izmantošanu. </t>
        </r>
      </text>
    </comment>
    <comment ref="A209" authorId="0" shapeId="0">
      <text>
        <r>
          <rPr>
            <sz val="8"/>
            <color indexed="8"/>
            <rFont val="Times New Roman"/>
            <family val="1"/>
          </rPr>
          <t xml:space="preserve">Šis koeficients nosaka vai uzņēmums efektīvi izmanto savus esošos aktīvus, vai arī ieguldījumi aktīvos ir pārāk lieli. </t>
        </r>
      </text>
    </comment>
    <comment ref="A217" authorId="0" shapeId="0">
      <text>
        <r>
          <rPr>
            <sz val="8"/>
            <color indexed="8"/>
            <rFont val="Times New Roman"/>
            <family val="1"/>
          </rPr>
          <t xml:space="preserve">Parāda ilgtermiņa ieguldījumu pietiekamību. Augsts koeficients norāda to, ka uzņēmumam ir pārāk lieli ilgtermiņa ieguldījumi, zems koeficients norāda, ka uzņēmumam varētu būt jāpalielina ilgtermiņa ieguldījumi, lai nezaudētu konkurētspēju. </t>
        </r>
      </text>
    </comment>
    <comment ref="A223" authorId="0" shapeId="0">
      <text>
        <r>
          <rPr>
            <sz val="8"/>
            <color indexed="8"/>
            <rFont val="Times New Roman"/>
            <family val="1"/>
          </rPr>
          <t xml:space="preserve">Šis koeficients parāda ienesīgumu atkarībā no  ieguldījumiem aktīvos. </t>
        </r>
      </text>
    </comment>
    <comment ref="A225" authorId="0" shapeId="0">
      <text>
        <r>
          <rPr>
            <sz val="8"/>
            <color indexed="8"/>
            <rFont val="Times New Roman"/>
            <family val="1"/>
          </rPr>
          <t xml:space="preserve">Šis koeficients parāda ienesīgumu atkarībā no ieguldījumiem ilgtermiņa aktīvos. </t>
        </r>
      </text>
    </comment>
  </commentList>
</comments>
</file>

<file path=xl/comments3.xml><?xml version="1.0" encoding="utf-8"?>
<comments xmlns="http://schemas.openxmlformats.org/spreadsheetml/2006/main">
  <authors>
    <author>Janis Pastars</author>
    <author>inesek</author>
  </authors>
  <commentList>
    <comment ref="F40" authorId="0" shapeId="0">
      <text>
        <r>
          <rPr>
            <b/>
            <sz val="9"/>
            <color indexed="81"/>
            <rFont val="Tahoma"/>
            <family val="2"/>
            <charset val="186"/>
          </rPr>
          <t>Janis Pastars:</t>
        </r>
        <r>
          <rPr>
            <sz val="9"/>
            <color indexed="81"/>
            <rFont val="Tahoma"/>
            <family val="2"/>
            <charset val="186"/>
          </rPr>
          <t xml:space="preserve">
KF ieguldījums (% no kopējām projekta
 izmaksām)</t>
        </r>
      </text>
    </comment>
    <comment ref="G45" authorId="1" shapeId="0">
      <text>
        <r>
          <rPr>
            <sz val="8"/>
            <color indexed="81"/>
            <rFont val="Tahoma"/>
            <family val="2"/>
            <charset val="186"/>
          </rPr>
          <t>šeit norādīt ierobežoto KF līdzfinansējuma apjomu saskaņā ar MK not. Nr. 836 grozījumiem. Ja KF līdzfinansējums nepārsniedz MK not. nr. 836, tad ar paste special value pārkopēt G39.</t>
        </r>
      </text>
    </comment>
  </commentList>
</comments>
</file>

<file path=xl/sharedStrings.xml><?xml version="1.0" encoding="utf-8"?>
<sst xmlns="http://schemas.openxmlformats.org/spreadsheetml/2006/main" count="978" uniqueCount="600">
  <si>
    <t>Datu ievades lapa</t>
  </si>
  <si>
    <t>Finansējuma saņēmējs</t>
  </si>
  <si>
    <t>Projekta nosaukums</t>
  </si>
  <si>
    <t>Finansējuma saņēmēja juridiskā forma</t>
  </si>
  <si>
    <t>Komercsabiedrība</t>
  </si>
  <si>
    <t>Finanšu modeļa pieņēmumi</t>
  </si>
  <si>
    <t>1.1 Projekta analīzē izmantotie laika rādītāji</t>
  </si>
  <si>
    <t>Ilgtermiņa ieguldījumu nolietojums (gados)</t>
  </si>
  <si>
    <t>Ūdens un kanalizācijas vadi</t>
  </si>
  <si>
    <t>Rezervuāri un tilpnes</t>
  </si>
  <si>
    <t>Ēkas un būves</t>
  </si>
  <si>
    <t>Iekārtas un mašīnas</t>
  </si>
  <si>
    <t>Nemateriālie ieguldījumi</t>
  </si>
  <si>
    <t>Ieguldījumu sākuma gads</t>
  </si>
  <si>
    <t>Ekspluatācijas uzsākšanas gads</t>
  </si>
  <si>
    <t>Analīzes perioda ilgums, gadi</t>
  </si>
  <si>
    <t>PL atlikušais darbības laiks perioda beigās, gadi</t>
  </si>
  <si>
    <t>1.2 Iedzīvotāju maksātspējas noteikšanas pieņēmumi</t>
  </si>
  <si>
    <t>Vidējais mājsaimniecības locekļu skaits</t>
  </si>
  <si>
    <t>* avots: pašvaldība</t>
  </si>
  <si>
    <t>Vidējie mājsaimniecību ienākumi uz 1 locekli, mēn.</t>
  </si>
  <si>
    <t>Gadi</t>
  </si>
  <si>
    <t>Vidējie mājsaimniecību ienākumi, mēn.</t>
  </si>
  <si>
    <t>Tarifu pieļaujamais īpatsvars mājsaimniecības ienākumos</t>
  </si>
  <si>
    <t>1.3. Finanšu avoti, %</t>
  </si>
  <si>
    <t>Pašvaldības pašu līdzekļi</t>
  </si>
  <si>
    <t>Pašvaldības komercsabiedrības pašu līdzekļi</t>
  </si>
  <si>
    <t>Citi finanšu avoti</t>
  </si>
  <si>
    <t>Pašvaldības aizņēmumi</t>
  </si>
  <si>
    <t>Pašvaldības komercsabiedrības aizņēmumi</t>
  </si>
  <si>
    <t>Valsts budžeta dotācija</t>
  </si>
  <si>
    <t>Kopā:</t>
  </si>
  <si>
    <t>Valsts kases aizdevuma likme</t>
  </si>
  <si>
    <t>Komercbanku aizdevuma likme</t>
  </si>
  <si>
    <t xml:space="preserve">Pašvaldības aizņēmuma atmaksas periods (gadi) </t>
  </si>
  <si>
    <t xml:space="preserve">Komercsabiedrības aizņēmuma atmaksas periods (gadi) </t>
  </si>
  <si>
    <t>Projektu finansēs ar aizņēmumu?</t>
  </si>
  <si>
    <t>Jā</t>
  </si>
  <si>
    <t>Nē</t>
  </si>
  <si>
    <t>Būvuzraudzība</t>
  </si>
  <si>
    <t>Autoruzraudzība</t>
  </si>
  <si>
    <t>PVN</t>
  </si>
  <si>
    <t>Ūdenssaimniecības un projekta rādītāji</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</si>
  <si>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</si>
  <si>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</si>
  <si>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</si>
  <si>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</si>
  <si>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</si>
  <si>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Esošie izdevumi</t>
  </si>
  <si>
    <t>Ūdensapgādes pakalpojumi</t>
  </si>
  <si>
    <t>Mainīgās izmaksas</t>
  </si>
  <si>
    <t xml:space="preserve">    Materiāli un remontdarbu izmaksas</t>
  </si>
  <si>
    <t xml:space="preserve">    Elektroenerģija</t>
  </si>
  <si>
    <t xml:space="preserve">    Dabas resursu nodoklis</t>
  </si>
  <si>
    <t xml:space="preserve">    Pakalpojumi</t>
  </si>
  <si>
    <t>Fiksētās izmaksas</t>
  </si>
  <si>
    <t xml:space="preserve">    Darba algas</t>
  </si>
  <si>
    <t xml:space="preserve">    Darba devēja sociālais nodoklis</t>
  </si>
  <si>
    <t xml:space="preserve">    Citas fiksētās izmaksas</t>
  </si>
  <si>
    <t>Kanalizācijas pakalpojumi</t>
  </si>
  <si>
    <t>Debitoru parādu īpatsvars, %</t>
  </si>
  <si>
    <t>Naudas līdzekļi ūdenssaimniecības bilancē</t>
  </si>
  <si>
    <t>Aizņēmumi (pamatsummas un procenti)</t>
  </si>
  <si>
    <t>Galvojumi (pamatsumma un procenti)</t>
  </si>
  <si>
    <t>Citas ilgtermiņa saistības</t>
  </si>
  <si>
    <t>Lietotāja izvēles</t>
  </si>
  <si>
    <t>Analizējamā varianta izvēle</t>
  </si>
  <si>
    <t>Variants "AR" vai "BEZ" projekta?</t>
  </si>
  <si>
    <t>AR projektu</t>
  </si>
  <si>
    <t>BEZ projekta</t>
  </si>
  <si>
    <t>Ūdenssaimniecības izmaksu segšanas līmenis</t>
  </si>
  <si>
    <t>Aprēķinātais tarifu īpatsvars mājsaimniecību ienākumos:</t>
  </si>
  <si>
    <t>Mājsaimniecību izdevumi:</t>
  </si>
  <si>
    <t>sedz visas izmaksas</t>
  </si>
  <si>
    <t>nepārsniedz tarifu pieļaujamo īpatsvaru mājsaimniecības ienākumos</t>
  </si>
  <si>
    <t>Tarifu aprēķina metodika</t>
  </si>
  <si>
    <t>Tarifa aprēķinā ir iekļauts</t>
  </si>
  <si>
    <t>aizņēmums</t>
  </si>
  <si>
    <t>Tarifā iekļautā rentabilitāte</t>
  </si>
  <si>
    <t>Kopā</t>
  </si>
  <si>
    <t>Fiziskām personām</t>
  </si>
  <si>
    <t>Juridiskām personām</t>
  </si>
  <si>
    <t>mājsaimniecību skaits</t>
  </si>
  <si>
    <t>Makroekonomiskie pieņēmumi</t>
  </si>
  <si>
    <t>Indekss</t>
  </si>
  <si>
    <t>Kopējā pamatkapitāla veidošanas deflators,%</t>
  </si>
  <si>
    <t>PVN ūdenssaimniecības pakalpojumiem</t>
  </si>
  <si>
    <t>Darba devēja sociālais nodoklis</t>
  </si>
  <si>
    <t>Uzņēmumu ienākuma nodoklis</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</si>
  <si>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</si>
  <si>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</si>
  <si>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</si>
  <si>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</si>
  <si>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</si>
  <si>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</si>
  <si>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</si>
  <si>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</si>
  <si>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</si>
  <si>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</si>
  <si>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</si>
  <si>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6.6. Pašvaldības aizņēmumu atmaksa</t>
  </si>
  <si>
    <t>8.8. Finansiālās darbības rezultāts</t>
  </si>
  <si>
    <t>8.9.Naudas un tās ekvivalentu izmaiņas pārskata perioda laikā</t>
  </si>
  <si>
    <t>8.10.Naudas un tās atlikumu atlikums pārskata perioda beigās</t>
  </si>
  <si>
    <t>2.1. Ūdensapgādes pakalpojumi</t>
  </si>
  <si>
    <t>2.2. Materiāli un remontdarbu izmaksas</t>
  </si>
  <si>
    <t>2.3. Elektroenerģija</t>
  </si>
  <si>
    <t>2.4. Dabas resursu nodoklis</t>
  </si>
  <si>
    <t>2.5. Pakalpojumi</t>
  </si>
  <si>
    <t>2.7.Kanalizācijas pakalpojumi</t>
  </si>
  <si>
    <t>2.8. Materiāli un remontdarbu izmaksas</t>
  </si>
  <si>
    <t>2.9. Elektroenerģija</t>
  </si>
  <si>
    <t>2.10. Dabas resursu nodoklis</t>
  </si>
  <si>
    <t>2.11. Pakalpojumi</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</si>
  <si>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</si>
  <si>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</si>
  <si>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</si>
  <si>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</si>
  <si>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</si>
  <si>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</si>
  <si>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</si>
  <si>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</si>
  <si>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</si>
  <si>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</si>
  <si>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</si>
  <si>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</si>
  <si>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</si>
  <si>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</si>
  <si>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</si>
  <si>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</si>
  <si>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</si>
  <si>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</si>
  <si>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</si>
  <si>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</si>
  <si>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</si>
  <si>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Pie tarifu apjoma, kas sedz pilnas sistēmas izmaksas</t>
  </si>
  <si>
    <t>11.2. Ūdens patēriņš (m3/uz mājsaimniecību mēnesī)</t>
  </si>
  <si>
    <t>11.5. Notekūdeņu apjoms (m3/uz mājsaimniecību mēnesī)</t>
  </si>
  <si>
    <t>11.8. Kopā izdevumi ūdenssaimniecības pakalpojumiem</t>
  </si>
  <si>
    <t>11.9. Izdevumi % no mājsaimn.vidējiem mēn. ienākumiem</t>
  </si>
  <si>
    <t>Finanšu modeļa aprēķinu tabulas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</si>
  <si>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</si>
  <si>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</si>
  <si>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</si>
  <si>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</si>
  <si>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</si>
  <si>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</si>
  <si>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</si>
  <si>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</si>
  <si>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</si>
  <si>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</si>
  <si>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</si>
  <si>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</si>
  <si>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</si>
  <si>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</si>
  <si>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</si>
  <si>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</si>
  <si>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</si>
  <si>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</si>
  <si>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</si>
  <si>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</si>
  <si>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</si>
  <si>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</si>
  <si>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</si>
  <si>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</si>
  <si>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</si>
  <si>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</si>
  <si>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</si>
  <si>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1.5.Citas ražošanas uzsākšanas izmaksas</t>
  </si>
  <si>
    <t>1.6. Ražošanas uzsākšanas izmaksas</t>
  </si>
  <si>
    <t>1.7 Kopā investīciju izmaksas</t>
  </si>
  <si>
    <t>Investīcijas kanalizācijas sistēmā</t>
  </si>
  <si>
    <t>3.1. Pašvaldības pašu līdzekļi</t>
  </si>
  <si>
    <t>6.3. Pašvaldības aizņēmumi</t>
  </si>
  <si>
    <t>3.2. Pašvaldības komercsabiedrības pašu līdzekļi</t>
  </si>
  <si>
    <t>3. 3. Pašvaldības komercsabiedrības aizņēmumi</t>
  </si>
  <si>
    <t>3.4. Valsts budžeta dotācija</t>
  </si>
  <si>
    <t>3.5. Citi finanšu avoti</t>
  </si>
  <si>
    <t>3.6. Kopā nacionālais finansējums</t>
  </si>
  <si>
    <t>Kopā nacionālais finansējums bez aizņēmumiem</t>
  </si>
  <si>
    <t>3.8. Kopā finanšu avoti</t>
  </si>
  <si>
    <t>ES atbalsta likme</t>
  </si>
  <si>
    <t xml:space="preserve">Valsts dotācijas likme </t>
  </si>
  <si>
    <t>Kopā atbalsts</t>
  </si>
  <si>
    <t>4.1. Kopā ienākošās naudas plūsma</t>
  </si>
  <si>
    <t>1.7. Kopā investīciju izmaksas</t>
  </si>
  <si>
    <t>6.5. Procentu maksājumi (pašvaldība)</t>
  </si>
  <si>
    <t>6.12. Procentu maksājumi (pašvald. komercsabiedrība)</t>
  </si>
  <si>
    <t>6.6. Aizņēmuma pamatsummas maksājumi (pašvald.)</t>
  </si>
  <si>
    <t>6.13. Aizņēmuma pamatsummas maksājumi (komercsab.)</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</si>
  <si>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</si>
  <si>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</si>
  <si>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</si>
  <si>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</si>
  <si>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</si>
  <si>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</si>
  <si>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</si>
  <si>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</si>
  <si>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</si>
  <si>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</si>
  <si>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</si>
  <si>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</si>
  <si>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</si>
  <si>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</si>
  <si>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</si>
  <si>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</si>
  <si>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</si>
  <si>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</si>
  <si>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</si>
  <si>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t>5.10. Finanšu līdzsvara koeficients = Pašu kapitāls / Kopējie aktīvi</t>
  </si>
  <si>
    <t>5.17. Parāds pret pašu kapitālu = Kreditori / Pašu kapitāls</t>
  </si>
  <si>
    <t>5.18. Ilgtermiņa aktīvi pret Pašu kapitālu = Ilgtermiņa ieguldījumi / Pašu kapitāls</t>
  </si>
  <si>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</si>
  <si>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</si>
  <si>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</si>
  <si>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</si>
  <si>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</si>
  <si>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</si>
  <si>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</si>
  <si>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</si>
  <si>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</si>
  <si>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</si>
  <si>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6.2. Procentu likme</t>
  </si>
  <si>
    <t>6.3. Aizņēmuma pamatsumma</t>
  </si>
  <si>
    <t>6.4. Kopā maksājumi</t>
  </si>
  <si>
    <t>6.5. Procentu atmaksa</t>
  </si>
  <si>
    <t>6.6. Pamatsummas atmaksa</t>
  </si>
  <si>
    <t>6.7. Maksājumu bilance</t>
  </si>
  <si>
    <t>6.10. Aizņēmuma pamatsumma</t>
  </si>
  <si>
    <t>6.11. Kopā maksājumi</t>
  </si>
  <si>
    <t>6.14.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</si>
  <si>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</si>
  <si>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</si>
  <si>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</si>
  <si>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</si>
  <si>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</si>
  <si>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</si>
  <si>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</si>
  <si>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</si>
  <si>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</si>
  <si>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9.5. Citi ieņēmumi</t>
  </si>
  <si>
    <t>9.6. Saimnieciskās pamatdarbības izdevumi</t>
  </si>
  <si>
    <t>9.7. Mainīgās izmaksas</t>
  </si>
  <si>
    <t>2.1. Materiāli un remontdarbu izmaksas</t>
  </si>
  <si>
    <t>2.2. Elektroenerģija</t>
  </si>
  <si>
    <t>2.3. Dabas resursu nodoklis</t>
  </si>
  <si>
    <t>2.4. Pakalpojumi</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</si>
  <si>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</si>
  <si>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</si>
  <si>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</si>
  <si>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</si>
  <si>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</si>
  <si>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</si>
  <si>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</si>
  <si>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</si>
  <si>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</si>
  <si>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</si>
  <si>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</si>
  <si>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</si>
  <si>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10.5. Nemateriālie ieguldījumi</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</si>
  <si>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</si>
  <si>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</si>
  <si>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</si>
  <si>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</si>
  <si>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</si>
  <si>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</si>
  <si>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</si>
  <si>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</si>
  <si>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</si>
  <si>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</si>
  <si>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</si>
  <si>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</si>
  <si>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</si>
  <si>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</si>
  <si>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</si>
  <si>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</si>
  <si>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</si>
  <si>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Investīcijas ūdensapgādes pakalpojumiem projekta īstenošanas gadu cenās</t>
  </si>
  <si>
    <t>Investīcijas kanalizācijas pakalpojumi projekta īstenošanas gadu cenās</t>
  </si>
  <si>
    <t>Pavisam kopā, t.sk.</t>
  </si>
  <si>
    <t>Attiecināmās izmaksas kopā</t>
  </si>
  <si>
    <t>11 Iedzīvotāju maksātspēja</t>
  </si>
  <si>
    <t>11.2. Ūdens patēriņš (m3/uz mājsaimn. mēnesī)</t>
  </si>
  <si>
    <t>11.4. Notekūd. apjoms (m3/uz mājsaimn. mēnesī)</t>
  </si>
  <si>
    <t>11.6. Kopējie mājsaimniecības izdevumi</t>
  </si>
  <si>
    <t>11.7. Izdevumi % no vidējiem mājsaimn. mēneša ienākumiem</t>
  </si>
  <si>
    <t>Ūdensapgādes izdevumu īpatsvars kopējos izdevumos</t>
  </si>
  <si>
    <t>Kanalizācijas izdevumu īpatsvars kopējos izdevumos</t>
  </si>
  <si>
    <t>Pieļaujamie izdevumi ūdensapgādes pakalpojumiem:</t>
  </si>
  <si>
    <t>Pieļaujamie izdevumi kanalizācijas pakalpojumiem:</t>
  </si>
  <si>
    <t xml:space="preserve">     Plānotais tarifs pēc projekta realizācijas</t>
  </si>
  <si>
    <t xml:space="preserve">Kombinētais tarifs </t>
  </si>
  <si>
    <t>PVN investīcijām</t>
  </si>
  <si>
    <t xml:space="preserve">Pakalpojumu apjoma un ieņēmumu prognoze </t>
  </si>
  <si>
    <t>papildus pieslēgtais iedzīvotāju skaits</t>
  </si>
  <si>
    <t xml:space="preserve">    litri uz cilvēku diennaktī</t>
  </si>
  <si>
    <t xml:space="preserve">    kanalizācijas sistēmai pieslēgto  iedzīvotāju skaits</t>
  </si>
  <si>
    <t xml:space="preserve">    mājsaimniecību skaits</t>
  </si>
  <si>
    <t xml:space="preserve">     Aprēķinātais tarifs</t>
  </si>
  <si>
    <t xml:space="preserve">     Finanšu modeļa aprēķinātās izmaiņas</t>
  </si>
  <si>
    <t xml:space="preserve">  Starpība starp pieļaujamām un aprēķinātām izmaiņām</t>
  </si>
  <si>
    <t>ūdensapgādes sistēmai pieslēgto iedzīvotāju skaits</t>
  </si>
  <si>
    <t xml:space="preserve"> ūdensapgādes sistēmai pieslēgto iedzīvotāju skaits</t>
  </si>
  <si>
    <t xml:space="preserve">Situācijā AR projektu </t>
  </si>
  <si>
    <t>Situācijā BEZ projekta</t>
  </si>
  <si>
    <t xml:space="preserve">Situācijā BEZ projekta </t>
  </si>
  <si>
    <t xml:space="preserve">    Ūdens patēriņš mājsaimniecībās gadā, m3 </t>
  </si>
  <si>
    <t xml:space="preserve">    Ūdens patēriņš iestādēs gadā, m3 </t>
  </si>
  <si>
    <t xml:space="preserve">    Ūdens patēriņš uzņēmumos gadā, m3 </t>
  </si>
  <si>
    <t xml:space="preserve">Situācijā AR projektu kopā patērētais ūdens patēriņš gadā, m3 </t>
  </si>
  <si>
    <t>Situācijā BEZ projekta kopā patērētais ūdens patēriņš gadā, m3</t>
  </si>
  <si>
    <t>Situācijā AR projektu</t>
  </si>
  <si>
    <t xml:space="preserve">    Notekūdeņu apjoms mājsaimniecībās gadā, m3 </t>
  </si>
  <si>
    <t xml:space="preserve">    Notekūdeņu apjoms iestādēs gadā, m3 </t>
  </si>
  <si>
    <t>Situācijā BEZ projekta kopā patērētais notekūdens patēriņš gadā, m3</t>
  </si>
  <si>
    <t>Atšifrēt aizņēmumu, norādot kam tas plānots</t>
  </si>
  <si>
    <t xml:space="preserve">Situācijā AR projektu kopā patērētais notekūdens patēriņš gadā, m3 </t>
  </si>
  <si>
    <t>Reālais tarifs nepārsniedz noteiktos griestus</t>
  </si>
  <si>
    <t>Ieguldījuma attiecināmo izmaksu summai</t>
  </si>
  <si>
    <t>Finanšu avoti lēmuma summai</t>
  </si>
  <si>
    <t>Lēmuma summa kopā</t>
  </si>
  <si>
    <t xml:space="preserve">Maksimālais apjoms valsts </t>
  </si>
  <si>
    <t xml:space="preserve">Maksimālais apjoms pašvaldības </t>
  </si>
  <si>
    <t>Saimnieciskās pamatdarbības rezultāts situācijai AR projektu</t>
  </si>
  <si>
    <t>Saimnieciskās pamatdarbības rezultāts situācijā BEZ projekta</t>
  </si>
  <si>
    <t xml:space="preserve">Projekta radītie saimnieciskās pamatdarbības ieņēmumi un izdevumi </t>
  </si>
  <si>
    <t xml:space="preserve">Iedzīvotāju maksātspēja </t>
  </si>
  <si>
    <t>Neattiecināmās izmaksas PVN</t>
  </si>
  <si>
    <t xml:space="preserve">Pašvaldības pašu līdzekļi </t>
  </si>
  <si>
    <t>Pašvaldības aizņēmums attiecināmo izmaksu segšanai</t>
  </si>
  <si>
    <t>neattiecināmās izmaksas lēmuma summai</t>
  </si>
  <si>
    <t xml:space="preserve">kopā neattiecināmās izmaksas </t>
  </si>
  <si>
    <t xml:space="preserve">Ieguldījums pamatkapitālā </t>
  </si>
  <si>
    <t xml:space="preserve">    ūdens patēriņš mājsaimniecībās m3/dnn</t>
  </si>
  <si>
    <t xml:space="preserve">    ūdens patēriņš iestādēs m3/dnn</t>
  </si>
  <si>
    <t xml:space="preserve">   ūdens patēriņš  mājsaimniecībās gadā, m3</t>
  </si>
  <si>
    <t xml:space="preserve">   ūdens patēriņš mājsaimniecībās m3/dnn</t>
  </si>
  <si>
    <t xml:space="preserve">   litri uz cilvēku diennaktī </t>
  </si>
  <si>
    <t xml:space="preserve">    ūdens patēriņš uzņēmumos m3/dnn</t>
  </si>
  <si>
    <t xml:space="preserve">    notekūdeņu apjoms mājsaimniecībās m3/dnn</t>
  </si>
  <si>
    <t xml:space="preserve">    notekūdeņu apjoms iestādēs m3/dnn</t>
  </si>
  <si>
    <t xml:space="preserve">    Notekūdeņu apjoms uzņēmumos gadā, m3 </t>
  </si>
  <si>
    <t xml:space="preserve">    notekūdeņu apjoms uzņēmumos m3/dnn</t>
  </si>
  <si>
    <t xml:space="preserve">Pašvaldības komercsabiedrības pašu līdzekļi </t>
  </si>
  <si>
    <t>Pašvaldības komercsabiedrības aizņēmums</t>
  </si>
  <si>
    <t>7.3.2. Galvenie finanšu analīzes rezultāti</t>
  </si>
  <si>
    <t>Bez Kopienas palīdzības
(FRR/C)
A</t>
  </si>
  <si>
    <t>Ar Kopienas palīdzību
(FRR/K)
B</t>
  </si>
  <si>
    <t>Finansiālā ienesīguma norma (%)</t>
  </si>
  <si>
    <t>1. Lēmuma summa</t>
  </si>
  <si>
    <t xml:space="preserve"> DA = EC * R</t>
  </si>
  <si>
    <t>2. KF piešķīrums</t>
  </si>
  <si>
    <t>= DA * Max Crpa</t>
  </si>
  <si>
    <t>Reāli:</t>
  </si>
  <si>
    <t>Finansējuma deficīta likme, %</t>
  </si>
  <si>
    <t>Maksimālā priorit. virziena līdzfinansējuma likme</t>
  </si>
  <si>
    <t>KF ieguldījums (% no kopējām attiecināmām izmaksām)</t>
  </si>
  <si>
    <t>4=1*2</t>
  </si>
  <si>
    <t>5=6/1</t>
  </si>
  <si>
    <t>6=4*3</t>
  </si>
  <si>
    <t>7.3.1. tabula Attiecināmo izmaksu modelēšana</t>
  </si>
  <si>
    <t>Galvenie parametri</t>
  </si>
  <si>
    <t>Nediskontētā vērtība</t>
  </si>
  <si>
    <t>Diskontētā vērtība</t>
  </si>
  <si>
    <t>Nominālā ekonomiskā diskonta likme</t>
  </si>
  <si>
    <t>Ekonomiskā analīze</t>
  </si>
  <si>
    <t>KF līdzfinansējums</t>
  </si>
  <si>
    <t>Maksimālā KF līdzfinansējuma likme</t>
  </si>
  <si>
    <t>Kopējā KF un valsts budžeta atbalsta likme</t>
  </si>
  <si>
    <t>3.7. KF līdzfinansējums</t>
  </si>
  <si>
    <t>A pašvaldība</t>
  </si>
  <si>
    <t xml:space="preserve">Maksimālais apjoms KF </t>
  </si>
  <si>
    <t xml:space="preserve">8.9.Pašvaldības līdzekļi </t>
  </si>
  <si>
    <t>Piezīme: finanšu modelī nav iekļauti pašvaldības vai pašvaldības komercsabiedrības īstermiņa aizņēmumi PVN samaksai (pie nosacījuma, ja aizņēmums ir nepieciešams)</t>
  </si>
  <si>
    <t>6.16. Procentu likme</t>
  </si>
  <si>
    <t>6.17. Aizņēmuma pamatsumma</t>
  </si>
  <si>
    <t>6.18. Kopā maksājumi</t>
  </si>
  <si>
    <t>6.19. Procentu atmaksa</t>
  </si>
  <si>
    <t>6.20. Pamatsummas atmaksa</t>
  </si>
  <si>
    <t>6.21. Maksājumu bilance</t>
  </si>
  <si>
    <t>ūdensapgādes sistēmai pieslēgto iedzīvotāju skaits %</t>
  </si>
  <si>
    <t>Kanalizācijas sistēmai pieslēgto iedzīvotāju skaits %</t>
  </si>
  <si>
    <t>Jaunradīto PL nolietojuma apjoms, kas iekļauts tarifā %</t>
  </si>
  <si>
    <t>Esošie pamatlīdzekļi ūdensapgādes pakalpojumiem (uz perioda beigām)</t>
  </si>
  <si>
    <t>Esošie pamatlīdzekļi kanalizācijas pakalpojumi (uz perioda beigām)</t>
  </si>
  <si>
    <t>6.8. Pašvaldības komercsabiedrības aizņēmumu atmaksa</t>
  </si>
  <si>
    <t>Būvekspertīze un būvprojekta izstrāde</t>
  </si>
  <si>
    <t>2,33 Pamatlīdzekļu atlikusī vērtība</t>
  </si>
  <si>
    <t>2.33 Pamatlīdzekļu atlikusī vērtība</t>
  </si>
  <si>
    <t>Sporta centra un peldbaseina izbūve (Valsts kase)</t>
  </si>
  <si>
    <t>Pirmsskolas izglītības iestādes un poliklīnikas renovācija (Valsts kase)</t>
  </si>
  <si>
    <t>Izgāztuves "X" rekultivācija (Valsts kase)</t>
  </si>
  <si>
    <t>A Ielas rekonstrukcija (Valsts kase)</t>
  </si>
  <si>
    <t>B Ielas rekonstrukcija (Valsts Investīciju fonds)</t>
  </si>
  <si>
    <t>Vidusskolas nepabeigtā sporta centra un peldbaseina izbūve (Valsts kase)</t>
  </si>
  <si>
    <t>D ielas renovācija (Valsts kase)</t>
  </si>
  <si>
    <t>Aizņēmumi (kopā pamatsummas un procentu maksājumi)</t>
  </si>
  <si>
    <t>Ūdenssaimniecības projekts</t>
  </si>
  <si>
    <t>Kopā aizņēmumi</t>
  </si>
  <si>
    <t>Galvojumi (kopā pamatsummas un procentu maksājumi)</t>
  </si>
  <si>
    <t>Kopā galvojumi</t>
  </si>
  <si>
    <t>Ilgtermiņa saistības</t>
  </si>
  <si>
    <t>Kopā saistības</t>
  </si>
  <si>
    <t>Kopā ilgtermiņa saistības</t>
  </si>
  <si>
    <t>Pašvaldības pamatbudžeta ieņēmumi</t>
  </si>
  <si>
    <t>Saistību apjoms pret pamatbudžeta ieņēmumiem</t>
  </si>
  <si>
    <t>6.15. Pašvaldības aizņēmums citu neattiecināmo izmaksu segšanai, kas nav saistīts ar PVN izmaksu segšanu.</t>
  </si>
  <si>
    <t>6.23. Procentu likme</t>
  </si>
  <si>
    <t>6.24. Aizņēmuma pamatsumma</t>
  </si>
  <si>
    <t>6.25. Kopā maksājumi</t>
  </si>
  <si>
    <t>6.26. Procentu atmaksa</t>
  </si>
  <si>
    <t>6.27. Pamatsummas atmaksa</t>
  </si>
  <si>
    <t>6.28. Maksājumu bilance</t>
  </si>
  <si>
    <t>6.22. Komercsabiedrības aizņēmums citu neattiecināmo izmaksu segšanai, kas nav saistīts ar PVN izmaksu segšanu.</t>
  </si>
  <si>
    <t>Finansējuma deficīta likme</t>
  </si>
  <si>
    <t>Finansējuma saņēmēja ieguldījums attiecināmās izmaksās</t>
  </si>
  <si>
    <t>Valsts budžeta ieguldījums (% no kopējām attiecināmām izmaksām)</t>
  </si>
  <si>
    <t>Darba algas pieaugums</t>
  </si>
  <si>
    <t>Patēriņa cenu izmaiņas %</t>
  </si>
  <si>
    <t>Darba algas (bruto) izmaiņas, salīdzināmās cenās, %</t>
  </si>
  <si>
    <t>Nominālā finansiālā diskonta likme</t>
  </si>
  <si>
    <t>Pārskata periods: 30 gadi</t>
  </si>
  <si>
    <t>* avots: Valsts kase, ilgtermiņa (&gt;20 gadu) aizdevumiem ar 5 gadu likmes pārskatīšanas periodu, EUR</t>
  </si>
  <si>
    <t>Projekta ietekmē radušās izmaiņas izdevumos (bez PVN), EUR, finanšu analīzes veikšanas gada cenās</t>
  </si>
  <si>
    <t>Investīciju izmaksas un pamatlīdzekļi  (bez PVN)  - EUR, faktiskajās cenās</t>
  </si>
  <si>
    <t xml:space="preserve">    Citi ieņēmumi, bez PVN, EUR</t>
  </si>
  <si>
    <t xml:space="preserve">   Citi ieņēmumi, bez PVN, EUR</t>
  </si>
  <si>
    <t>Pašvaldības ilgtermiņa kredītsaistības  - EUR, faktiskajās cenās</t>
  </si>
  <si>
    <t>Pašvaldības pamatbudžeta ieņēmumi, EUR</t>
  </si>
  <si>
    <t>Ūdenssaimniecības tarifi pirms projekta īstenošanas, bez PVN, EUR/m3</t>
  </si>
  <si>
    <t>2 Tarifi (EUR/m3 bez PVN)</t>
  </si>
  <si>
    <t>11.1.Vidējie mājsaimn. mēneša ienākumi (EUR)</t>
  </si>
  <si>
    <t>11.3. Mājsaimniecības izdevumi ūdensapg. pakalpojumiem (EUR), ieskaitot PVN</t>
  </si>
  <si>
    <t>11.5. Mājsaimniecības izdevumi kanaliz. pakalpojumiem (EUR), ieskaitot PVN</t>
  </si>
  <si>
    <t>Makroekonomiskie pieņēmumi ir vienādi visiem projektiem! Izmaiņas tajos ir jāveic tikai tad, ja ir mainījušās atbilstošo normatīvo aktu prasības! Jebkuras izmaiņas šajos pieņēmumos ir jāsaskaņo ar Vides  aizsardzības un reģionālās attīstības ministriju!</t>
  </si>
  <si>
    <t>Ieguldījumu izmaksu kopsumma atbalstāmajās darbībās (EUR, nediskontēta, bez PVN):</t>
  </si>
  <si>
    <t>Ieguldījumu izmaksu kopsumma atbalstāmajās darbībās (EUR, diskontēta, bez PVN):</t>
  </si>
  <si>
    <t>Ieguldījumu attiecināmo izmaksu kopsumma (EUR, nediskontēta)</t>
  </si>
  <si>
    <t>Ieguldījumu attiecināmo izmaksu kopsumma (EUR, diskontēta)</t>
  </si>
  <si>
    <t>Atlikusī vērtība (EUR, nediskontēta)</t>
  </si>
  <si>
    <t>Atlikusī vērtība (EUR, diskontēta)</t>
  </si>
  <si>
    <t>Ieņēmumi (EUR, diskontētie)</t>
  </si>
  <si>
    <t>Darbības izmaksas (EUR, diskontētas)</t>
  </si>
  <si>
    <t>Tīrā pašreizējā vērtība (EUR)</t>
  </si>
  <si>
    <t>Ieguldījumu attiecināmo izmaksu kopsumma, EUR</t>
  </si>
  <si>
    <t>Lēmuma summa, EUR</t>
  </si>
  <si>
    <t>Kohēzijas fonda ieguldījums, EUR</t>
  </si>
  <si>
    <t>Valsts budžeta ieguldījums attiecināmās izmaksās, EUR</t>
  </si>
  <si>
    <t>Finansējuma saņēmēja ieguldījums deficīta segšanā, EUR</t>
  </si>
  <si>
    <t>Finansējuma saņēmēja ieguldījums attiecināmās izmaksās, EUR</t>
  </si>
  <si>
    <t>Finansējuma saņēmēja ieguldījumus kopā, EUR</t>
  </si>
  <si>
    <t>Finansiālā nominālā diskonta likme: 7,9%</t>
  </si>
  <si>
    <t>1 Investīciju izmaksas un pamatlīdzekļi  (bez PVN)  - EUR, faktiskajās cenās</t>
  </si>
  <si>
    <t>Investīciju izmaksu nolietojuma aprēķins  - EUR, faktiskajās cenās</t>
  </si>
  <si>
    <t>2.  Investīciju izmaksas (bez PVN)  - EUR, faktiskajās cenās</t>
  </si>
  <si>
    <t xml:space="preserve">3. Finanšu avoti - EUR, faktiskajās cenās </t>
  </si>
  <si>
    <t>4. Finanšu ilgtspēja - EUR, faktiskajās cenās</t>
  </si>
  <si>
    <t>5a. Projekta investīciju finanšu atdeve - EUR, faktiskajās cenās</t>
  </si>
  <si>
    <t>5b. Projekta pašu (valsts) kapitāla finanšu atdeve - EUR, faktiskajās cenās</t>
  </si>
  <si>
    <t>6. Aizņēmumu atmaksas grafiks - EUR, faktiskajās cenās</t>
  </si>
  <si>
    <t xml:space="preserve">7. Peļņas vai zaudējumu aprēķins - EUR, faktiskajās cenās </t>
  </si>
  <si>
    <t>8. Bilance - EUR, faktiskajās cenās</t>
  </si>
  <si>
    <t>Naudas plūsma  - EUR, faktiskajās cenās</t>
  </si>
  <si>
    <t>Pašvaldības ilgtermiņa kredītsaistības - EUR, faktiskajās cenās</t>
  </si>
  <si>
    <t>11.1.Vidējie mājsaimniecības mēneša ienākumi (EUR)</t>
  </si>
  <si>
    <t>11.3. Ūdensapgādes tarifs (EUR/m3), iesk. PVN 21%</t>
  </si>
  <si>
    <t>11.4. Mājsaimniecības izdevumi ūdensapgādes pakalpojumiem mēnesī (EUR)</t>
  </si>
  <si>
    <t>11.6. Kanalizācijas tarifs (EUR/m3), iesk. PVN 21%</t>
  </si>
  <si>
    <t>11.7. Mājsaimniecības izdevumi kanalizācijas pakalpojumiem mēnesī (EUR)</t>
  </si>
  <si>
    <t>* avots: CSP dati</t>
  </si>
  <si>
    <t>Projekta finanšu analīzes veikšanai nepieciešamo datu ievadīšana notiek tikai šajā lapā! Pārējās lapas satur aprēķinus un to rezultātus.</t>
  </si>
  <si>
    <t>Dati jāievada tikai dzeltenajās šūnās! Pelēkajās šūnās ir formulas.</t>
  </si>
  <si>
    <t>C PII būvniecība (Valsts kase)</t>
  </si>
  <si>
    <t>6.9. Procentu likme</t>
  </si>
  <si>
    <t>Tīrie ieņēmumi (EUR)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</si>
  <si>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(EUR) = (6)-(11)</t>
  </si>
  <si>
    <t>Finansējuma deficīta likme (%) = (12)/(6)</t>
  </si>
  <si>
    <t>Lūdzu, izvēlēties no izvēlnes</t>
  </si>
  <si>
    <t xml:space="preserve">Priekšatlases pārbaudes kritēriji </t>
  </si>
  <si>
    <t xml:space="preserve">1. Ilgtermiņa saistības </t>
  </si>
  <si>
    <t>3. Iedzīvotāju maksātspēja</t>
  </si>
  <si>
    <t>Kritērijs</t>
  </si>
  <si>
    <t>&gt; 4%</t>
  </si>
  <si>
    <t>Projekta rezultāts</t>
  </si>
  <si>
    <t>&gt;0</t>
  </si>
  <si>
    <t>2. Projekta naudas plūsma (EUR)</t>
  </si>
  <si>
    <t>Pašvaldība vai pašvaldības iestāde, vai pašvaldības aģentūra</t>
  </si>
  <si>
    <t>Kapitālsabiedrība</t>
  </si>
  <si>
    <t>lūdzu, izvēlēties no izvēlnes</t>
  </si>
  <si>
    <t>Ūdenssaimniecības attīstība A pašvaldībā</t>
  </si>
  <si>
    <t>&lt; 20%</t>
  </si>
  <si>
    <t>Makroekonomiskos rādītājus izmantot saskaņā ar LR Finanšu ministrijas mājas lapā publicētajiem. www.fm.gov.lv/lv/sadalas/tautsaimniecibas_analize/tautsaimniecibas_analize/galvenie_makroekonomiskie_raditaji_un_prognozes/</t>
  </si>
  <si>
    <t>Dati no pēdējā īstenotā projekta</t>
  </si>
  <si>
    <t>Dati no šī plānotā projekta</t>
  </si>
  <si>
    <t>Iedzīvotāju maksātspējas rādītājs no pēdējā īstenotā projekta</t>
  </si>
  <si>
    <t>Pamatlīdzekļu (PL) atlikušās vērtības gads</t>
  </si>
  <si>
    <t>Pievienotās vērtības nodoklis (PVN)</t>
  </si>
  <si>
    <t>Būvekspertīze un Būvprojekta izstrāde</t>
  </si>
  <si>
    <t>Kohēzijas fonda (KF) līdzfinansējums</t>
  </si>
  <si>
    <t>Datu ievadei izmantojamā valūta ir eiro.</t>
  </si>
  <si>
    <t>Esošie pamatlīdzekļi ūdensapgādes pakalpojumiem (uz perioda sākumu bāzes gadā)</t>
  </si>
  <si>
    <t>Esošie pamatlīdzekļi kanalizācijas pakalpojumi (uz perioda sākumu bāzes gadā)</t>
  </si>
  <si>
    <t>Šajā lapā sniedziet detalizētākus izmantoto pieņēmumu paskaidrojumus, ja nepieciešams</t>
  </si>
  <si>
    <t>Pieņēmumu paskaidrojumi</t>
  </si>
  <si>
    <t>`</t>
  </si>
  <si>
    <t>Ja nepieciešams, papildus paskaidrojumus var sniegt nākamajā izklājlapā "Pamatojums"</t>
  </si>
  <si>
    <r>
      <t>Situācijā BEZ projekta</t>
    </r>
    <r>
      <rPr>
        <sz val="10"/>
        <color indexed="20"/>
        <rFont val="Arial"/>
        <family val="2"/>
        <charset val="186"/>
      </rPr>
      <t xml:space="preserve"> </t>
    </r>
  </si>
  <si>
    <r>
      <t>1.5.15. Kapitāla struktūras analīze </t>
    </r>
    <r>
      <rPr>
        <b/>
        <sz val="10"/>
        <rFont val="Arial"/>
        <family val="2"/>
        <charset val="186"/>
      </rPr>
      <t xml:space="preserve"> </t>
    </r>
  </si>
  <si>
    <r>
      <t>5.19. Ienesīguma koeficienti </t>
    </r>
    <r>
      <rPr>
        <b/>
        <sz val="10"/>
        <rFont val="Arial"/>
        <family val="2"/>
        <charset val="186"/>
      </rPr>
      <t xml:space="preserve"> </t>
    </r>
  </si>
  <si>
    <t>Valsts budžeta līdzfinansējuma aprēķins</t>
  </si>
  <si>
    <t>7.3.3. Kohēzijas fonda ieguldījuma aprēķins</t>
  </si>
  <si>
    <t>7.3.4. Valsts budžeta līdzfinansējuma aprēķins</t>
  </si>
  <si>
    <t>7.3.5. Pašvaldības ieguldījums</t>
  </si>
  <si>
    <t>Dati jāievada projekta iesniedzējam</t>
  </si>
  <si>
    <t>Dati tiek aprēķināti automātiski</t>
  </si>
  <si>
    <t xml:space="preserve">Apzīmējumi: </t>
  </si>
  <si>
    <t>Situācijā AR projektu kopējais iedzīvotāju skaits ūdensapgādes pakalpojumu sniegšanas zonā</t>
  </si>
  <si>
    <r>
      <t>Situācijā BEZ projekta</t>
    </r>
    <r>
      <rPr>
        <sz val="10"/>
        <color indexed="20"/>
        <rFont val="Arial"/>
        <family val="2"/>
        <charset val="186"/>
      </rPr>
      <t xml:space="preserve"> kopējais iedzīvotāju skaits ūdensapgādes pakalpojumu sniegšanas zonā</t>
    </r>
  </si>
  <si>
    <t>Situācijā AR projektu kopējais iedzīvotāju skaits kanalizācijas pakalpojumu sniegšanas zonā</t>
  </si>
  <si>
    <t>Citi pamatlīdzekļi</t>
  </si>
  <si>
    <t>Finanšu saņēmēja ilgtermiņa kredītsaistības  - EUR, faktiskajās cenās</t>
  </si>
  <si>
    <t>Finanšu saņēmēja saistības</t>
  </si>
  <si>
    <t>Neattiecināmās izmaksas (PVN)</t>
  </si>
  <si>
    <t>Pašvaldības aizņēmumi, Neattiecināmās izmaksas (PVN)</t>
  </si>
  <si>
    <t>Kopā izmaksas,  ar PVN</t>
  </si>
  <si>
    <t>Izmaksas bez PVN</t>
  </si>
  <si>
    <t>Lēmuma summa</t>
  </si>
  <si>
    <t>Pašvaldības līdzfinansējums</t>
  </si>
  <si>
    <t xml:space="preserve">Finanšu avotu sadalījums lēmuma summai </t>
  </si>
  <si>
    <t>Finašu avotu sadalījums lēmuma summai, %</t>
  </si>
  <si>
    <t>Maksimālais apjoms pašvaldības komercsabiedrības</t>
  </si>
  <si>
    <t>Bez round</t>
  </si>
  <si>
    <t>Ja tarifā iekļauts aizņēmums</t>
  </si>
  <si>
    <t>Ja tarifā iekļauts nolietojums</t>
  </si>
  <si>
    <t>x</t>
  </si>
  <si>
    <t>Rentabilitāte +1</t>
  </si>
  <si>
    <t>Tarifs bez rentabilitates ar nolietoj</t>
  </si>
  <si>
    <t>=</t>
  </si>
  <si>
    <t>Nolietojums gadā</t>
  </si>
  <si>
    <t>% no nolietojuma kas izmantots tarifā</t>
  </si>
  <si>
    <t>Original formula</t>
  </si>
  <si>
    <t>+</t>
  </si>
  <si>
    <t>(Izmaksas</t>
  </si>
  <si>
    <t>Esošo pamatlīdzekļu nolietojums</t>
  </si>
  <si>
    <t>ūdens apgādes investīciju daļas procents</t>
  </si>
  <si>
    <t>Patērētais ūdens kubu daudzums gadā</t>
  </si>
  <si>
    <t>/</t>
  </si>
  <si>
    <t>Test</t>
  </si>
  <si>
    <t>Kredīta procentu izmaksas)</t>
  </si>
  <si>
    <t>Tarifs bez rentabilitates ar aizņēmumu</t>
  </si>
  <si>
    <t xml:space="preserve">Kredīta procentu un pamatsummas izmaksas!!! </t>
  </si>
  <si>
    <t>Pašfinansējuma procents?? Nav pareiza formula un atšķiras)</t>
  </si>
  <si>
    <t>nolietojums</t>
  </si>
  <si>
    <t>Maksimālais apjoms pašvaldības no liguma summas</t>
  </si>
  <si>
    <t>Maksimālais apjoms pašvaldības komercsabiedrības no lig summ</t>
  </si>
  <si>
    <t>Pašvaldības komercsabiedrības aizņēmumi, neattiecināmās izmaksas (PVN)</t>
  </si>
  <si>
    <t>Pašvaldības komercsabiedrības pašu līdzekļi, neattiecināmās izmaksas (PVN)</t>
  </si>
  <si>
    <t>Pašvaldības pašu līdzekļi, Neattiecināmās izmaksas (PVN)</t>
  </si>
  <si>
    <t>Pēdējais noslēgtais gads pirms finanšu analīzes veikšanas</t>
  </si>
  <si>
    <t xml:space="preserve">    Citas mainīgās izmaksas (tai skaitā atkārtotās investīcijas pamatlīdzekļos)</t>
  </si>
  <si>
    <t>2.5. Citas mainīgās izmaksas (tai skaitā atkārtotās investīcijas pamatlīdzekļos)</t>
  </si>
  <si>
    <t>2.6. Citas mainīgās izmaksas (tai skaitā atkārtotās investīcijas pamatlīdzekļos)</t>
  </si>
  <si>
    <t>2.12. Citas mainīgās izmaksas (tai skaitā atkārtotās investīcijas pamatlīdzekļos)</t>
  </si>
  <si>
    <t>no 2016 - 2045</t>
  </si>
  <si>
    <t>no 2016 - 2046</t>
  </si>
  <si>
    <t>no 2016 - 2047</t>
  </si>
  <si>
    <t>no 2016 - 2048</t>
  </si>
  <si>
    <t>no 2016 - 2049</t>
  </si>
  <si>
    <t>no 2016</t>
  </si>
  <si>
    <t>Citi avoti</t>
  </si>
  <si>
    <t>Citi avoti kopā</t>
  </si>
  <si>
    <t>Citi avoti līguma summai</t>
  </si>
  <si>
    <t>Ailes kuras netiek aizpildītas</t>
  </si>
  <si>
    <t>Projekta attiecināmās izmaksas, kas radušās no 01.12.2014. - 31.12.2015., piesummē 2016.gada projekta izmaksām</t>
  </si>
  <si>
    <t xml:space="preserve">Lēmuma summai ierobežotais KF finansējums </t>
  </si>
  <si>
    <t>Valsts budžeta ieguldījums no lēmuma summas</t>
  </si>
  <si>
    <t>Citas neattiecināmās izmaksas</t>
  </si>
  <si>
    <t>Pašvaldības aizņēmumi, projekta izmaksas</t>
  </si>
  <si>
    <t>Pašvaldības komercsabiedrības pašu līdzekļi, projekta izmaksas</t>
  </si>
  <si>
    <t>Pašvaldības komercsabiedrības aizņēmumi, projekta izmaksas</t>
  </si>
  <si>
    <t>Citi finanšu avoti, neattiecināmās izmaksas (PVN)</t>
  </si>
  <si>
    <t>Citi finanšu avoti, projekta izmaksas</t>
  </si>
  <si>
    <t>kopējās investīcijas</t>
  </si>
  <si>
    <t>Finašu avotu sadalījums kopējām investīciju izmaksām, %</t>
  </si>
  <si>
    <t>Finašu avotu sadalījums kopējām investīciju izmaksām</t>
  </si>
  <si>
    <t>Attiecināmās izmaksas</t>
  </si>
  <si>
    <t>Neattiecināmās izmaksas</t>
  </si>
  <si>
    <t>jābūt 0!</t>
  </si>
  <si>
    <t>Finanšu avotu sadalījums neattiecināmām izmaksām</t>
  </si>
  <si>
    <t>Finašu avotu sadalījums neattiecināmām izmaksām, %</t>
  </si>
  <si>
    <t>Neattiecin izm lemuma summai</t>
  </si>
  <si>
    <t>Pieļaujamais tarifs ūdensapgādes pakalpojumiem (ar PVN)</t>
  </si>
  <si>
    <t>Pieļaujamais tarifs kanalizācijas pakalpojumiem (ar PVN)</t>
  </si>
  <si>
    <t>6.1. Pašvaldības aizņēmums attiecināmo un neattiecināmo izmaksu segšanai</t>
  </si>
  <si>
    <t>6.8. Pašvaldības komercsabiedrības aizņēmums attiecināmo un neattiecināmo izmaksu segšanai</t>
  </si>
  <si>
    <t>Kopā pašvaldības līdzfinansējums</t>
  </si>
  <si>
    <t>Neattiecināmās izmaksas lēmuma summai</t>
  </si>
  <si>
    <t xml:space="preserve">Pašvaldības līdzfinansējums lēmuma summai </t>
  </si>
  <si>
    <t>Test 2</t>
  </si>
  <si>
    <t>Pašvaldības pašu līdzekļi, projekta izmaksas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</si>
</sst>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 #,##0.00;[Red]\-&quot;€&quot;\ #,##0.00"/>
    <numFmt numFmtId="165" formatCode="0.000"/>
    <numFmt numFmtId="166" formatCode="0.0%"/>
    <numFmt numFmtId="167" formatCode="#,##0.0"/>
    <numFmt numFmtId="168" formatCode="#,##0\ ;[Red]\-#,##0\ "/>
    <numFmt numFmtId="169" formatCode="0.0"/>
    <numFmt numFmtId="170" formatCode="0.000000%"/>
    <numFmt numFmtId="171" formatCode="#,##0_ ;[Red]\-#,##0\ "/>
    <numFmt numFmtId="172" formatCode="#,##0.0000"/>
    <numFmt numFmtId="173" formatCode="#,##0.00000000"/>
    <numFmt numFmtId="174" formatCode="_-* #,##0_-;\-* #,##0_-;_-* &quot;-&quot;??_-;_-@_-"/>
    <numFmt numFmtId="175" formatCode="#,##0_ ;\-#,##0\ "/>
    <numFmt numFmtId="176" formatCode="0.0000"/>
  </numFmts>
  <fonts count="67" x14ac:knownFonts="1">
    <font>
      <sz val="10"/>
      <name val="Arial"/>
      <family val="2"/>
    </font>
    <font>
      <sz val="11"/>
      <color indexed="8"/>
      <name val="Calibri"/>
      <family val="2"/>
      <charset val="186"/>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1"/>
      <color indexed="8"/>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0"/>
      <name val="Times New Roman"/>
      <family val="1"/>
    </font>
    <font>
      <b/>
      <sz val="8"/>
      <color indexed="8"/>
      <name val="Times New Roman"/>
      <family val="1"/>
    </font>
    <font>
      <sz val="8"/>
      <color indexed="8"/>
      <name val="Times New Roman"/>
      <family val="1"/>
    </font>
    <font>
      <b/>
      <sz val="12"/>
      <name val="Times New Roman"/>
      <family val="1"/>
    </font>
    <font>
      <sz val="9"/>
      <name val="Arial"/>
      <family val="2"/>
    </font>
    <font>
      <sz val="9"/>
      <name val="Times New Roman"/>
      <family val="1"/>
    </font>
    <font>
      <sz val="10"/>
      <name val="Arial"/>
      <family val="2"/>
    </font>
    <font>
      <sz val="10"/>
      <name val="Times New Roman"/>
      <family val="1"/>
      <charset val="186"/>
    </font>
    <font>
      <b/>
      <sz val="10"/>
      <name val="Times New Roman"/>
      <family val="1"/>
      <charset val="186"/>
    </font>
    <font>
      <sz val="10"/>
      <name val="Arial"/>
      <family val="2"/>
      <charset val="186"/>
    </font>
    <font>
      <sz val="8"/>
      <color indexed="81"/>
      <name val="Tahoma"/>
      <family val="2"/>
      <charset val="186"/>
    </font>
    <font>
      <b/>
      <sz val="8"/>
      <color indexed="10"/>
      <name val="Arial"/>
      <family val="2"/>
      <charset val="186"/>
    </font>
    <font>
      <i/>
      <sz val="12"/>
      <color indexed="10"/>
      <name val="Arial"/>
      <family val="2"/>
      <charset val="186"/>
    </font>
    <font>
      <sz val="9"/>
      <color indexed="81"/>
      <name val="Tahoma"/>
      <family val="2"/>
      <charset val="186"/>
    </font>
    <font>
      <b/>
      <sz val="8"/>
      <name val="Arial"/>
      <family val="2"/>
      <charset val="186"/>
    </font>
    <font>
      <b/>
      <sz val="16"/>
      <name val="Arial"/>
      <family val="2"/>
      <charset val="186"/>
    </font>
    <font>
      <b/>
      <sz val="10"/>
      <name val="Arial"/>
      <family val="2"/>
      <charset val="186"/>
    </font>
    <font>
      <sz val="8"/>
      <name val="Arial"/>
      <family val="2"/>
      <charset val="186"/>
    </font>
    <font>
      <b/>
      <sz val="14"/>
      <name val="Arial"/>
      <family val="2"/>
      <charset val="186"/>
    </font>
    <font>
      <b/>
      <sz val="11"/>
      <name val="Arial"/>
      <family val="2"/>
      <charset val="186"/>
    </font>
    <font>
      <i/>
      <sz val="10"/>
      <name val="Arial"/>
      <family val="2"/>
      <charset val="186"/>
    </font>
    <font>
      <b/>
      <i/>
      <sz val="10"/>
      <name val="Arial"/>
      <family val="2"/>
      <charset val="186"/>
    </font>
    <font>
      <b/>
      <sz val="10"/>
      <color indexed="10"/>
      <name val="Arial"/>
      <family val="2"/>
      <charset val="186"/>
    </font>
    <font>
      <b/>
      <sz val="12"/>
      <name val="Arial"/>
      <family val="2"/>
      <charset val="186"/>
    </font>
    <font>
      <b/>
      <i/>
      <sz val="10"/>
      <color indexed="12"/>
      <name val="Arial"/>
      <family val="2"/>
      <charset val="186"/>
    </font>
    <font>
      <b/>
      <sz val="12"/>
      <color indexed="20"/>
      <name val="Arial"/>
      <family val="2"/>
      <charset val="186"/>
    </font>
    <font>
      <b/>
      <sz val="12"/>
      <color indexed="12"/>
      <name val="Arial"/>
      <family val="2"/>
      <charset val="186"/>
    </font>
    <font>
      <b/>
      <sz val="10"/>
      <color indexed="12"/>
      <name val="Arial"/>
      <family val="2"/>
      <charset val="186"/>
    </font>
    <font>
      <sz val="10"/>
      <color indexed="8"/>
      <name val="Arial"/>
      <family val="2"/>
      <charset val="186"/>
    </font>
    <font>
      <i/>
      <sz val="10"/>
      <color indexed="10"/>
      <name val="Arial"/>
      <family val="2"/>
      <charset val="186"/>
    </font>
    <font>
      <b/>
      <sz val="10"/>
      <color indexed="20"/>
      <name val="Arial"/>
      <family val="2"/>
      <charset val="186"/>
    </font>
    <font>
      <sz val="10"/>
      <color indexed="20"/>
      <name val="Arial"/>
      <family val="2"/>
      <charset val="186"/>
    </font>
    <font>
      <b/>
      <sz val="10"/>
      <color indexed="8"/>
      <name val="Arial"/>
      <family val="2"/>
      <charset val="186"/>
    </font>
    <font>
      <sz val="10"/>
      <color indexed="10"/>
      <name val="Arial"/>
      <family val="2"/>
      <charset val="186"/>
    </font>
    <font>
      <sz val="8"/>
      <color indexed="10"/>
      <name val="Arial"/>
      <family val="2"/>
      <charset val="186"/>
    </font>
    <font>
      <sz val="13"/>
      <name val="Arial"/>
      <family val="2"/>
      <charset val="186"/>
    </font>
    <font>
      <sz val="10"/>
      <color indexed="12"/>
      <name val="Arial"/>
      <family val="2"/>
      <charset val="186"/>
    </font>
    <font>
      <sz val="12"/>
      <name val="Arial"/>
      <family val="2"/>
      <charset val="186"/>
    </font>
    <font>
      <b/>
      <sz val="11"/>
      <color indexed="8"/>
      <name val="Arial"/>
      <family val="2"/>
      <charset val="186"/>
    </font>
    <font>
      <sz val="11"/>
      <color indexed="8"/>
      <name val="Arial"/>
      <family val="2"/>
      <charset val="186"/>
    </font>
    <font>
      <sz val="11"/>
      <name val="Arial"/>
      <family val="2"/>
      <charset val="186"/>
    </font>
    <font>
      <sz val="10"/>
      <color indexed="55"/>
      <name val="Arial"/>
      <family val="2"/>
      <charset val="186"/>
    </font>
    <font>
      <sz val="9"/>
      <name val="Arial"/>
      <family val="2"/>
      <charset val="186"/>
    </font>
    <font>
      <b/>
      <sz val="14"/>
      <color indexed="8"/>
      <name val="Arial"/>
      <family val="2"/>
      <charset val="186"/>
    </font>
    <font>
      <sz val="9"/>
      <color indexed="81"/>
      <name val="Tahoma"/>
      <charset val="1"/>
    </font>
    <font>
      <b/>
      <sz val="9"/>
      <color indexed="81"/>
      <name val="Tahoma"/>
      <charset val="1"/>
    </font>
    <font>
      <b/>
      <sz val="9"/>
      <color indexed="81"/>
      <name val="Tahoma"/>
      <family val="2"/>
      <charset val="186"/>
    </font>
    <font>
      <i/>
      <sz val="8"/>
      <color rgb="FFFF0000"/>
      <name val="Arial"/>
      <family val="2"/>
      <charset val="186"/>
    </font>
    <font>
      <i/>
      <sz val="10"/>
      <color rgb="FFFF0000"/>
      <name val="Arial"/>
      <family val="2"/>
      <charset val="186"/>
    </font>
    <font>
      <b/>
      <sz val="8"/>
      <color rgb="FFFF0000"/>
      <name val="Arial"/>
      <family val="2"/>
      <charset val="186"/>
    </font>
    <font>
      <sz val="10"/>
      <color rgb="FFFF0000"/>
      <name val="Arial"/>
      <family val="2"/>
      <charset val="186"/>
    </font>
  </fonts>
  <fills count="28">
    <fill>
      <patternFill patternType="none"/>
    </fill>
    <fill>
      <patternFill patternType="gray125"/>
    </fill>
    <fill>
      <patternFill patternType="solid">
        <fgColor indexed="45"/>
        <bgColor indexed="29"/>
      </patternFill>
    </fill>
    <fill>
      <patternFill patternType="solid">
        <fgColor indexed="22"/>
        <bgColor indexed="31"/>
      </patternFill>
    </fill>
    <fill>
      <patternFill patternType="solid">
        <fgColor indexed="43"/>
        <bgColor indexed="26"/>
      </patternFill>
    </fill>
    <fill>
      <patternFill patternType="solid">
        <fgColor indexed="53"/>
        <bgColor indexed="52"/>
      </patternFill>
    </fill>
    <fill>
      <patternFill patternType="solid">
        <fgColor indexed="27"/>
        <bgColor indexed="41"/>
      </patternFill>
    </fill>
    <fill>
      <patternFill patternType="solid">
        <fgColor indexed="9"/>
        <bgColor indexed="26"/>
      </patternFill>
    </fill>
    <fill>
      <patternFill patternType="solid">
        <fgColor indexed="13"/>
        <bgColor indexed="64"/>
      </patternFill>
    </fill>
    <fill>
      <patternFill patternType="solid">
        <fgColor indexed="9"/>
        <bgColor indexed="64"/>
      </patternFill>
    </fill>
    <fill>
      <patternFill patternType="solid">
        <fgColor indexed="9"/>
        <bgColor indexed="31"/>
      </patternFill>
    </fill>
    <fill>
      <patternFill patternType="solid">
        <fgColor indexed="13"/>
        <bgColor indexed="26"/>
      </patternFill>
    </fill>
    <fill>
      <patternFill patternType="solid">
        <fgColor indexed="22"/>
        <bgColor indexed="64"/>
      </patternFill>
    </fill>
    <fill>
      <patternFill patternType="solid">
        <fgColor indexed="13"/>
        <bgColor indexed="31"/>
      </patternFill>
    </fill>
    <fill>
      <patternFill patternType="solid">
        <fgColor indexed="22"/>
        <bgColor indexed="26"/>
      </patternFill>
    </fill>
    <fill>
      <patternFill patternType="solid">
        <fgColor indexed="55"/>
        <bgColor indexed="64"/>
      </patternFill>
    </fill>
    <fill>
      <patternFill patternType="solid">
        <fgColor indexed="1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249977111117893"/>
        <bgColor indexed="31"/>
      </patternFill>
    </fill>
    <fill>
      <patternFill patternType="solid">
        <fgColor rgb="FFFFFF00"/>
        <bgColor indexed="31"/>
      </patternFill>
    </fill>
    <fill>
      <patternFill patternType="solid">
        <fgColor theme="0" tint="-0.249977111117893"/>
        <bgColor indexed="26"/>
      </patternFill>
    </fill>
    <fill>
      <patternFill patternType="solid">
        <fgColor rgb="FFFFFF00"/>
        <bgColor indexed="26"/>
      </patternFill>
    </fill>
    <fill>
      <patternFill patternType="solid">
        <fgColor theme="0"/>
        <bgColor indexed="31"/>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8"/>
      </left>
      <right style="hair">
        <color indexed="8"/>
      </right>
      <top style="hair">
        <color indexed="8"/>
      </top>
      <bottom style="hair">
        <color indexed="8"/>
      </bottom>
      <diagonal/>
    </border>
    <border>
      <left style="thin">
        <color indexed="17"/>
      </left>
      <right style="thin">
        <color indexed="17"/>
      </right>
      <top style="thin">
        <color indexed="17"/>
      </top>
      <bottom style="thin">
        <color indexed="17"/>
      </bottom>
      <diagonal/>
    </border>
    <border>
      <left/>
      <right/>
      <top style="thin">
        <color indexed="62"/>
      </top>
      <bottom style="double">
        <color indexed="62"/>
      </bottom>
      <diagonal/>
    </border>
    <border>
      <left style="thin">
        <color indexed="59"/>
      </left>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right/>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top/>
      <bottom/>
      <diagonal/>
    </border>
    <border>
      <left style="thin">
        <color indexed="59"/>
      </left>
      <right/>
      <top/>
      <bottom style="thin">
        <color indexed="59"/>
      </bottom>
      <diagonal/>
    </border>
    <border>
      <left style="thin">
        <color indexed="59"/>
      </left>
      <right style="thin">
        <color indexed="59"/>
      </right>
      <top/>
      <bottom style="thin">
        <color indexed="59"/>
      </bottom>
      <diagonal/>
    </border>
    <border>
      <left/>
      <right style="thin">
        <color indexed="59"/>
      </right>
      <top/>
      <bottom/>
      <diagonal/>
    </border>
    <border>
      <left style="thin">
        <color indexed="59"/>
      </left>
      <right/>
      <top style="thin">
        <color indexed="59"/>
      </top>
      <bottom/>
      <diagonal/>
    </border>
    <border>
      <left/>
      <right/>
      <top style="thin">
        <color indexed="64"/>
      </top>
      <bottom style="thin">
        <color indexed="64"/>
      </bottom>
      <diagonal/>
    </border>
    <border>
      <left style="thin">
        <color indexed="59"/>
      </left>
      <right style="thin">
        <color indexed="23"/>
      </right>
      <top style="thin">
        <color indexed="59"/>
      </top>
      <bottom style="thin">
        <color indexed="59"/>
      </bottom>
      <diagonal/>
    </border>
    <border>
      <left/>
      <right style="thin">
        <color indexed="59"/>
      </right>
      <top style="thin">
        <color indexed="59"/>
      </top>
      <bottom/>
      <diagonal/>
    </border>
    <border>
      <left style="thin">
        <color indexed="64"/>
      </left>
      <right/>
      <top style="thin">
        <color indexed="64"/>
      </top>
      <bottom style="thin">
        <color indexed="64"/>
      </bottom>
      <diagonal/>
    </border>
    <border>
      <left style="thin">
        <color indexed="59"/>
      </left>
      <right style="thin">
        <color indexed="59"/>
      </right>
      <top style="thin">
        <color indexed="59"/>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diagonal/>
    </border>
    <border>
      <left/>
      <right style="thin">
        <color indexed="64"/>
      </right>
      <top style="thin">
        <color indexed="64"/>
      </top>
      <bottom style="thin">
        <color indexed="64"/>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hair">
        <color indexed="8"/>
      </left>
      <right style="hair">
        <color indexed="8"/>
      </right>
      <top/>
      <bottom style="hair">
        <color indexed="8"/>
      </bottom>
      <diagonal/>
    </border>
    <border>
      <left style="thin">
        <color indexed="59"/>
      </left>
      <right style="thin">
        <color indexed="59"/>
      </right>
      <top/>
      <bottom/>
      <diagonal/>
    </border>
    <border>
      <left style="thin">
        <color indexed="59"/>
      </left>
      <right style="medium">
        <color indexed="59"/>
      </right>
      <top style="medium">
        <color indexed="59"/>
      </top>
      <bottom style="medium">
        <color indexed="59"/>
      </bottom>
      <diagonal/>
    </border>
    <border>
      <left style="medium">
        <color indexed="59"/>
      </left>
      <right style="medium">
        <color indexed="59"/>
      </right>
      <top style="medium">
        <color indexed="59"/>
      </top>
      <bottom style="medium">
        <color indexed="59"/>
      </bottom>
      <diagonal/>
    </border>
    <border>
      <left style="medium">
        <color indexed="59"/>
      </left>
      <right style="thin">
        <color indexed="59"/>
      </right>
      <top style="medium">
        <color indexed="59"/>
      </top>
      <bottom style="medium">
        <color indexed="59"/>
      </bottom>
      <diagonal/>
    </border>
    <border>
      <left style="medium">
        <color indexed="59"/>
      </left>
      <right/>
      <top style="medium">
        <color indexed="59"/>
      </top>
      <bottom/>
      <diagonal/>
    </border>
    <border>
      <left/>
      <right style="thin">
        <color indexed="23"/>
      </right>
      <top style="thin">
        <color indexed="59"/>
      </top>
      <bottom style="thin">
        <color indexed="64"/>
      </bottom>
      <diagonal/>
    </border>
    <border>
      <left/>
      <right/>
      <top style="thin">
        <color indexed="23"/>
      </top>
      <bottom style="thin">
        <color indexed="23"/>
      </bottom>
      <diagonal/>
    </border>
    <border>
      <left/>
      <right/>
      <top style="thin">
        <color indexed="59"/>
      </top>
      <bottom/>
      <diagonal/>
    </border>
    <border>
      <left/>
      <right style="thin">
        <color indexed="59"/>
      </right>
      <top/>
      <bottom style="thin">
        <color indexed="59"/>
      </bottom>
      <diagonal/>
    </border>
    <border>
      <left/>
      <right/>
      <top style="thin">
        <color indexed="59"/>
      </top>
      <bottom style="thin">
        <color indexed="64"/>
      </bottom>
      <diagonal/>
    </border>
    <border>
      <left style="thin">
        <color indexed="59"/>
      </left>
      <right style="thin">
        <color indexed="59"/>
      </right>
      <top style="thin">
        <color indexed="59"/>
      </top>
      <bottom style="thin">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59"/>
      </top>
      <bottom style="medium">
        <color indexed="59"/>
      </bottom>
      <diagonal/>
    </border>
  </borders>
  <cellStyleXfs count="41">
    <xf numFmtId="0" fontId="0" fillId="0" borderId="0"/>
    <xf numFmtId="0" fontId="3" fillId="2" borderId="0" applyNumberFormat="0" applyBorder="0" applyProtection="0">
      <alignment vertical="top" wrapText="1"/>
    </xf>
    <xf numFmtId="0" fontId="4" fillId="3" borderId="1" applyNumberFormat="0" applyProtection="0">
      <alignment vertical="top" wrapText="1"/>
    </xf>
    <xf numFmtId="43" fontId="22" fillId="0" borderId="0" applyFont="0" applyFill="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22" fillId="0" borderId="0" applyNumberFormat="0" applyBorder="0" applyProtection="0">
      <alignment horizontal="left" vertical="top"/>
    </xf>
    <xf numFmtId="0" fontId="22" fillId="0" borderId="0" applyNumberFormat="0" applyBorder="0" applyProtection="0">
      <alignment horizontal="right" vertical="top"/>
    </xf>
    <xf numFmtId="0" fontId="22" fillId="0" borderId="0" applyNumberFormat="0" applyBorder="0" applyProtection="0">
      <alignment horizontal="left" vertical="top"/>
    </xf>
    <xf numFmtId="0" fontId="22" fillId="0" borderId="0" applyNumberFormat="0" applyBorder="0" applyProtection="0">
      <alignment horizontal="left" vertical="top"/>
    </xf>
    <xf numFmtId="0" fontId="22" fillId="0" borderId="0" applyNumberFormat="0" applyBorder="0" applyProtection="0">
      <alignment horizontal="left" vertical="top"/>
    </xf>
    <xf numFmtId="0" fontId="9" fillId="4" borderId="0" applyNumberFormat="0" applyBorder="0" applyProtection="0">
      <alignment vertical="top" wrapText="1"/>
    </xf>
    <xf numFmtId="0" fontId="10" fillId="0" borderId="0"/>
    <xf numFmtId="0" fontId="11" fillId="0" borderId="0"/>
    <xf numFmtId="0" fontId="22" fillId="0" borderId="0"/>
    <xf numFmtId="0" fontId="22" fillId="0" borderId="0" applyNumberFormat="0" applyProtection="0">
      <alignment vertical="top"/>
    </xf>
    <xf numFmtId="0" fontId="12" fillId="3" borderId="2" applyNumberFormat="0" applyProtection="0">
      <alignment vertical="top" wrapText="1"/>
    </xf>
    <xf numFmtId="9" fontId="2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0" fontId="22" fillId="3" borderId="3" applyNumberFormat="0" applyProtection="0">
      <alignment horizontal="left" vertical="top" wrapText="1"/>
    </xf>
    <xf numFmtId="0" fontId="22" fillId="3" borderId="3" applyNumberFormat="0" applyProtection="0">
      <alignment horizontal="center" vertical="top" wrapText="1"/>
    </xf>
    <xf numFmtId="0" fontId="22" fillId="0" borderId="3" applyNumberFormat="0" applyProtection="0">
      <alignment horizontal="center" vertical="top" wrapText="1"/>
    </xf>
    <xf numFmtId="0" fontId="22" fillId="0" borderId="3" applyNumberFormat="0" applyProtection="0">
      <alignment horizontal="center" vertical="top" wrapText="1"/>
    </xf>
    <xf numFmtId="0" fontId="22" fillId="0" borderId="3" applyNumberFormat="0" applyProtection="0">
      <alignment horizontal="center" vertical="top" wrapText="1"/>
    </xf>
    <xf numFmtId="0" fontId="22" fillId="0" borderId="3" applyNumberFormat="0" applyProtection="0">
      <alignment horizontal="center" vertical="top" wrapText="1"/>
    </xf>
    <xf numFmtId="0" fontId="22" fillId="0" borderId="3" applyNumberFormat="0" applyProtection="0">
      <alignment horizontal="left" vertical="top" wrapText="1"/>
    </xf>
    <xf numFmtId="0" fontId="22" fillId="5" borderId="3" applyNumberFormat="0" applyProtection="0">
      <alignment horizontal="center" vertical="top" wrapText="1"/>
    </xf>
    <xf numFmtId="0" fontId="22" fillId="4" borderId="3" applyNumberFormat="0" applyProtection="0">
      <alignment horizontal="center" vertical="top" wrapText="1"/>
    </xf>
    <xf numFmtId="0" fontId="22" fillId="6" borderId="3" applyNumberFormat="0" applyProtection="0">
      <alignment horizontal="center" vertical="top" wrapText="1"/>
    </xf>
    <xf numFmtId="0" fontId="22" fillId="0" borderId="3" applyNumberFormat="0" applyProtection="0">
      <alignment horizontal="left" vertical="top" wrapText="1"/>
    </xf>
    <xf numFmtId="0" fontId="22" fillId="0" borderId="3" applyNumberFormat="0" applyProtection="0">
      <alignment horizontal="left" vertical="top" wrapText="1"/>
    </xf>
    <xf numFmtId="0" fontId="22" fillId="6" borderId="3" applyNumberFormat="0" applyProtection="0">
      <alignment horizontal="left" vertical="top" wrapText="1"/>
    </xf>
    <xf numFmtId="0" fontId="22" fillId="7" borderId="4" applyNumberFormat="0" applyProtection="0">
      <alignment horizontal="left" vertical="top" wrapText="1"/>
    </xf>
    <xf numFmtId="0" fontId="22" fillId="7" borderId="4" applyNumberFormat="0" applyProtection="0">
      <alignment horizontal="left" vertical="top" wrapText="1"/>
    </xf>
    <xf numFmtId="0" fontId="22" fillId="6" borderId="4" applyNumberFormat="0" applyProtection="0">
      <alignment horizontal="center" vertical="top" wrapText="1"/>
    </xf>
    <xf numFmtId="0" fontId="13" fillId="0" borderId="0" applyNumberFormat="0" applyBorder="0" applyProtection="0">
      <alignment vertical="top" wrapText="1"/>
    </xf>
    <xf numFmtId="0" fontId="14" fillId="0" borderId="5" applyNumberFormat="0" applyProtection="0">
      <alignment vertical="top" wrapText="1"/>
    </xf>
    <xf numFmtId="0" fontId="22" fillId="6" borderId="4" applyNumberFormat="0" applyProtection="0">
      <alignment horizontal="left" vertical="top" wrapText="1"/>
    </xf>
  </cellStyleXfs>
  <cellXfs count="839">
    <xf numFmtId="0" fontId="2" fillId="0" borderId="0" xfId="0" applyFont="1" applyAlignment="1">
      <alignment vertical="top" wrapText="1"/>
    </xf>
    <xf numFmtId="0" fontId="16" fillId="0" borderId="6" xfId="0" applyFont="1" applyFill="1" applyBorder="1" applyAlignment="1">
      <alignment vertical="top" wrapText="1"/>
    </xf>
    <xf numFmtId="3" fontId="16" fillId="0" borderId="7" xfId="0" applyNumberFormat="1" applyFont="1" applyFill="1" applyBorder="1" applyAlignment="1">
      <alignment horizontal="center"/>
    </xf>
    <xf numFmtId="0" fontId="2" fillId="0" borderId="0" xfId="0" applyFont="1" applyFill="1" applyAlignment="1">
      <alignment vertical="top" wrapText="1"/>
    </xf>
    <xf numFmtId="3" fontId="15" fillId="8" borderId="8" xfId="17" applyNumberFormat="1" applyFont="1" applyFill="1" applyBorder="1" applyAlignment="1" applyProtection="1">
      <alignment horizontal="right"/>
      <protection locked="0"/>
    </xf>
    <xf numFmtId="0" fontId="2" fillId="9" borderId="0" xfId="0" applyFont="1" applyFill="1" applyAlignment="1">
      <alignment vertical="top" wrapText="1"/>
    </xf>
    <xf numFmtId="0" fontId="15" fillId="9" borderId="0" xfId="0" applyFont="1" applyFill="1" applyAlignment="1">
      <alignment vertical="top" wrapText="1"/>
    </xf>
    <xf numFmtId="0" fontId="15" fillId="9" borderId="9" xfId="0" applyFont="1" applyFill="1" applyBorder="1" applyAlignment="1">
      <alignment vertical="top" wrapText="1"/>
    </xf>
    <xf numFmtId="0" fontId="16" fillId="9" borderId="0" xfId="0" applyFont="1" applyFill="1" applyBorder="1" applyAlignment="1">
      <alignment vertical="top" wrapText="1"/>
    </xf>
    <xf numFmtId="0" fontId="2" fillId="10" borderId="10" xfId="0" applyFont="1" applyFill="1" applyBorder="1" applyAlignment="1">
      <alignment vertical="top" wrapText="1"/>
    </xf>
    <xf numFmtId="0" fontId="16" fillId="9" borderId="7" xfId="0" applyFont="1" applyFill="1" applyBorder="1" applyAlignment="1">
      <alignment horizontal="center"/>
    </xf>
    <xf numFmtId="0" fontId="16" fillId="9" borderId="11" xfId="0" applyFont="1" applyFill="1" applyBorder="1" applyAlignment="1">
      <alignment horizontal="center"/>
    </xf>
    <xf numFmtId="3" fontId="16" fillId="9" borderId="7" xfId="0" applyNumberFormat="1" applyFont="1" applyFill="1" applyBorder="1" applyAlignment="1">
      <alignment horizontal="center"/>
    </xf>
    <xf numFmtId="0" fontId="0" fillId="9" borderId="0" xfId="0" applyFont="1" applyFill="1" applyAlignment="1">
      <alignment vertical="top" wrapText="1"/>
    </xf>
    <xf numFmtId="0" fontId="2" fillId="9" borderId="12" xfId="0" applyFont="1" applyFill="1" applyBorder="1" applyAlignment="1">
      <alignment vertical="top" wrapText="1"/>
    </xf>
    <xf numFmtId="0" fontId="15" fillId="9" borderId="6" xfId="0" applyFont="1" applyFill="1" applyBorder="1" applyAlignment="1">
      <alignment vertical="top" wrapText="1"/>
    </xf>
    <xf numFmtId="0" fontId="16" fillId="9" borderId="13" xfId="0" applyFont="1" applyFill="1" applyBorder="1" applyAlignment="1">
      <alignment vertical="top" wrapText="1"/>
    </xf>
    <xf numFmtId="3" fontId="15" fillId="9" borderId="14" xfId="0" applyNumberFormat="1" applyFont="1" applyFill="1" applyBorder="1" applyAlignment="1">
      <alignment horizontal="center"/>
    </xf>
    <xf numFmtId="0" fontId="16" fillId="7" borderId="13" xfId="0" applyFont="1" applyFill="1" applyBorder="1" applyAlignment="1">
      <alignment vertical="top" wrapText="1"/>
    </xf>
    <xf numFmtId="3" fontId="16" fillId="9" borderId="14" xfId="0" applyNumberFormat="1" applyFont="1" applyFill="1" applyBorder="1" applyAlignment="1">
      <alignment horizontal="center"/>
    </xf>
    <xf numFmtId="0" fontId="6" fillId="9" borderId="0" xfId="5" applyFill="1">
      <alignment vertical="top"/>
    </xf>
    <xf numFmtId="0" fontId="7" fillId="9" borderId="0" xfId="6" applyFill="1">
      <alignment vertical="top"/>
    </xf>
    <xf numFmtId="0" fontId="20" fillId="9" borderId="0" xfId="0" applyFont="1" applyFill="1" applyAlignment="1" applyProtection="1">
      <alignment vertical="top" wrapText="1"/>
    </xf>
    <xf numFmtId="0" fontId="20" fillId="10" borderId="10" xfId="0" applyFont="1" applyFill="1" applyBorder="1" applyAlignment="1" applyProtection="1">
      <alignment vertical="top" wrapText="1"/>
    </xf>
    <xf numFmtId="0" fontId="15" fillId="9" borderId="10" xfId="0" applyFont="1" applyFill="1" applyBorder="1" applyAlignment="1" applyProtection="1">
      <alignment vertical="top" wrapText="1"/>
    </xf>
    <xf numFmtId="0" fontId="15" fillId="9" borderId="0" xfId="0" applyFont="1" applyFill="1" applyAlignment="1" applyProtection="1">
      <alignment vertical="top" wrapText="1"/>
    </xf>
    <xf numFmtId="0" fontId="16" fillId="9" borderId="10" xfId="0" applyFont="1" applyFill="1" applyBorder="1" applyAlignment="1" applyProtection="1">
      <alignment horizontal="center"/>
    </xf>
    <xf numFmtId="3" fontId="15" fillId="9" borderId="7" xfId="0" applyNumberFormat="1" applyFont="1" applyFill="1" applyBorder="1" applyAlignment="1" applyProtection="1">
      <alignment horizontal="center"/>
    </xf>
    <xf numFmtId="3" fontId="16" fillId="9" borderId="7" xfId="0" applyNumberFormat="1" applyFont="1" applyFill="1" applyBorder="1" applyAlignment="1" applyProtection="1">
      <alignment horizontal="center"/>
    </xf>
    <xf numFmtId="167" fontId="15" fillId="9" borderId="7" xfId="0" applyNumberFormat="1" applyFont="1" applyFill="1" applyBorder="1" applyAlignment="1" applyProtection="1">
      <alignment horizontal="center"/>
    </xf>
    <xf numFmtId="167" fontId="16" fillId="9" borderId="7" xfId="0" applyNumberFormat="1" applyFont="1" applyFill="1" applyBorder="1" applyAlignment="1" applyProtection="1">
      <alignment horizontal="center"/>
    </xf>
    <xf numFmtId="0" fontId="21" fillId="9" borderId="0" xfId="0" applyFont="1" applyFill="1" applyAlignment="1" applyProtection="1">
      <alignment vertical="top" wrapText="1"/>
    </xf>
    <xf numFmtId="3" fontId="20" fillId="9" borderId="0" xfId="0" applyNumberFormat="1" applyFont="1" applyFill="1" applyAlignment="1" applyProtection="1">
      <alignment vertical="top" wrapText="1"/>
    </xf>
    <xf numFmtId="0" fontId="15" fillId="0" borderId="0" xfId="0" applyFont="1" applyFill="1" applyAlignment="1" applyProtection="1">
      <alignment vertical="top" wrapText="1"/>
      <protection locked="0"/>
    </xf>
    <xf numFmtId="0" fontId="19" fillId="10" borderId="6" xfId="0" applyFont="1" applyFill="1" applyBorder="1" applyAlignment="1">
      <alignment vertical="top" wrapText="1"/>
    </xf>
    <xf numFmtId="3" fontId="16" fillId="9" borderId="0" xfId="0" applyNumberFormat="1" applyFont="1" applyFill="1" applyBorder="1" applyAlignment="1">
      <alignment horizontal="center"/>
    </xf>
    <xf numFmtId="0" fontId="15" fillId="7" borderId="13" xfId="0" applyFont="1" applyFill="1" applyBorder="1" applyAlignment="1">
      <alignment vertical="top" wrapText="1"/>
    </xf>
    <xf numFmtId="0" fontId="15" fillId="7" borderId="6" xfId="0" applyFont="1" applyFill="1" applyBorder="1" applyAlignment="1">
      <alignment vertical="top" wrapText="1"/>
    </xf>
    <xf numFmtId="0" fontId="16" fillId="7" borderId="6" xfId="0" applyFont="1" applyFill="1" applyBorder="1" applyAlignment="1">
      <alignment vertical="top" wrapText="1"/>
    </xf>
    <xf numFmtId="3" fontId="16" fillId="9" borderId="8" xfId="0" applyNumberFormat="1" applyFont="1" applyFill="1" applyBorder="1" applyAlignment="1">
      <alignment horizontal="center"/>
    </xf>
    <xf numFmtId="3" fontId="23" fillId="9" borderId="8" xfId="0" applyNumberFormat="1" applyFont="1" applyFill="1" applyBorder="1" applyAlignment="1">
      <alignment horizontal="center"/>
    </xf>
    <xf numFmtId="3" fontId="24" fillId="9" borderId="8" xfId="0" applyNumberFormat="1" applyFont="1" applyFill="1" applyBorder="1" applyAlignment="1">
      <alignment horizontal="center"/>
    </xf>
    <xf numFmtId="3" fontId="15" fillId="11" borderId="11" xfId="0" applyNumberFormat="1" applyFont="1" applyFill="1" applyBorder="1" applyAlignment="1" applyProtection="1">
      <alignment horizontal="right"/>
      <protection locked="0"/>
    </xf>
    <xf numFmtId="3" fontId="15" fillId="0" borderId="14" xfId="0" applyNumberFormat="1" applyFont="1" applyFill="1" applyBorder="1" applyAlignment="1">
      <alignment horizontal="center"/>
    </xf>
    <xf numFmtId="0" fontId="0" fillId="0" borderId="0" xfId="0" applyFont="1" applyFill="1" applyAlignment="1">
      <alignment vertical="top" wrapText="1"/>
    </xf>
    <xf numFmtId="3" fontId="23" fillId="0" borderId="8" xfId="0" applyNumberFormat="1" applyFont="1" applyFill="1" applyBorder="1" applyAlignment="1">
      <alignment horizontal="center"/>
    </xf>
    <xf numFmtId="0" fontId="15" fillId="0" borderId="6" xfId="0" applyFont="1" applyFill="1" applyBorder="1" applyAlignment="1">
      <alignment vertical="top" wrapText="1"/>
    </xf>
    <xf numFmtId="0" fontId="16" fillId="0" borderId="12" xfId="0" applyFont="1" applyFill="1" applyBorder="1" applyAlignment="1">
      <alignment vertical="top" wrapText="1"/>
    </xf>
    <xf numFmtId="3" fontId="24" fillId="0" borderId="8" xfId="0" applyNumberFormat="1" applyFont="1" applyFill="1" applyBorder="1" applyAlignment="1">
      <alignment horizontal="center"/>
    </xf>
    <xf numFmtId="3" fontId="24" fillId="0" borderId="8" xfId="0" applyNumberFormat="1" applyFont="1" applyFill="1" applyBorder="1" applyAlignment="1" applyProtection="1">
      <alignment horizontal="right"/>
      <protection locked="0"/>
    </xf>
    <xf numFmtId="3" fontId="15" fillId="0" borderId="7" xfId="0" applyNumberFormat="1" applyFont="1" applyFill="1" applyBorder="1" applyAlignment="1" applyProtection="1">
      <alignment horizontal="center" wrapText="1"/>
    </xf>
    <xf numFmtId="0" fontId="15" fillId="0" borderId="0" xfId="0" applyFont="1" applyFill="1" applyAlignment="1" applyProtection="1">
      <alignment wrapText="1"/>
    </xf>
    <xf numFmtId="3" fontId="15" fillId="0" borderId="7" xfId="0" applyNumberFormat="1" applyFont="1" applyFill="1" applyBorder="1" applyAlignment="1" applyProtection="1">
      <alignment horizontal="center"/>
    </xf>
    <xf numFmtId="0" fontId="15" fillId="0" borderId="0" xfId="0" applyFont="1" applyFill="1" applyAlignment="1" applyProtection="1">
      <alignment vertical="top" wrapText="1"/>
    </xf>
    <xf numFmtId="3" fontId="2" fillId="9" borderId="0" xfId="0" applyNumberFormat="1" applyFont="1" applyFill="1" applyAlignment="1">
      <alignment vertical="top" wrapText="1"/>
    </xf>
    <xf numFmtId="3" fontId="16" fillId="0" borderId="8" xfId="0" applyNumberFormat="1" applyFont="1" applyFill="1" applyBorder="1" applyAlignment="1">
      <alignment horizontal="center"/>
    </xf>
    <xf numFmtId="0" fontId="25" fillId="0" borderId="0" xfId="14" applyFont="1" applyFill="1" applyBorder="1"/>
    <xf numFmtId="0" fontId="28" fillId="0" borderId="0" xfId="17" applyFont="1">
      <alignment vertical="top"/>
    </xf>
    <xf numFmtId="0" fontId="28" fillId="0" borderId="0" xfId="17" applyFont="1" applyBorder="1">
      <alignment vertical="top"/>
    </xf>
    <xf numFmtId="0" fontId="31" fillId="0" borderId="0" xfId="0" applyFont="1" applyAlignment="1">
      <alignment vertical="top" wrapText="1"/>
    </xf>
    <xf numFmtId="0" fontId="25" fillId="0" borderId="0" xfId="0" applyFont="1" applyAlignment="1">
      <alignment vertical="top" wrapText="1"/>
    </xf>
    <xf numFmtId="3" fontId="25" fillId="0" borderId="0" xfId="0" applyNumberFormat="1" applyFont="1" applyAlignment="1">
      <alignment vertical="top" wrapText="1"/>
    </xf>
    <xf numFmtId="0" fontId="25" fillId="0" borderId="0" xfId="0" applyFont="1" applyFill="1" applyAlignment="1">
      <alignment vertical="top" wrapText="1"/>
    </xf>
    <xf numFmtId="0" fontId="32" fillId="0" borderId="0" xfId="0" applyFont="1" applyFill="1" applyBorder="1" applyAlignment="1" applyProtection="1">
      <alignment vertical="top" wrapText="1"/>
      <protection locked="0"/>
    </xf>
    <xf numFmtId="3" fontId="32" fillId="11" borderId="6" xfId="0" applyNumberFormat="1" applyFont="1" applyFill="1" applyBorder="1" applyAlignment="1" applyProtection="1">
      <protection locked="0"/>
    </xf>
    <xf numFmtId="3" fontId="25" fillId="11" borderId="10" xfId="0" applyNumberFormat="1" applyFont="1" applyFill="1" applyBorder="1" applyAlignment="1" applyProtection="1">
      <protection locked="0"/>
    </xf>
    <xf numFmtId="0" fontId="25" fillId="11" borderId="10" xfId="0" applyFont="1" applyFill="1" applyBorder="1" applyAlignment="1" applyProtection="1">
      <alignment vertical="top" wrapText="1"/>
      <protection locked="0"/>
    </xf>
    <xf numFmtId="3" fontId="25" fillId="11" borderId="11" xfId="0" applyNumberFormat="1" applyFont="1" applyFill="1" applyBorder="1" applyAlignment="1" applyProtection="1">
      <protection locked="0"/>
    </xf>
    <xf numFmtId="3" fontId="25" fillId="0" borderId="0" xfId="0" applyNumberFormat="1" applyFont="1" applyFill="1" applyBorder="1" applyAlignment="1" applyProtection="1">
      <protection locked="0"/>
    </xf>
    <xf numFmtId="0" fontId="25" fillId="0" borderId="0" xfId="0" applyFont="1" applyFill="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0" xfId="0" applyFont="1" applyAlignment="1" applyProtection="1">
      <alignment vertical="top" wrapText="1"/>
      <protection locked="0"/>
    </xf>
    <xf numFmtId="3" fontId="25" fillId="0" borderId="0" xfId="0" applyNumberFormat="1" applyFont="1" applyFill="1" applyBorder="1" applyAlignment="1" applyProtection="1">
      <alignment horizontal="center"/>
      <protection locked="0"/>
    </xf>
    <xf numFmtId="0" fontId="25" fillId="11" borderId="11" xfId="0" applyFont="1" applyFill="1" applyBorder="1" applyAlignment="1" applyProtection="1">
      <alignment vertical="top" wrapText="1"/>
      <protection locked="0"/>
    </xf>
    <xf numFmtId="0" fontId="32" fillId="0" borderId="0" xfId="0" applyFont="1" applyAlignment="1" applyProtection="1">
      <alignment vertical="top" wrapText="1"/>
      <protection locked="0"/>
    </xf>
    <xf numFmtId="0" fontId="33" fillId="0" borderId="0" xfId="0" applyFont="1" applyAlignment="1">
      <alignment vertical="top" wrapText="1"/>
    </xf>
    <xf numFmtId="0" fontId="25" fillId="3" borderId="0" xfId="0" applyFont="1" applyFill="1" applyAlignment="1" applyProtection="1">
      <alignment vertical="top" wrapText="1"/>
    </xf>
    <xf numFmtId="0" fontId="34" fillId="7" borderId="6" xfId="0" applyFont="1" applyFill="1" applyBorder="1" applyAlignment="1" applyProtection="1">
      <alignment vertical="top" wrapText="1"/>
      <protection locked="0"/>
    </xf>
    <xf numFmtId="0" fontId="34" fillId="7" borderId="10" xfId="0" applyFont="1" applyFill="1" applyBorder="1" applyAlignment="1" applyProtection="1">
      <alignment vertical="top" wrapText="1"/>
      <protection locked="0"/>
    </xf>
    <xf numFmtId="0" fontId="34" fillId="7" borderId="11" xfId="0" applyFont="1" applyFill="1" applyBorder="1" applyAlignment="1" applyProtection="1">
      <alignment vertical="top" wrapText="1"/>
      <protection locked="0"/>
    </xf>
    <xf numFmtId="0" fontId="35" fillId="0" borderId="6" xfId="0" applyFont="1" applyFill="1" applyBorder="1" applyAlignment="1" applyProtection="1">
      <alignment vertical="top" wrapText="1"/>
      <protection locked="0"/>
    </xf>
    <xf numFmtId="0" fontId="25" fillId="0" borderId="11" xfId="0" applyFont="1" applyBorder="1" applyAlignment="1" applyProtection="1">
      <alignment vertical="top" wrapText="1"/>
      <protection locked="0"/>
    </xf>
    <xf numFmtId="0" fontId="36" fillId="0" borderId="13" xfId="0" applyFont="1" applyBorder="1" applyAlignment="1" applyProtection="1">
      <protection locked="0"/>
    </xf>
    <xf numFmtId="0" fontId="25" fillId="0" borderId="15" xfId="0" applyFont="1" applyBorder="1" applyAlignment="1" applyProtection="1">
      <alignment vertical="top" wrapText="1"/>
      <protection locked="0"/>
    </xf>
    <xf numFmtId="0" fontId="25" fillId="0" borderId="6" xfId="0" applyFont="1" applyBorder="1" applyAlignment="1" applyProtection="1">
      <alignment vertical="top" wrapText="1"/>
      <protection locked="0"/>
    </xf>
    <xf numFmtId="0" fontId="25" fillId="0" borderId="8" xfId="17" applyNumberFormat="1" applyFont="1" applyBorder="1" applyAlignment="1" applyProtection="1">
      <alignment horizontal="center"/>
      <protection locked="0"/>
    </xf>
    <xf numFmtId="0" fontId="25" fillId="0" borderId="16" xfId="0" applyFont="1" applyBorder="1" applyAlignment="1" applyProtection="1">
      <alignment vertical="top" wrapText="1"/>
      <protection locked="0"/>
    </xf>
    <xf numFmtId="0" fontId="25" fillId="0" borderId="17" xfId="0" applyFont="1" applyBorder="1" applyAlignment="1" applyProtection="1">
      <alignment vertical="top" wrapText="1"/>
      <protection locked="0"/>
    </xf>
    <xf numFmtId="0" fontId="25" fillId="0" borderId="17" xfId="17" applyNumberFormat="1" applyFont="1" applyBorder="1" applyAlignment="1" applyProtection="1">
      <alignment horizontal="center"/>
      <protection locked="0"/>
    </xf>
    <xf numFmtId="0" fontId="25" fillId="0" borderId="12" xfId="0" applyFont="1" applyBorder="1" applyAlignment="1" applyProtection="1">
      <alignment vertical="top" wrapText="1"/>
      <protection locked="0"/>
    </xf>
    <xf numFmtId="0" fontId="25" fillId="8" borderId="8" xfId="17" applyNumberFormat="1" applyFont="1" applyFill="1" applyBorder="1" applyAlignment="1" applyProtection="1">
      <alignment horizontal="center"/>
      <protection locked="0"/>
    </xf>
    <xf numFmtId="14" fontId="25" fillId="0" borderId="0" xfId="0" applyNumberFormat="1" applyFont="1" applyAlignment="1" applyProtection="1">
      <alignment vertical="top" wrapText="1"/>
      <protection locked="0"/>
    </xf>
    <xf numFmtId="0" fontId="25" fillId="0" borderId="7" xfId="0" applyFont="1" applyBorder="1" applyAlignment="1" applyProtection="1">
      <alignment vertical="top" wrapText="1"/>
      <protection locked="0"/>
    </xf>
    <xf numFmtId="0" fontId="25" fillId="3" borderId="1" xfId="2" applyNumberFormat="1" applyFont="1" applyAlignment="1" applyProtection="1">
      <alignment horizontal="center"/>
    </xf>
    <xf numFmtId="0" fontId="25" fillId="0" borderId="18" xfId="0" applyFont="1" applyBorder="1" applyAlignment="1" applyProtection="1">
      <alignment vertical="top" wrapText="1"/>
      <protection locked="0"/>
    </xf>
    <xf numFmtId="0" fontId="35" fillId="0" borderId="6" xfId="0" applyFont="1" applyFill="1" applyBorder="1" applyAlignment="1" applyProtection="1">
      <protection locked="0"/>
    </xf>
    <xf numFmtId="0" fontId="25" fillId="0" borderId="19" xfId="0" applyFont="1" applyBorder="1" applyAlignment="1" applyProtection="1">
      <alignment vertical="top" wrapText="1"/>
      <protection locked="0"/>
    </xf>
    <xf numFmtId="10" fontId="25" fillId="0" borderId="0" xfId="0" applyNumberFormat="1" applyFont="1" applyAlignment="1" applyProtection="1">
      <alignment vertical="top" wrapText="1"/>
      <protection locked="0"/>
    </xf>
    <xf numFmtId="3" fontId="25" fillId="8" borderId="8" xfId="17" applyNumberFormat="1" applyFont="1" applyFill="1" applyBorder="1" applyAlignment="1" applyProtection="1">
      <alignment horizontal="center"/>
      <protection locked="0"/>
    </xf>
    <xf numFmtId="0" fontId="33" fillId="0" borderId="0" xfId="0" applyFont="1" applyAlignment="1" applyProtection="1">
      <alignment vertical="top" wrapText="1"/>
      <protection locked="0"/>
    </xf>
    <xf numFmtId="0" fontId="25" fillId="8" borderId="20" xfId="17" applyNumberFormat="1" applyFont="1" applyFill="1" applyBorder="1" applyAlignment="1" applyProtection="1">
      <alignment horizontal="center"/>
      <protection locked="0"/>
    </xf>
    <xf numFmtId="0" fontId="25" fillId="0" borderId="20" xfId="17" applyNumberFormat="1" applyFont="1" applyFill="1" applyBorder="1" applyAlignment="1" applyProtection="1">
      <alignment horizontal="center"/>
      <protection locked="0"/>
    </xf>
    <xf numFmtId="165" fontId="25" fillId="0" borderId="8" xfId="17" applyNumberFormat="1" applyFont="1" applyFill="1" applyBorder="1" applyAlignment="1" applyProtection="1">
      <alignment horizontal="center"/>
      <protection locked="0"/>
    </xf>
    <xf numFmtId="3" fontId="25" fillId="3" borderId="13" xfId="2" applyNumberFormat="1" applyFont="1" applyBorder="1" applyAlignment="1" applyProtection="1">
      <alignment horizontal="center"/>
    </xf>
    <xf numFmtId="3" fontId="25" fillId="3" borderId="8" xfId="2" applyNumberFormat="1" applyFont="1" applyBorder="1" applyAlignment="1" applyProtection="1">
      <alignment horizontal="center"/>
    </xf>
    <xf numFmtId="166" fontId="30" fillId="8" borderId="14" xfId="0" applyNumberFormat="1" applyFont="1" applyFill="1" applyBorder="1" applyAlignment="1" applyProtection="1">
      <alignment horizontal="center" vertical="top" wrapText="1"/>
      <protection locked="0"/>
    </xf>
    <xf numFmtId="0" fontId="37" fillId="0" borderId="7" xfId="0" applyFont="1" applyBorder="1" applyAlignment="1" applyProtection="1">
      <alignment wrapText="1"/>
    </xf>
    <xf numFmtId="0" fontId="32" fillId="0" borderId="21" xfId="0" applyFont="1" applyFill="1" applyBorder="1" applyAlignment="1" applyProtection="1">
      <alignment horizontal="center" vertical="center"/>
    </xf>
    <xf numFmtId="0" fontId="32" fillId="0" borderId="16" xfId="0" applyFont="1" applyFill="1" applyBorder="1" applyAlignment="1" applyProtection="1">
      <alignment horizontal="center" vertical="center"/>
    </xf>
    <xf numFmtId="0" fontId="32" fillId="0" borderId="8" xfId="0" applyFont="1" applyFill="1" applyBorder="1" applyAlignment="1" applyProtection="1">
      <alignment horizontal="center" vertical="center"/>
    </xf>
    <xf numFmtId="3" fontId="38" fillId="0" borderId="0" xfId="0" applyNumberFormat="1" applyFont="1" applyFill="1" applyBorder="1" applyAlignment="1" applyProtection="1">
      <alignment wrapText="1"/>
    </xf>
    <xf numFmtId="3" fontId="38" fillId="0" borderId="0" xfId="0" applyNumberFormat="1" applyFont="1" applyBorder="1" applyAlignment="1" applyProtection="1">
      <alignment wrapText="1"/>
    </xf>
    <xf numFmtId="3" fontId="25" fillId="0" borderId="0" xfId="0" applyNumberFormat="1" applyFont="1" applyBorder="1" applyAlignment="1" applyProtection="1">
      <alignment horizontal="center"/>
      <protection locked="0"/>
    </xf>
    <xf numFmtId="0" fontId="25" fillId="0" borderId="6" xfId="0" applyFont="1" applyBorder="1" applyAlignment="1" applyProtection="1">
      <alignment vertical="top" wrapText="1"/>
    </xf>
    <xf numFmtId="3" fontId="25" fillId="8" borderId="8" xfId="17" applyNumberFormat="1" applyFont="1" applyFill="1" applyBorder="1" applyAlignment="1" applyProtection="1">
      <alignment horizontal="right"/>
      <protection locked="0"/>
    </xf>
    <xf numFmtId="3" fontId="25" fillId="8" borderId="8" xfId="0" applyNumberFormat="1" applyFont="1" applyFill="1" applyBorder="1" applyAlignment="1" applyProtection="1">
      <alignment horizontal="right"/>
      <protection locked="0"/>
    </xf>
    <xf numFmtId="0" fontId="25" fillId="8" borderId="8" xfId="0" applyFont="1" applyFill="1" applyBorder="1" applyAlignment="1">
      <alignment vertical="top" wrapText="1"/>
    </xf>
    <xf numFmtId="0" fontId="33" fillId="8" borderId="8" xfId="0" applyFont="1" applyFill="1" applyBorder="1" applyAlignment="1">
      <alignment vertical="top" wrapText="1"/>
    </xf>
    <xf numFmtId="0" fontId="25" fillId="0" borderId="13" xfId="0" applyFont="1" applyBorder="1" applyAlignment="1" applyProtection="1">
      <alignment vertical="top" wrapText="1"/>
    </xf>
    <xf numFmtId="3" fontId="25" fillId="12" borderId="8" xfId="17" applyNumberFormat="1" applyFont="1" applyFill="1" applyBorder="1" applyAlignment="1" applyProtection="1">
      <alignment horizontal="right"/>
    </xf>
    <xf numFmtId="0" fontId="37" fillId="0" borderId="13" xfId="0" applyFont="1" applyBorder="1" applyAlignment="1" applyProtection="1">
      <alignment wrapText="1"/>
    </xf>
    <xf numFmtId="0" fontId="32" fillId="0" borderId="20" xfId="0" applyFont="1" applyFill="1" applyBorder="1" applyAlignment="1" applyProtection="1">
      <alignment horizontal="center" vertical="center"/>
    </xf>
    <xf numFmtId="3" fontId="25" fillId="8" borderId="8" xfId="0" applyNumberFormat="1" applyFont="1" applyFill="1" applyBorder="1" applyAlignment="1" applyProtection="1">
      <alignment horizontal="center"/>
      <protection locked="0"/>
    </xf>
    <xf numFmtId="1" fontId="25" fillId="8" borderId="8" xfId="0" applyNumberFormat="1" applyFont="1" applyFill="1" applyBorder="1" applyAlignment="1" applyProtection="1">
      <alignment horizontal="right"/>
      <protection locked="0"/>
    </xf>
    <xf numFmtId="0" fontId="25" fillId="0" borderId="10" xfId="0" applyFont="1" applyBorder="1" applyAlignment="1" applyProtection="1">
      <alignment vertical="top" wrapText="1"/>
    </xf>
    <xf numFmtId="0" fontId="25" fillId="0" borderId="0" xfId="0" applyFont="1" applyFill="1" applyBorder="1" applyAlignment="1" applyProtection="1">
      <alignment horizontal="right"/>
    </xf>
    <xf numFmtId="3" fontId="25" fillId="0" borderId="0" xfId="0" applyNumberFormat="1" applyFont="1" applyFill="1" applyBorder="1" applyAlignment="1" applyProtection="1">
      <alignment horizontal="right"/>
    </xf>
    <xf numFmtId="3" fontId="25" fillId="0" borderId="8" xfId="0" applyNumberFormat="1" applyFont="1" applyFill="1" applyBorder="1" applyAlignment="1" applyProtection="1">
      <alignment horizontal="right"/>
    </xf>
    <xf numFmtId="3" fontId="25" fillId="0" borderId="8" xfId="0" applyNumberFormat="1" applyFont="1" applyBorder="1" applyAlignment="1" applyProtection="1">
      <alignment horizontal="center"/>
      <protection locked="0"/>
    </xf>
    <xf numFmtId="0" fontId="37" fillId="0" borderId="8" xfId="0" applyFont="1" applyBorder="1" applyAlignment="1" applyProtection="1">
      <alignment wrapText="1"/>
      <protection locked="0"/>
    </xf>
    <xf numFmtId="0" fontId="32" fillId="0" borderId="8" xfId="0" applyFont="1" applyBorder="1" applyAlignment="1" applyProtection="1">
      <alignment horizontal="right" wrapText="1"/>
    </xf>
    <xf numFmtId="0" fontId="32" fillId="0" borderId="20" xfId="0" applyFont="1" applyBorder="1" applyAlignment="1" applyProtection="1">
      <alignment horizontal="right" wrapText="1"/>
    </xf>
    <xf numFmtId="0" fontId="25" fillId="0" borderId="14" xfId="0" applyFont="1" applyBorder="1" applyAlignment="1" applyProtection="1">
      <alignment vertical="top" wrapText="1"/>
      <protection locked="0"/>
    </xf>
    <xf numFmtId="3" fontId="25" fillId="3" borderId="22" xfId="2" applyNumberFormat="1" applyFont="1" applyBorder="1" applyAlignment="1" applyProtection="1">
      <alignment horizontal="right"/>
    </xf>
    <xf numFmtId="3" fontId="25" fillId="3" borderId="1" xfId="2" applyNumberFormat="1" applyFont="1" applyAlignment="1" applyProtection="1">
      <alignment horizontal="right"/>
    </xf>
    <xf numFmtId="0" fontId="37" fillId="0" borderId="0" xfId="0" applyFont="1" applyBorder="1" applyAlignment="1" applyProtection="1">
      <alignment wrapText="1"/>
      <protection locked="0"/>
    </xf>
    <xf numFmtId="0" fontId="32" fillId="0" borderId="0" xfId="0" applyFont="1" applyFill="1" applyBorder="1" applyAlignment="1" applyProtection="1">
      <alignment horizontal="right" wrapText="1"/>
    </xf>
    <xf numFmtId="3" fontId="32" fillId="0" borderId="1" xfId="2" applyNumberFormat="1" applyFont="1" applyFill="1" applyAlignment="1" applyProtection="1">
      <alignment horizontal="right"/>
    </xf>
    <xf numFmtId="3" fontId="32" fillId="0" borderId="23" xfId="2" applyNumberFormat="1" applyFont="1" applyFill="1" applyBorder="1" applyAlignment="1" applyProtection="1">
      <alignment horizontal="right"/>
    </xf>
    <xf numFmtId="3" fontId="32" fillId="0" borderId="8" xfId="2" applyNumberFormat="1" applyFont="1" applyFill="1" applyBorder="1" applyAlignment="1" applyProtection="1">
      <alignment horizontal="right"/>
    </xf>
    <xf numFmtId="0" fontId="25" fillId="0" borderId="0" xfId="0" applyFont="1" applyBorder="1" applyAlignment="1">
      <alignment vertical="top" wrapText="1"/>
    </xf>
    <xf numFmtId="3" fontId="25" fillId="0" borderId="24" xfId="2" applyNumberFormat="1" applyFont="1" applyFill="1" applyBorder="1" applyAlignment="1" applyProtection="1">
      <alignment horizontal="right"/>
    </xf>
    <xf numFmtId="3" fontId="32" fillId="0" borderId="0" xfId="2" applyNumberFormat="1" applyFont="1" applyFill="1" applyBorder="1" applyAlignment="1" applyProtection="1">
      <alignment horizontal="right"/>
    </xf>
    <xf numFmtId="0" fontId="32" fillId="0" borderId="0" xfId="0" applyFont="1" applyAlignment="1">
      <alignment vertical="top" wrapText="1"/>
    </xf>
    <xf numFmtId="9" fontId="25" fillId="17" borderId="8" xfId="19" applyFont="1" applyFill="1" applyBorder="1" applyAlignment="1" applyProtection="1">
      <alignment horizontal="right"/>
    </xf>
    <xf numFmtId="0" fontId="35" fillId="0" borderId="6" xfId="0" applyFont="1" applyFill="1" applyBorder="1" applyAlignment="1" applyProtection="1">
      <alignment vertical="center" wrapText="1"/>
      <protection locked="0"/>
    </xf>
    <xf numFmtId="0" fontId="32" fillId="0" borderId="8" xfId="0" applyFont="1" applyBorder="1" applyAlignment="1" applyProtection="1">
      <alignment horizontal="center" vertical="center" wrapText="1"/>
      <protection locked="0"/>
    </xf>
    <xf numFmtId="0" fontId="32" fillId="0" borderId="8" xfId="0" applyFont="1" applyBorder="1" applyAlignment="1" applyProtection="1">
      <alignment vertical="top" wrapText="1"/>
      <protection locked="0"/>
    </xf>
    <xf numFmtId="0" fontId="25" fillId="0" borderId="7" xfId="0" applyFont="1" applyFill="1" applyBorder="1" applyAlignment="1" applyProtection="1">
      <alignment horizontal="left"/>
      <protection locked="0"/>
    </xf>
    <xf numFmtId="43" fontId="25" fillId="12" borderId="8" xfId="3" applyFont="1" applyFill="1" applyBorder="1" applyAlignment="1" applyProtection="1">
      <alignment vertical="top" wrapText="1"/>
    </xf>
    <xf numFmtId="0" fontId="25" fillId="12" borderId="0" xfId="0" applyFont="1" applyFill="1" applyAlignment="1" applyProtection="1">
      <alignment vertical="top" wrapText="1"/>
      <protection locked="0"/>
    </xf>
    <xf numFmtId="0" fontId="25" fillId="9" borderId="0" xfId="0" applyFont="1" applyFill="1" applyAlignment="1" applyProtection="1">
      <alignment vertical="top" wrapText="1"/>
      <protection locked="0"/>
    </xf>
    <xf numFmtId="0" fontId="25" fillId="0" borderId="6" xfId="0" applyFont="1" applyFill="1" applyBorder="1" applyAlignment="1" applyProtection="1">
      <alignment vertical="top" wrapText="1"/>
      <protection locked="0"/>
    </xf>
    <xf numFmtId="43" fontId="25" fillId="12" borderId="20" xfId="0" applyNumberFormat="1" applyFont="1" applyFill="1" applyBorder="1" applyAlignment="1" applyProtection="1">
      <alignment vertical="top" wrapText="1"/>
      <protection locked="0"/>
    </xf>
    <xf numFmtId="3" fontId="32" fillId="12" borderId="8" xfId="0" applyNumberFormat="1" applyFont="1" applyFill="1" applyBorder="1" applyAlignment="1" applyProtection="1">
      <alignment horizontal="right" wrapText="1"/>
      <protection locked="0"/>
    </xf>
    <xf numFmtId="43" fontId="25" fillId="12" borderId="8" xfId="3" applyFont="1" applyFill="1" applyBorder="1" applyAlignment="1" applyProtection="1">
      <alignment horizontal="right" vertical="top" wrapText="1"/>
      <protection locked="0"/>
    </xf>
    <xf numFmtId="0" fontId="38" fillId="9" borderId="0" xfId="0" applyFont="1" applyFill="1" applyBorder="1" applyAlignment="1" applyProtection="1">
      <alignment vertical="center" wrapText="1"/>
    </xf>
    <xf numFmtId="3" fontId="32" fillId="12" borderId="8" xfId="0" applyNumberFormat="1" applyFont="1" applyFill="1" applyBorder="1" applyAlignment="1" applyProtection="1">
      <alignment wrapText="1"/>
      <protection locked="0"/>
    </xf>
    <xf numFmtId="10" fontId="25" fillId="8" borderId="8" xfId="17" applyNumberFormat="1" applyFont="1" applyFill="1" applyBorder="1" applyAlignment="1" applyProtection="1">
      <protection locked="0"/>
    </xf>
    <xf numFmtId="166" fontId="25" fillId="9" borderId="0" xfId="0" applyNumberFormat="1" applyFont="1" applyFill="1" applyAlignment="1" applyProtection="1">
      <alignment vertical="top" wrapText="1"/>
      <protection locked="0"/>
    </xf>
    <xf numFmtId="0" fontId="33" fillId="9" borderId="0" xfId="17" applyFont="1" applyFill="1" applyProtection="1">
      <alignment vertical="top"/>
      <protection locked="0"/>
    </xf>
    <xf numFmtId="0" fontId="25" fillId="8" borderId="8" xfId="17" applyNumberFormat="1" applyFont="1" applyFill="1" applyBorder="1" applyAlignment="1" applyProtection="1">
      <alignment horizontal="right"/>
      <protection locked="0"/>
    </xf>
    <xf numFmtId="3" fontId="33" fillId="0" borderId="0" xfId="0" applyNumberFormat="1" applyFont="1" applyAlignment="1">
      <alignment vertical="top" wrapText="1"/>
    </xf>
    <xf numFmtId="0" fontId="25" fillId="0" borderId="0" xfId="0" applyFont="1" applyFill="1" applyAlignment="1" applyProtection="1">
      <alignment vertical="top" wrapText="1"/>
      <protection locked="0"/>
    </xf>
    <xf numFmtId="0" fontId="25" fillId="0" borderId="0" xfId="0" applyFont="1" applyFill="1" applyAlignment="1" applyProtection="1">
      <alignment vertical="top" wrapText="1"/>
    </xf>
    <xf numFmtId="0" fontId="33" fillId="0" borderId="0" xfId="0" applyFont="1" applyFill="1" applyAlignment="1">
      <alignment vertical="top" wrapText="1"/>
    </xf>
    <xf numFmtId="0" fontId="32" fillId="3" borderId="8" xfId="0" applyFont="1" applyFill="1" applyBorder="1" applyAlignment="1" applyProtection="1">
      <alignment vertical="top" wrapText="1"/>
    </xf>
    <xf numFmtId="0" fontId="25" fillId="0" borderId="13" xfId="0" applyFont="1" applyFill="1" applyBorder="1" applyAlignment="1" applyProtection="1">
      <alignment wrapText="1"/>
    </xf>
    <xf numFmtId="3" fontId="32" fillId="12" borderId="8" xfId="2" applyNumberFormat="1" applyFont="1" applyFill="1" applyBorder="1" applyAlignment="1" applyProtection="1">
      <alignment horizontal="right"/>
    </xf>
    <xf numFmtId="4" fontId="32" fillId="12" borderId="8" xfId="2" applyNumberFormat="1" applyFont="1" applyFill="1" applyBorder="1" applyAlignment="1" applyProtection="1">
      <alignment horizontal="right"/>
    </xf>
    <xf numFmtId="0" fontId="25" fillId="0" borderId="6" xfId="0" applyFont="1" applyFill="1" applyBorder="1" applyAlignment="1" applyProtection="1">
      <alignment wrapText="1"/>
    </xf>
    <xf numFmtId="4" fontId="25" fillId="12" borderId="8" xfId="2" applyNumberFormat="1" applyFont="1" applyFill="1" applyBorder="1" applyAlignment="1" applyProtection="1">
      <alignment horizontal="right"/>
    </xf>
    <xf numFmtId="3" fontId="38" fillId="0" borderId="0" xfId="0" applyNumberFormat="1" applyFont="1" applyAlignment="1" applyProtection="1">
      <alignment vertical="top" wrapText="1"/>
      <protection locked="0"/>
    </xf>
    <xf numFmtId="0" fontId="32" fillId="0" borderId="6" xfId="0" applyFont="1" applyFill="1" applyBorder="1" applyAlignment="1" applyProtection="1">
      <alignment wrapText="1"/>
    </xf>
    <xf numFmtId="0" fontId="32" fillId="12" borderId="25" xfId="0" applyFont="1" applyFill="1" applyBorder="1" applyAlignment="1" applyProtection="1">
      <alignment horizontal="center" vertical="top" wrapText="1"/>
      <protection locked="0"/>
    </xf>
    <xf numFmtId="0" fontId="32" fillId="0" borderId="0" xfId="0" applyFont="1" applyFill="1" applyBorder="1" applyAlignment="1" applyProtection="1">
      <alignment wrapText="1"/>
    </xf>
    <xf numFmtId="0" fontId="32" fillId="9" borderId="8" xfId="0" applyFont="1" applyFill="1" applyBorder="1" applyAlignment="1">
      <alignment wrapText="1"/>
    </xf>
    <xf numFmtId="0" fontId="25" fillId="9" borderId="8" xfId="0" applyFont="1" applyFill="1" applyBorder="1" applyAlignment="1">
      <alignment wrapText="1"/>
    </xf>
    <xf numFmtId="3" fontId="25" fillId="9" borderId="0" xfId="0" applyNumberFormat="1" applyFont="1" applyFill="1" applyAlignment="1" applyProtection="1">
      <alignment vertical="top" wrapText="1"/>
      <protection locked="0"/>
    </xf>
    <xf numFmtId="0" fontId="25" fillId="9" borderId="0" xfId="0" applyFont="1" applyFill="1" applyAlignment="1" applyProtection="1">
      <alignment horizontal="right" vertical="top" wrapText="1"/>
      <protection locked="0"/>
    </xf>
    <xf numFmtId="173" fontId="25" fillId="9" borderId="0" xfId="0" applyNumberFormat="1" applyFont="1" applyFill="1" applyAlignment="1" applyProtection="1">
      <alignment vertical="top" wrapText="1"/>
      <protection locked="0"/>
    </xf>
    <xf numFmtId="0" fontId="25" fillId="9" borderId="0" xfId="0" applyFont="1" applyFill="1" applyBorder="1" applyAlignment="1" applyProtection="1">
      <alignment wrapText="1"/>
    </xf>
    <xf numFmtId="4" fontId="25" fillId="12" borderId="8" xfId="2" applyNumberFormat="1" applyFont="1" applyFill="1" applyBorder="1" applyAlignment="1" applyProtection="1">
      <alignment horizontal="right"/>
      <protection locked="0"/>
    </xf>
    <xf numFmtId="0" fontId="25" fillId="9" borderId="8" xfId="0" applyFont="1" applyFill="1" applyBorder="1" applyAlignment="1">
      <alignment vertical="top" wrapText="1"/>
    </xf>
    <xf numFmtId="0" fontId="34" fillId="7" borderId="13" xfId="0" applyFont="1" applyFill="1" applyBorder="1" applyAlignment="1" applyProtection="1">
      <alignment vertical="top" wrapText="1"/>
      <protection locked="0"/>
    </xf>
    <xf numFmtId="0" fontId="34" fillId="7" borderId="9" xfId="0" applyFont="1" applyFill="1" applyBorder="1" applyAlignment="1" applyProtection="1">
      <alignment vertical="top" wrapText="1"/>
      <protection locked="0"/>
    </xf>
    <xf numFmtId="0" fontId="39" fillId="0" borderId="13" xfId="0" applyFont="1" applyFill="1" applyBorder="1" applyAlignment="1" applyProtection="1">
      <alignment vertical="top" wrapText="1"/>
      <protection locked="0"/>
    </xf>
    <xf numFmtId="0" fontId="32" fillId="0" borderId="9" xfId="0" applyFont="1" applyFill="1" applyBorder="1" applyAlignment="1" applyProtection="1">
      <alignment vertical="top" wrapText="1"/>
      <protection locked="0"/>
    </xf>
    <xf numFmtId="0" fontId="32" fillId="3" borderId="7" xfId="2" applyNumberFormat="1" applyFont="1" applyBorder="1" applyAlignment="1" applyProtection="1">
      <alignment horizontal="center"/>
    </xf>
    <xf numFmtId="0" fontId="35" fillId="0" borderId="14" xfId="0" applyFont="1" applyBorder="1" applyAlignment="1" applyProtection="1">
      <alignment vertical="top" wrapText="1"/>
      <protection locked="0"/>
    </xf>
    <xf numFmtId="0" fontId="32" fillId="0" borderId="14" xfId="0" applyFont="1" applyFill="1" applyBorder="1" applyAlignment="1" applyProtection="1">
      <alignment horizontal="center"/>
      <protection locked="0"/>
    </xf>
    <xf numFmtId="0" fontId="40" fillId="0" borderId="14" xfId="0" applyFont="1" applyBorder="1" applyAlignment="1" applyProtection="1">
      <alignment wrapText="1"/>
      <protection locked="0"/>
    </xf>
    <xf numFmtId="0" fontId="32" fillId="0" borderId="14" xfId="0" applyFont="1" applyFill="1" applyBorder="1" applyAlignment="1" applyProtection="1">
      <alignment horizontal="center" wrapText="1"/>
      <protection locked="0"/>
    </xf>
    <xf numFmtId="0" fontId="25" fillId="0" borderId="0" xfId="0" applyFont="1" applyAlignment="1" applyProtection="1">
      <alignment wrapText="1"/>
      <protection locked="0"/>
    </xf>
    <xf numFmtId="3" fontId="25" fillId="11" borderId="14" xfId="0" applyNumberFormat="1" applyFont="1" applyFill="1" applyBorder="1" applyAlignment="1" applyProtection="1">
      <alignment horizontal="right"/>
      <protection locked="0"/>
    </xf>
    <xf numFmtId="3" fontId="25" fillId="0" borderId="14" xfId="0" applyNumberFormat="1" applyFont="1" applyFill="1" applyBorder="1" applyAlignment="1" applyProtection="1">
      <alignment horizontal="right" wrapText="1"/>
      <protection locked="0"/>
    </xf>
    <xf numFmtId="0" fontId="35" fillId="0" borderId="11" xfId="0" applyFont="1" applyBorder="1" applyAlignment="1" applyProtection="1">
      <alignment vertical="top" wrapText="1"/>
      <protection locked="0"/>
    </xf>
    <xf numFmtId="3" fontId="32" fillId="12" borderId="14" xfId="0" applyNumberFormat="1" applyFont="1" applyFill="1" applyBorder="1" applyAlignment="1" applyProtection="1">
      <alignment horizontal="right"/>
      <protection locked="0"/>
    </xf>
    <xf numFmtId="0" fontId="41" fillId="0" borderId="13" xfId="0" applyFont="1" applyFill="1" applyBorder="1" applyAlignment="1" applyProtection="1">
      <alignment vertical="top" wrapText="1"/>
      <protection locked="0"/>
    </xf>
    <xf numFmtId="0" fontId="32" fillId="3" borderId="8" xfId="2" applyNumberFormat="1" applyFont="1" applyFill="1" applyBorder="1" applyAlignment="1" applyProtection="1">
      <alignment horizontal="center"/>
    </xf>
    <xf numFmtId="0" fontId="32" fillId="12" borderId="8" xfId="0" applyFont="1" applyFill="1" applyBorder="1" applyAlignment="1">
      <alignment vertical="top" wrapText="1"/>
    </xf>
    <xf numFmtId="0" fontId="32" fillId="0" borderId="9" xfId="0" applyFont="1" applyFill="1" applyBorder="1" applyAlignment="1" applyProtection="1">
      <alignment vertical="top" wrapText="1"/>
    </xf>
    <xf numFmtId="0" fontId="32" fillId="9" borderId="8" xfId="0" applyFont="1" applyFill="1" applyBorder="1" applyAlignment="1">
      <alignment vertical="top" wrapText="1"/>
    </xf>
    <xf numFmtId="0" fontId="37" fillId="0" borderId="7" xfId="0" applyFont="1" applyFill="1" applyBorder="1" applyAlignment="1" applyProtection="1">
      <alignment vertical="top" wrapText="1"/>
      <protection locked="0"/>
    </xf>
    <xf numFmtId="0" fontId="36" fillId="0" borderId="6" xfId="0" applyFont="1" applyFill="1" applyBorder="1" applyAlignment="1" applyProtection="1">
      <alignment vertical="top" wrapText="1"/>
    </xf>
    <xf numFmtId="0" fontId="33" fillId="0" borderId="8" xfId="0" applyFont="1" applyBorder="1" applyAlignment="1">
      <alignment vertical="top" wrapText="1"/>
    </xf>
    <xf numFmtId="3" fontId="25" fillId="11" borderId="6" xfId="0" applyNumberFormat="1" applyFont="1" applyFill="1" applyBorder="1" applyAlignment="1" applyProtection="1">
      <alignment horizontal="right"/>
      <protection locked="0"/>
    </xf>
    <xf numFmtId="3" fontId="25" fillId="3" borderId="8" xfId="2" applyNumberFormat="1" applyFont="1" applyBorder="1" applyAlignment="1" applyProtection="1">
      <alignment horizontal="right"/>
    </xf>
    <xf numFmtId="0" fontId="25" fillId="12" borderId="8" xfId="0" applyFont="1" applyFill="1" applyBorder="1" applyAlignment="1">
      <alignment vertical="top" wrapText="1"/>
    </xf>
    <xf numFmtId="0" fontId="25" fillId="0" borderId="6" xfId="0" applyFont="1" applyBorder="1" applyAlignment="1" applyProtection="1">
      <alignment horizontal="right"/>
      <protection locked="0"/>
    </xf>
    <xf numFmtId="3" fontId="25" fillId="3" borderId="23" xfId="2" applyNumberFormat="1" applyFont="1" applyBorder="1" applyAlignment="1" applyProtection="1">
      <alignment horizontal="right"/>
    </xf>
    <xf numFmtId="0" fontId="37" fillId="0" borderId="7" xfId="0" applyFont="1" applyBorder="1" applyAlignment="1" applyProtection="1">
      <alignment vertical="top" wrapText="1"/>
      <protection locked="0"/>
    </xf>
    <xf numFmtId="0" fontId="36" fillId="0" borderId="6" xfId="0" applyFont="1" applyBorder="1" applyAlignment="1" applyProtection="1">
      <alignment horizontal="right"/>
      <protection locked="0"/>
    </xf>
    <xf numFmtId="0" fontId="32" fillId="0" borderId="10" xfId="0" applyFont="1" applyFill="1" applyBorder="1" applyAlignment="1" applyProtection="1">
      <alignment vertical="top" wrapText="1"/>
      <protection locked="0"/>
    </xf>
    <xf numFmtId="0" fontId="36" fillId="0" borderId="6" xfId="0" applyFont="1" applyFill="1" applyBorder="1" applyAlignment="1" applyProtection="1">
      <alignment vertical="top" wrapText="1"/>
      <protection locked="0"/>
    </xf>
    <xf numFmtId="0" fontId="33" fillId="0" borderId="25" xfId="0" applyFont="1" applyBorder="1" applyAlignment="1">
      <alignment vertical="top" wrapText="1"/>
    </xf>
    <xf numFmtId="0" fontId="33" fillId="0" borderId="8" xfId="0" applyFont="1" applyFill="1" applyBorder="1" applyAlignment="1">
      <alignment vertical="top" wrapText="1"/>
    </xf>
    <xf numFmtId="0" fontId="25" fillId="0" borderId="20" xfId="0" applyFont="1" applyBorder="1" applyAlignment="1" applyProtection="1">
      <alignment vertical="top" wrapText="1"/>
      <protection locked="0"/>
    </xf>
    <xf numFmtId="3" fontId="25" fillId="0" borderId="8" xfId="2" applyNumberFormat="1" applyFont="1" applyFill="1" applyBorder="1" applyAlignment="1" applyProtection="1">
      <alignment horizontal="right"/>
    </xf>
    <xf numFmtId="3" fontId="25" fillId="13" borderId="26" xfId="2" applyNumberFormat="1" applyFont="1" applyFill="1" applyBorder="1" applyAlignment="1" applyProtection="1">
      <alignment horizontal="right"/>
    </xf>
    <xf numFmtId="3" fontId="25" fillId="3" borderId="26" xfId="2" applyNumberFormat="1" applyFont="1" applyBorder="1" applyAlignment="1" applyProtection="1">
      <alignment horizontal="right"/>
    </xf>
    <xf numFmtId="0" fontId="37" fillId="0" borderId="6" xfId="0" applyFont="1" applyBorder="1" applyAlignment="1" applyProtection="1">
      <alignment vertical="top" wrapText="1"/>
      <protection locked="0"/>
    </xf>
    <xf numFmtId="0" fontId="25" fillId="0" borderId="12" xfId="0" applyFont="1" applyFill="1" applyBorder="1" applyAlignment="1" applyProtection="1">
      <alignment vertical="top" wrapText="1"/>
      <protection locked="0"/>
    </xf>
    <xf numFmtId="3" fontId="25" fillId="0" borderId="0" xfId="2" applyNumberFormat="1" applyFont="1" applyFill="1" applyBorder="1" applyAlignment="1" applyProtection="1">
      <alignment horizontal="right"/>
    </xf>
    <xf numFmtId="0" fontId="33" fillId="0" borderId="0" xfId="0" applyFont="1" applyFill="1" applyBorder="1" applyAlignment="1">
      <alignment vertical="top" wrapText="1"/>
    </xf>
    <xf numFmtId="0" fontId="42" fillId="0" borderId="13" xfId="0" applyFont="1" applyFill="1" applyBorder="1" applyAlignment="1" applyProtection="1">
      <alignment vertical="top" wrapText="1"/>
      <protection locked="0"/>
    </xf>
    <xf numFmtId="3" fontId="25" fillId="14" borderId="6" xfId="0" applyNumberFormat="1" applyFont="1" applyFill="1" applyBorder="1" applyAlignment="1" applyProtection="1">
      <alignment horizontal="right"/>
      <protection locked="0"/>
    </xf>
    <xf numFmtId="0" fontId="25" fillId="0" borderId="7" xfId="0" applyFont="1" applyFill="1" applyBorder="1" applyAlignment="1" applyProtection="1">
      <alignment vertical="top" wrapText="1"/>
      <protection locked="0"/>
    </xf>
    <xf numFmtId="0" fontId="25" fillId="0" borderId="9" xfId="0" applyFont="1" applyBorder="1" applyAlignment="1" applyProtection="1">
      <alignment vertical="top" wrapText="1"/>
      <protection locked="0"/>
    </xf>
    <xf numFmtId="3" fontId="25" fillId="14" borderId="9" xfId="0" applyNumberFormat="1" applyFont="1" applyFill="1" applyBorder="1" applyAlignment="1" applyProtection="1">
      <alignment horizontal="right"/>
      <protection locked="0"/>
    </xf>
    <xf numFmtId="3" fontId="25" fillId="14" borderId="0" xfId="0" applyNumberFormat="1" applyFont="1" applyFill="1" applyBorder="1" applyAlignment="1" applyProtection="1">
      <alignment horizontal="right"/>
      <protection locked="0"/>
    </xf>
    <xf numFmtId="0" fontId="33" fillId="0" borderId="9" xfId="0" applyFont="1" applyBorder="1" applyAlignment="1">
      <alignment vertical="top" wrapText="1"/>
    </xf>
    <xf numFmtId="0" fontId="32" fillId="3" borderId="21" xfId="2" applyNumberFormat="1" applyFont="1" applyBorder="1" applyAlignment="1" applyProtection="1">
      <alignment horizontal="center"/>
    </xf>
    <xf numFmtId="0" fontId="32" fillId="3" borderId="16" xfId="2" applyNumberFormat="1" applyFont="1" applyBorder="1" applyAlignment="1" applyProtection="1">
      <alignment horizontal="center"/>
    </xf>
    <xf numFmtId="0" fontId="32" fillId="12" borderId="27" xfId="0" applyFont="1" applyFill="1" applyBorder="1" applyAlignment="1">
      <alignment vertical="top" wrapText="1"/>
    </xf>
    <xf numFmtId="3" fontId="32" fillId="3" borderId="8" xfId="2" applyNumberFormat="1" applyFont="1" applyBorder="1" applyAlignment="1" applyProtection="1">
      <alignment horizontal="center"/>
    </xf>
    <xf numFmtId="0" fontId="32" fillId="3" borderId="8" xfId="2" applyNumberFormat="1" applyFont="1" applyBorder="1" applyAlignment="1" applyProtection="1">
      <alignment horizontal="center"/>
    </xf>
    <xf numFmtId="3" fontId="44" fillId="8" borderId="8" xfId="0" applyNumberFormat="1" applyFont="1" applyFill="1" applyBorder="1" applyAlignment="1" applyProtection="1">
      <protection locked="0"/>
    </xf>
    <xf numFmtId="9" fontId="45" fillId="12" borderId="8" xfId="19" applyFont="1" applyFill="1" applyBorder="1" applyAlignment="1" applyProtection="1">
      <protection locked="0"/>
    </xf>
    <xf numFmtId="3" fontId="44" fillId="12" borderId="8" xfId="0" applyNumberFormat="1" applyFont="1" applyFill="1" applyBorder="1" applyAlignment="1" applyProtection="1">
      <protection locked="0"/>
    </xf>
    <xf numFmtId="3" fontId="44" fillId="12" borderId="20" xfId="0" applyNumberFormat="1" applyFont="1" applyFill="1" applyBorder="1" applyAlignment="1" applyProtection="1">
      <protection locked="0"/>
    </xf>
    <xf numFmtId="3" fontId="32" fillId="0" borderId="28" xfId="2" applyNumberFormat="1" applyFont="1" applyFill="1" applyBorder="1" applyAlignment="1" applyProtection="1">
      <alignment horizontal="right"/>
      <protection locked="0"/>
    </xf>
    <xf numFmtId="0" fontId="32" fillId="8" borderId="0" xfId="0" applyFont="1" applyFill="1" applyAlignment="1" applyProtection="1">
      <alignment horizontal="center" vertical="top" wrapText="1"/>
      <protection locked="0"/>
    </xf>
    <xf numFmtId="3" fontId="25" fillId="14" borderId="7" xfId="0" applyNumberFormat="1" applyFont="1" applyFill="1" applyBorder="1" applyAlignment="1" applyProtection="1">
      <alignment horizontal="right"/>
      <protection locked="0"/>
    </xf>
    <xf numFmtId="167" fontId="25" fillId="14" borderId="7" xfId="0" applyNumberFormat="1" applyFont="1" applyFill="1" applyBorder="1" applyAlignment="1" applyProtection="1">
      <alignment horizontal="right"/>
      <protection locked="0"/>
    </xf>
    <xf numFmtId="3" fontId="25" fillId="11" borderId="7" xfId="0" applyNumberFormat="1" applyFont="1" applyFill="1" applyBorder="1" applyAlignment="1" applyProtection="1">
      <alignment horizontal="right"/>
      <protection locked="0"/>
    </xf>
    <xf numFmtId="1" fontId="25" fillId="8" borderId="8" xfId="0" applyNumberFormat="1" applyFont="1" applyFill="1" applyBorder="1" applyAlignment="1" applyProtection="1">
      <alignment vertical="top" wrapText="1"/>
      <protection locked="0"/>
    </xf>
    <xf numFmtId="1" fontId="25" fillId="0" borderId="8" xfId="0" applyNumberFormat="1" applyFont="1" applyFill="1" applyBorder="1" applyAlignment="1">
      <alignment vertical="top" wrapText="1"/>
    </xf>
    <xf numFmtId="1" fontId="25" fillId="12" borderId="8" xfId="0" applyNumberFormat="1" applyFont="1" applyFill="1" applyBorder="1" applyAlignment="1">
      <alignment vertical="top" wrapText="1"/>
    </xf>
    <xf numFmtId="169" fontId="25" fillId="12" borderId="8" xfId="0" applyNumberFormat="1" applyFont="1" applyFill="1" applyBorder="1" applyAlignment="1">
      <alignment vertical="top" wrapText="1"/>
    </xf>
    <xf numFmtId="1" fontId="25" fillId="0" borderId="0" xfId="0" applyNumberFormat="1" applyFont="1" applyFill="1" applyBorder="1" applyAlignment="1" applyProtection="1">
      <alignment vertical="top" wrapText="1"/>
      <protection locked="0"/>
    </xf>
    <xf numFmtId="1" fontId="25" fillId="0" borderId="0" xfId="0" applyNumberFormat="1" applyFont="1" applyFill="1" applyBorder="1" applyAlignment="1">
      <alignment vertical="top" wrapText="1"/>
    </xf>
    <xf numFmtId="3" fontId="25" fillId="11" borderId="11" xfId="0" applyNumberFormat="1" applyFont="1" applyFill="1" applyBorder="1" applyAlignment="1" applyProtection="1">
      <alignment horizontal="right"/>
      <protection locked="0"/>
    </xf>
    <xf numFmtId="167" fontId="25" fillId="14" borderId="11" xfId="0" applyNumberFormat="1" applyFont="1" applyFill="1" applyBorder="1" applyAlignment="1" applyProtection="1">
      <alignment horizontal="right"/>
      <protection locked="0"/>
    </xf>
    <xf numFmtId="3" fontId="25" fillId="0" borderId="7" xfId="0" applyNumberFormat="1" applyFont="1" applyFill="1" applyBorder="1" applyAlignment="1" applyProtection="1">
      <alignment horizontal="right"/>
      <protection locked="0"/>
    </xf>
    <xf numFmtId="3" fontId="25" fillId="0" borderId="1" xfId="2" applyNumberFormat="1" applyFont="1" applyFill="1" applyAlignment="1" applyProtection="1">
      <alignment horizontal="right"/>
    </xf>
    <xf numFmtId="3" fontId="25" fillId="3" borderId="1" xfId="2" applyNumberFormat="1" applyFont="1" applyFill="1" applyAlignment="1" applyProtection="1">
      <alignment horizontal="right"/>
    </xf>
    <xf numFmtId="3" fontId="32" fillId="14" borderId="7" xfId="0" applyNumberFormat="1" applyFont="1" applyFill="1" applyBorder="1" applyAlignment="1" applyProtection="1">
      <alignment horizontal="right"/>
      <protection locked="0"/>
    </xf>
    <xf numFmtId="0" fontId="32" fillId="15" borderId="7" xfId="0" applyFont="1" applyFill="1" applyBorder="1" applyAlignment="1" applyProtection="1">
      <alignment horizontal="center"/>
      <protection locked="0"/>
    </xf>
    <xf numFmtId="0" fontId="25" fillId="0" borderId="0" xfId="0" applyFont="1" applyBorder="1" applyAlignment="1" applyProtection="1">
      <alignment horizontal="center"/>
      <protection locked="0"/>
    </xf>
    <xf numFmtId="0" fontId="33" fillId="9" borderId="0" xfId="0" applyFont="1" applyFill="1" applyAlignment="1">
      <alignment vertical="top" wrapText="1"/>
    </xf>
    <xf numFmtId="0" fontId="32" fillId="0" borderId="0" xfId="0" applyFont="1" applyFill="1" applyAlignment="1" applyProtection="1">
      <alignment vertical="top" wrapText="1"/>
      <protection locked="0"/>
    </xf>
    <xf numFmtId="3" fontId="44" fillId="12" borderId="0" xfId="0" applyNumberFormat="1" applyFont="1" applyFill="1" applyBorder="1" applyAlignment="1" applyProtection="1">
      <protection locked="0"/>
    </xf>
    <xf numFmtId="3" fontId="25" fillId="3" borderId="1" xfId="2" applyNumberFormat="1" applyFont="1" applyAlignment="1" applyProtection="1">
      <alignment horizontal="right"/>
      <protection locked="0"/>
    </xf>
    <xf numFmtId="1" fontId="25" fillId="18" borderId="8" xfId="0" applyNumberFormat="1" applyFont="1" applyFill="1" applyBorder="1" applyAlignment="1">
      <alignment vertical="top" wrapText="1"/>
    </xf>
    <xf numFmtId="1" fontId="25" fillId="12" borderId="25" xfId="0" applyNumberFormat="1" applyFont="1" applyFill="1" applyBorder="1" applyAlignment="1">
      <alignment vertical="top" wrapText="1"/>
    </xf>
    <xf numFmtId="167" fontId="25" fillId="14" borderId="14" xfId="0" applyNumberFormat="1" applyFont="1" applyFill="1" applyBorder="1" applyAlignment="1" applyProtection="1">
      <alignment horizontal="right"/>
      <protection locked="0"/>
    </xf>
    <xf numFmtId="3" fontId="25" fillId="11" borderId="8" xfId="0" applyNumberFormat="1" applyFont="1" applyFill="1" applyBorder="1" applyAlignment="1" applyProtection="1">
      <alignment horizontal="right"/>
      <protection locked="0"/>
    </xf>
    <xf numFmtId="167" fontId="25" fillId="14" borderId="8" xfId="0" applyNumberFormat="1" applyFont="1" applyFill="1" applyBorder="1" applyAlignment="1" applyProtection="1">
      <alignment horizontal="right"/>
      <protection locked="0"/>
    </xf>
    <xf numFmtId="3" fontId="25" fillId="14" borderId="8" xfId="0" applyNumberFormat="1" applyFont="1" applyFill="1" applyBorder="1" applyAlignment="1" applyProtection="1">
      <alignment horizontal="right"/>
      <protection locked="0"/>
    </xf>
    <xf numFmtId="3" fontId="25" fillId="3" borderId="8" xfId="2" applyNumberFormat="1" applyFont="1" applyFill="1" applyBorder="1" applyAlignment="1" applyProtection="1">
      <alignment horizontal="right"/>
    </xf>
    <xf numFmtId="3" fontId="32" fillId="14" borderId="8" xfId="0" applyNumberFormat="1" applyFont="1" applyFill="1" applyBorder="1" applyAlignment="1" applyProtection="1">
      <alignment horizontal="right"/>
      <protection locked="0"/>
    </xf>
    <xf numFmtId="0" fontId="35" fillId="0" borderId="7" xfId="0" applyFont="1" applyBorder="1" applyAlignment="1" applyProtection="1">
      <alignment vertical="top" wrapText="1"/>
      <protection locked="0"/>
    </xf>
    <xf numFmtId="9" fontId="25" fillId="11" borderId="14" xfId="0" applyNumberFormat="1" applyFont="1" applyFill="1" applyBorder="1" applyAlignment="1" applyProtection="1">
      <alignment horizontal="right"/>
      <protection locked="0"/>
    </xf>
    <xf numFmtId="9" fontId="25" fillId="11" borderId="13" xfId="0" applyNumberFormat="1" applyFont="1" applyFill="1" applyBorder="1" applyAlignment="1" applyProtection="1">
      <alignment horizontal="right"/>
      <protection locked="0"/>
    </xf>
    <xf numFmtId="0" fontId="25" fillId="0" borderId="0" xfId="0" applyFont="1" applyFill="1" applyBorder="1" applyAlignment="1">
      <alignment vertical="top" wrapText="1"/>
    </xf>
    <xf numFmtId="0" fontId="39" fillId="0" borderId="6" xfId="0" applyFont="1" applyFill="1" applyBorder="1" applyAlignment="1" applyProtection="1">
      <alignment vertical="top" wrapText="1"/>
      <protection locked="0"/>
    </xf>
    <xf numFmtId="0" fontId="25" fillId="0" borderId="10" xfId="0" applyFont="1" applyBorder="1" applyAlignment="1" applyProtection="1">
      <alignment vertical="top" wrapText="1"/>
      <protection locked="0"/>
    </xf>
    <xf numFmtId="0" fontId="32" fillId="0" borderId="7" xfId="0" applyFont="1" applyFill="1" applyBorder="1" applyAlignment="1" applyProtection="1">
      <alignment vertical="top" wrapText="1"/>
      <protection locked="0"/>
    </xf>
    <xf numFmtId="0" fontId="32" fillId="19" borderId="1" xfId="2" applyNumberFormat="1" applyFont="1" applyFill="1" applyAlignment="1" applyProtection="1">
      <alignment horizontal="center"/>
    </xf>
    <xf numFmtId="0" fontId="32" fillId="3" borderId="1" xfId="2" applyNumberFormat="1" applyFont="1" applyAlignment="1" applyProtection="1">
      <alignment horizontal="center"/>
    </xf>
    <xf numFmtId="3" fontId="25" fillId="4" borderId="7" xfId="0" applyNumberFormat="1" applyFont="1" applyFill="1" applyBorder="1" applyAlignment="1" applyProtection="1">
      <alignment horizontal="right"/>
      <protection locked="0"/>
    </xf>
    <xf numFmtId="3" fontId="25" fillId="4" borderId="6" xfId="0" applyNumberFormat="1" applyFont="1" applyFill="1" applyBorder="1" applyAlignment="1" applyProtection="1">
      <alignment horizontal="right"/>
      <protection locked="0"/>
    </xf>
    <xf numFmtId="3" fontId="25" fillId="0" borderId="0" xfId="0" applyNumberFormat="1" applyFont="1" applyAlignment="1" applyProtection="1">
      <alignment vertical="top" wrapText="1"/>
      <protection locked="0"/>
    </xf>
    <xf numFmtId="4" fontId="25" fillId="3" borderId="1" xfId="2" applyNumberFormat="1" applyFont="1" applyAlignment="1" applyProtection="1">
      <alignment horizontal="right"/>
    </xf>
    <xf numFmtId="4" fontId="25" fillId="3" borderId="23" xfId="2" applyNumberFormat="1" applyFont="1" applyBorder="1" applyAlignment="1" applyProtection="1">
      <alignment horizontal="right"/>
    </xf>
    <xf numFmtId="4" fontId="25" fillId="0" borderId="7" xfId="0" applyNumberFormat="1" applyFont="1" applyBorder="1" applyAlignment="1" applyProtection="1">
      <alignment horizontal="right"/>
      <protection locked="0"/>
    </xf>
    <xf numFmtId="4" fontId="25" fillId="0" borderId="6" xfId="0" applyNumberFormat="1" applyFont="1" applyBorder="1" applyAlignment="1" applyProtection="1">
      <alignment horizontal="right"/>
      <protection locked="0"/>
    </xf>
    <xf numFmtId="0" fontId="32" fillId="0" borderId="29" xfId="0" applyFont="1" applyFill="1" applyBorder="1" applyAlignment="1" applyProtection="1">
      <alignment vertical="top" wrapText="1"/>
      <protection locked="0"/>
    </xf>
    <xf numFmtId="3" fontId="25" fillId="0" borderId="0" xfId="17" applyNumberFormat="1" applyFont="1" applyAlignment="1" applyProtection="1">
      <alignment horizontal="right"/>
      <protection locked="0"/>
    </xf>
    <xf numFmtId="166" fontId="32" fillId="8" borderId="30" xfId="17" applyNumberFormat="1" applyFont="1" applyFill="1" applyBorder="1" applyAlignment="1" applyProtection="1">
      <protection locked="0"/>
    </xf>
    <xf numFmtId="0" fontId="25" fillId="7" borderId="0" xfId="0" applyFont="1" applyFill="1" applyBorder="1" applyAlignment="1" applyProtection="1">
      <alignment vertical="top" wrapText="1"/>
    </xf>
    <xf numFmtId="0" fontId="25" fillId="7" borderId="19" xfId="0" applyFont="1" applyFill="1" applyBorder="1" applyAlignment="1" applyProtection="1">
      <protection locked="0"/>
    </xf>
    <xf numFmtId="0" fontId="30" fillId="0" borderId="0" xfId="17" applyFont="1">
      <alignment vertical="top"/>
    </xf>
    <xf numFmtId="0" fontId="25" fillId="0" borderId="31" xfId="0" applyFont="1" applyFill="1" applyBorder="1" applyAlignment="1" applyProtection="1">
      <alignment vertical="top" wrapText="1"/>
      <protection locked="0"/>
    </xf>
    <xf numFmtId="10" fontId="30" fillId="0" borderId="8" xfId="0" applyNumberFormat="1" applyFont="1" applyBorder="1" applyAlignment="1" applyProtection="1">
      <alignment horizontal="center" vertical="top" wrapText="1"/>
    </xf>
    <xf numFmtId="0" fontId="27" fillId="3" borderId="0" xfId="0" applyFont="1" applyFill="1" applyAlignment="1">
      <alignment horizontal="center" vertical="top" wrapText="1"/>
    </xf>
    <xf numFmtId="165" fontId="25" fillId="7" borderId="0" xfId="0" applyNumberFormat="1" applyFont="1" applyFill="1" applyAlignment="1" applyProtection="1">
      <alignment vertical="top" wrapText="1"/>
      <protection locked="0"/>
    </xf>
    <xf numFmtId="0" fontId="25" fillId="7" borderId="11" xfId="0" applyFont="1" applyFill="1" applyBorder="1" applyAlignment="1" applyProtection="1">
      <protection locked="0"/>
    </xf>
    <xf numFmtId="0" fontId="25" fillId="0" borderId="32" xfId="0" applyFont="1" applyFill="1" applyBorder="1" applyAlignment="1" applyProtection="1">
      <alignment vertical="top" wrapText="1"/>
      <protection locked="0"/>
    </xf>
    <xf numFmtId="3" fontId="32" fillId="11" borderId="31" xfId="2" applyNumberFormat="1" applyFont="1" applyFill="1" applyBorder="1" applyAlignment="1" applyProtection="1">
      <alignment horizontal="right"/>
      <protection locked="0"/>
    </xf>
    <xf numFmtId="0" fontId="35" fillId="0" borderId="0" xfId="0" applyFont="1" applyFill="1" applyBorder="1" applyAlignment="1" applyProtection="1">
      <protection locked="0"/>
    </xf>
    <xf numFmtId="0" fontId="25" fillId="7" borderId="0" xfId="0" applyFont="1" applyFill="1" applyBorder="1" applyAlignment="1" applyProtection="1">
      <protection locked="0"/>
    </xf>
    <xf numFmtId="166" fontId="33" fillId="8" borderId="7" xfId="0" applyNumberFormat="1" applyFont="1" applyFill="1" applyBorder="1" applyAlignment="1" applyProtection="1">
      <alignment horizontal="right" vertical="top" wrapText="1"/>
      <protection locked="0"/>
    </xf>
    <xf numFmtId="0" fontId="48" fillId="0" borderId="0" xfId="0" applyFont="1" applyAlignment="1" applyProtection="1">
      <alignment vertical="top" wrapText="1"/>
    </xf>
    <xf numFmtId="0" fontId="44" fillId="0" borderId="0" xfId="0" applyFont="1" applyAlignment="1" applyProtection="1">
      <alignment vertical="top" wrapText="1"/>
      <protection locked="0"/>
    </xf>
    <xf numFmtId="0" fontId="44" fillId="0" borderId="7" xfId="0" applyFont="1" applyBorder="1" applyAlignment="1" applyProtection="1">
      <alignment vertical="top" wrapText="1"/>
    </xf>
    <xf numFmtId="0" fontId="48" fillId="0" borderId="7" xfId="0" applyFont="1" applyFill="1" applyBorder="1" applyAlignment="1" applyProtection="1">
      <alignment horizontal="center"/>
    </xf>
    <xf numFmtId="0" fontId="48" fillId="0" borderId="7" xfId="0" applyFont="1" applyBorder="1" applyAlignment="1" applyProtection="1">
      <alignment vertical="top" wrapText="1"/>
    </xf>
    <xf numFmtId="0" fontId="44" fillId="0" borderId="6" xfId="0" applyFont="1" applyBorder="1" applyAlignment="1" applyProtection="1">
      <alignment vertical="top" wrapText="1"/>
    </xf>
    <xf numFmtId="0" fontId="44" fillId="8" borderId="8" xfId="17" applyNumberFormat="1" applyFont="1" applyFill="1" applyBorder="1" applyAlignment="1" applyProtection="1">
      <protection locked="0"/>
    </xf>
    <xf numFmtId="0" fontId="44" fillId="8" borderId="8" xfId="0" applyNumberFormat="1" applyFont="1" applyFill="1" applyBorder="1" applyAlignment="1" applyProtection="1">
      <protection locked="0"/>
    </xf>
    <xf numFmtId="0" fontId="48" fillId="0" borderId="6" xfId="0" applyFont="1" applyBorder="1" applyAlignment="1" applyProtection="1">
      <alignment vertical="top" wrapText="1"/>
    </xf>
    <xf numFmtId="0" fontId="33" fillId="0" borderId="8" xfId="0" applyFont="1" applyFill="1" applyBorder="1" applyAlignment="1" applyProtection="1">
      <alignment vertical="top" wrapText="1"/>
      <protection locked="0"/>
    </xf>
    <xf numFmtId="0" fontId="44" fillId="0" borderId="0" xfId="0" applyFont="1" applyBorder="1" applyAlignment="1" applyProtection="1">
      <alignment vertical="top" wrapText="1"/>
    </xf>
    <xf numFmtId="0" fontId="44" fillId="0" borderId="8" xfId="17" applyNumberFormat="1" applyFont="1" applyFill="1" applyBorder="1" applyAlignment="1" applyProtection="1">
      <protection locked="0"/>
    </xf>
    <xf numFmtId="0" fontId="44" fillId="0" borderId="8" xfId="0" applyNumberFormat="1" applyFont="1" applyFill="1" applyBorder="1" applyAlignment="1" applyProtection="1">
      <protection locked="0"/>
    </xf>
    <xf numFmtId="0" fontId="32" fillId="0" borderId="33" xfId="0" applyFont="1" applyFill="1" applyBorder="1" applyAlignment="1" applyProtection="1">
      <alignment vertical="top" wrapText="1"/>
      <protection locked="0"/>
    </xf>
    <xf numFmtId="166" fontId="25" fillId="12" borderId="14" xfId="0" applyNumberFormat="1" applyFont="1" applyFill="1" applyBorder="1" applyAlignment="1" applyProtection="1">
      <alignment horizontal="right" vertical="top" wrapText="1"/>
    </xf>
    <xf numFmtId="166" fontId="25" fillId="3" borderId="22" xfId="2" applyNumberFormat="1" applyFont="1" applyBorder="1" applyAlignment="1" applyProtection="1">
      <alignment horizontal="right"/>
    </xf>
    <xf numFmtId="166" fontId="25" fillId="3" borderId="1" xfId="2" applyNumberFormat="1" applyFont="1" applyAlignment="1" applyProtection="1">
      <alignment horizontal="right"/>
    </xf>
    <xf numFmtId="166" fontId="25" fillId="3" borderId="23" xfId="2" applyNumberFormat="1" applyFont="1" applyBorder="1" applyAlignment="1" applyProtection="1">
      <alignment horizontal="right"/>
    </xf>
    <xf numFmtId="0" fontId="32" fillId="0" borderId="8" xfId="0" applyFont="1" applyFill="1" applyBorder="1" applyAlignment="1" applyProtection="1">
      <alignment vertical="top" wrapText="1"/>
      <protection locked="0"/>
    </xf>
    <xf numFmtId="166" fontId="33" fillId="0" borderId="0" xfId="0" applyNumberFormat="1" applyFont="1" applyBorder="1" applyAlignment="1" applyProtection="1">
      <alignment horizontal="right" vertical="top" wrapText="1"/>
      <protection locked="0"/>
    </xf>
    <xf numFmtId="0" fontId="25" fillId="0" borderId="0" xfId="0" applyFont="1" applyBorder="1" applyAlignment="1" applyProtection="1">
      <alignment horizontal="right"/>
      <protection locked="0"/>
    </xf>
    <xf numFmtId="0" fontId="43" fillId="0" borderId="8" xfId="0" applyFont="1" applyFill="1" applyBorder="1" applyAlignment="1" applyProtection="1">
      <alignment vertical="top" wrapText="1"/>
      <protection locked="0"/>
    </xf>
    <xf numFmtId="0" fontId="36" fillId="0" borderId="8" xfId="0" applyFont="1" applyBorder="1" applyAlignment="1" applyProtection="1">
      <alignment vertical="top" wrapText="1"/>
      <protection locked="0"/>
    </xf>
    <xf numFmtId="1" fontId="32" fillId="12" borderId="8" xfId="0" applyNumberFormat="1" applyFont="1" applyFill="1" applyBorder="1" applyAlignment="1" applyProtection="1">
      <alignment horizontal="right" indent="1"/>
      <protection locked="0"/>
    </xf>
    <xf numFmtId="1" fontId="32" fillId="12" borderId="8" xfId="0" applyNumberFormat="1" applyFont="1" applyFill="1" applyBorder="1" applyAlignment="1" applyProtection="1">
      <alignment horizontal="right"/>
      <protection locked="0"/>
    </xf>
    <xf numFmtId="0" fontId="37" fillId="0" borderId="14" xfId="0" applyFont="1" applyFill="1" applyBorder="1" applyAlignment="1" applyProtection="1">
      <alignment vertical="top" wrapText="1"/>
      <protection locked="0"/>
    </xf>
    <xf numFmtId="165" fontId="32" fillId="12" borderId="14" xfId="0" applyNumberFormat="1" applyFont="1" applyFill="1" applyBorder="1" applyAlignment="1" applyProtection="1">
      <alignment horizontal="right"/>
    </xf>
    <xf numFmtId="0" fontId="25" fillId="9" borderId="7" xfId="0" applyFont="1" applyFill="1" applyBorder="1" applyAlignment="1" applyProtection="1">
      <alignment vertical="top" wrapText="1"/>
    </xf>
    <xf numFmtId="165" fontId="25" fillId="12" borderId="1" xfId="2" applyNumberFormat="1" applyFont="1" applyFill="1" applyAlignment="1" applyProtection="1">
      <alignment horizontal="right"/>
    </xf>
    <xf numFmtId="165" fontId="25" fillId="3" borderId="1" xfId="2" applyNumberFormat="1" applyFont="1" applyFill="1" applyAlignment="1" applyProtection="1">
      <alignment horizontal="right"/>
    </xf>
    <xf numFmtId="0" fontId="25" fillId="16" borderId="0" xfId="0" applyFont="1" applyFill="1" applyAlignment="1" applyProtection="1">
      <alignment vertical="top" wrapText="1"/>
      <protection locked="0"/>
    </xf>
    <xf numFmtId="0" fontId="25" fillId="9" borderId="7" xfId="0" applyFont="1" applyFill="1" applyBorder="1" applyAlignment="1" applyProtection="1">
      <alignment horizontal="left" wrapText="1" indent="1"/>
    </xf>
    <xf numFmtId="0" fontId="36" fillId="9" borderId="34" xfId="0" applyFont="1" applyFill="1" applyBorder="1" applyAlignment="1" applyProtection="1">
      <alignment vertical="top" wrapText="1"/>
    </xf>
    <xf numFmtId="9" fontId="49" fillId="13" borderId="1" xfId="19" applyFont="1" applyFill="1" applyBorder="1" applyAlignment="1" applyProtection="1">
      <alignment horizontal="right"/>
    </xf>
    <xf numFmtId="0" fontId="36" fillId="9" borderId="0" xfId="0" applyFont="1" applyFill="1" applyBorder="1" applyAlignment="1" applyProtection="1">
      <alignment vertical="top" wrapText="1"/>
      <protection locked="0"/>
    </xf>
    <xf numFmtId="2" fontId="25" fillId="0" borderId="0" xfId="0" applyNumberFormat="1" applyFont="1" applyBorder="1" applyAlignment="1" applyProtection="1">
      <alignment horizontal="right"/>
      <protection locked="0"/>
    </xf>
    <xf numFmtId="0" fontId="37" fillId="9" borderId="7" xfId="0" applyFont="1" applyFill="1" applyBorder="1" applyAlignment="1" applyProtection="1">
      <alignment vertical="top" wrapText="1"/>
      <protection locked="0"/>
    </xf>
    <xf numFmtId="165" fontId="32" fillId="3" borderId="7" xfId="0" applyNumberFormat="1" applyFont="1" applyFill="1" applyBorder="1" applyAlignment="1" applyProtection="1">
      <alignment horizontal="right"/>
    </xf>
    <xf numFmtId="165" fontId="32" fillId="3" borderId="1" xfId="2" applyNumberFormat="1" applyFont="1" applyFill="1" applyAlignment="1" applyProtection="1">
      <alignment horizontal="right"/>
    </xf>
    <xf numFmtId="0" fontId="32" fillId="16" borderId="0" xfId="0" applyFont="1" applyFill="1" applyAlignment="1" applyProtection="1">
      <alignment vertical="top" wrapText="1"/>
      <protection locked="0"/>
    </xf>
    <xf numFmtId="165" fontId="25" fillId="3" borderId="1" xfId="2" applyNumberFormat="1" applyFont="1" applyAlignment="1" applyProtection="1">
      <alignment horizontal="right"/>
    </xf>
    <xf numFmtId="0" fontId="36" fillId="9" borderId="7" xfId="0" applyFont="1" applyFill="1" applyBorder="1" applyAlignment="1" applyProtection="1">
      <alignment vertical="top" wrapText="1"/>
    </xf>
    <xf numFmtId="0" fontId="36" fillId="0" borderId="7" xfId="0" applyFont="1" applyBorder="1" applyAlignment="1" applyProtection="1">
      <alignment vertical="top" wrapText="1"/>
    </xf>
    <xf numFmtId="2" fontId="25" fillId="3" borderId="1" xfId="2" applyNumberFormat="1" applyFont="1" applyAlignment="1" applyProtection="1">
      <alignment horizontal="right"/>
    </xf>
    <xf numFmtId="2" fontId="25" fillId="3" borderId="23" xfId="2" applyNumberFormat="1" applyFont="1" applyBorder="1" applyAlignment="1" applyProtection="1">
      <alignment horizontal="right"/>
    </xf>
    <xf numFmtId="0" fontId="43" fillId="9" borderId="8" xfId="0" applyFont="1" applyFill="1" applyBorder="1" applyAlignment="1" applyProtection="1">
      <alignment vertical="top" wrapText="1"/>
      <protection locked="0"/>
    </xf>
    <xf numFmtId="2" fontId="25" fillId="10" borderId="1" xfId="2" applyNumberFormat="1" applyFont="1" applyFill="1" applyAlignment="1" applyProtection="1">
      <alignment horizontal="right"/>
    </xf>
    <xf numFmtId="2" fontId="25" fillId="10" borderId="35" xfId="2" applyNumberFormat="1" applyFont="1" applyFill="1" applyBorder="1" applyAlignment="1" applyProtection="1">
      <alignment horizontal="right"/>
    </xf>
    <xf numFmtId="0" fontId="36" fillId="9" borderId="8" xfId="0" applyFont="1" applyFill="1" applyBorder="1" applyAlignment="1" applyProtection="1">
      <alignment vertical="top" wrapText="1"/>
      <protection locked="0"/>
    </xf>
    <xf numFmtId="165" fontId="25" fillId="10" borderId="1" xfId="2" applyNumberFormat="1" applyFont="1" applyFill="1" applyAlignment="1" applyProtection="1">
      <alignment horizontal="right"/>
    </xf>
    <xf numFmtId="165" fontId="25" fillId="10" borderId="35" xfId="2" applyNumberFormat="1" applyFont="1" applyFill="1" applyBorder="1" applyAlignment="1" applyProtection="1">
      <alignment horizontal="right"/>
    </xf>
    <xf numFmtId="1" fontId="32" fillId="0" borderId="26" xfId="2" applyNumberFormat="1" applyFont="1" applyFill="1" applyBorder="1" applyAlignment="1" applyProtection="1">
      <alignment horizontal="center"/>
    </xf>
    <xf numFmtId="0" fontId="44" fillId="0" borderId="0" xfId="0" applyFont="1" applyFill="1" applyAlignment="1" applyProtection="1">
      <alignment vertical="top" wrapText="1"/>
      <protection locked="0"/>
    </xf>
    <xf numFmtId="169" fontId="25" fillId="12" borderId="7" xfId="0" applyNumberFormat="1" applyFont="1" applyFill="1" applyBorder="1" applyAlignment="1" applyProtection="1">
      <alignment horizontal="right"/>
    </xf>
    <xf numFmtId="0" fontId="25" fillId="0" borderId="7" xfId="0" applyFont="1" applyFill="1" applyBorder="1" applyAlignment="1" applyProtection="1">
      <alignment wrapText="1"/>
    </xf>
    <xf numFmtId="169" fontId="25" fillId="3" borderId="7" xfId="0" applyNumberFormat="1" applyFont="1" applyFill="1" applyBorder="1" applyAlignment="1" applyProtection="1">
      <alignment horizontal="right"/>
    </xf>
    <xf numFmtId="0" fontId="25" fillId="0" borderId="16" xfId="0" applyFont="1" applyFill="1" applyBorder="1" applyAlignment="1" applyProtection="1">
      <alignment wrapText="1"/>
    </xf>
    <xf numFmtId="10" fontId="25" fillId="12" borderId="1" xfId="0" applyNumberFormat="1" applyFont="1" applyFill="1" applyBorder="1" applyAlignment="1" applyProtection="1">
      <alignment horizontal="right" vertical="top" wrapText="1"/>
    </xf>
    <xf numFmtId="2" fontId="25" fillId="12" borderId="1" xfId="2" applyNumberFormat="1" applyFont="1" applyFill="1" applyAlignment="1" applyProtection="1">
      <alignment horizontal="right"/>
    </xf>
    <xf numFmtId="9" fontId="25" fillId="12" borderId="1" xfId="19" applyFont="1" applyFill="1" applyBorder="1" applyAlignment="1" applyProtection="1">
      <alignment horizontal="right" vertical="top" wrapText="1"/>
    </xf>
    <xf numFmtId="0" fontId="25" fillId="0" borderId="8" xfId="0" applyFont="1" applyFill="1" applyBorder="1" applyAlignment="1" applyProtection="1">
      <alignment wrapText="1"/>
    </xf>
    <xf numFmtId="165" fontId="25" fillId="3" borderId="26" xfId="2" applyNumberFormat="1" applyFont="1" applyBorder="1" applyAlignment="1" applyProtection="1">
      <alignment horizontal="right"/>
    </xf>
    <xf numFmtId="0" fontId="25" fillId="0" borderId="0" xfId="0" applyFont="1" applyFill="1" applyBorder="1" applyAlignment="1" applyProtection="1">
      <alignment wrapText="1"/>
    </xf>
    <xf numFmtId="165" fontId="25" fillId="0" borderId="0" xfId="2" applyNumberFormat="1" applyFont="1" applyFill="1" applyBorder="1" applyAlignment="1" applyProtection="1">
      <alignment horizontal="right"/>
    </xf>
    <xf numFmtId="165" fontId="25" fillId="0" borderId="1" xfId="2" applyNumberFormat="1" applyFont="1" applyFill="1" applyAlignment="1" applyProtection="1">
      <alignment horizontal="right"/>
    </xf>
    <xf numFmtId="9" fontId="25" fillId="0" borderId="8" xfId="0" applyNumberFormat="1" applyFont="1" applyBorder="1" applyAlignment="1">
      <alignment vertical="top" wrapText="1"/>
    </xf>
    <xf numFmtId="0" fontId="50" fillId="0" borderId="0" xfId="17" applyFont="1">
      <alignment vertical="top"/>
    </xf>
    <xf numFmtId="0" fontId="35" fillId="9" borderId="6" xfId="0" applyFont="1" applyFill="1" applyBorder="1" applyAlignment="1" applyProtection="1">
      <alignment horizontal="left"/>
      <protection locked="0"/>
    </xf>
    <xf numFmtId="0" fontId="25" fillId="0" borderId="36" xfId="0" applyFont="1" applyBorder="1" applyAlignment="1" applyProtection="1">
      <protection locked="0"/>
    </xf>
    <xf numFmtId="0" fontId="25" fillId="9" borderId="6" xfId="0" applyNumberFormat="1" applyFont="1" applyFill="1" applyBorder="1" applyAlignment="1" applyProtection="1">
      <protection locked="0"/>
    </xf>
    <xf numFmtId="0" fontId="32" fillId="0" borderId="8" xfId="2" applyNumberFormat="1" applyFont="1" applyFill="1" applyBorder="1" applyAlignment="1" applyProtection="1">
      <alignment horizontal="center"/>
    </xf>
    <xf numFmtId="0" fontId="25" fillId="0" borderId="8" xfId="0" applyFont="1" applyFill="1" applyBorder="1" applyAlignment="1" applyProtection="1">
      <alignment vertical="top" wrapText="1"/>
      <protection locked="0"/>
    </xf>
    <xf numFmtId="10" fontId="25" fillId="0" borderId="8" xfId="17" applyNumberFormat="1" applyFont="1" applyFill="1" applyBorder="1" applyAlignment="1" applyProtection="1">
      <protection locked="0"/>
    </xf>
    <xf numFmtId="2" fontId="25" fillId="0" borderId="8" xfId="17" applyNumberFormat="1" applyFont="1" applyFill="1" applyBorder="1" applyAlignment="1" applyProtection="1">
      <protection locked="0"/>
    </xf>
    <xf numFmtId="2" fontId="25" fillId="0" borderId="8" xfId="2" applyNumberFormat="1" applyFont="1" applyFill="1" applyBorder="1" applyAlignment="1" applyProtection="1"/>
    <xf numFmtId="0" fontId="25" fillId="9" borderId="6" xfId="0" applyNumberFormat="1" applyFont="1" applyFill="1" applyBorder="1" applyAlignment="1" applyProtection="1">
      <alignment wrapText="1"/>
      <protection locked="0"/>
    </xf>
    <xf numFmtId="166" fontId="25" fillId="0" borderId="8" xfId="17" applyNumberFormat="1" applyFont="1" applyFill="1" applyBorder="1" applyAlignment="1" applyProtection="1"/>
    <xf numFmtId="10" fontId="25" fillId="0" borderId="8" xfId="17" applyNumberFormat="1" applyFont="1" applyFill="1" applyBorder="1" applyAlignment="1" applyProtection="1"/>
    <xf numFmtId="0" fontId="25" fillId="9" borderId="16" xfId="0" applyFont="1" applyFill="1" applyBorder="1" applyAlignment="1" applyProtection="1">
      <protection locked="0"/>
    </xf>
    <xf numFmtId="0" fontId="25" fillId="9" borderId="20" xfId="0" applyFont="1" applyFill="1" applyBorder="1" applyAlignment="1">
      <alignment vertical="top" wrapText="1"/>
    </xf>
    <xf numFmtId="0" fontId="32" fillId="9" borderId="20" xfId="0" applyFont="1" applyFill="1" applyBorder="1" applyAlignment="1">
      <alignment wrapText="1"/>
    </xf>
    <xf numFmtId="0" fontId="25" fillId="9" borderId="25" xfId="0" applyFont="1" applyFill="1" applyBorder="1" applyAlignment="1"/>
    <xf numFmtId="0" fontId="25" fillId="9" borderId="20" xfId="0" applyFont="1" applyFill="1" applyBorder="1" applyAlignment="1"/>
    <xf numFmtId="10" fontId="25" fillId="8" borderId="8" xfId="17" applyNumberFormat="1" applyFont="1" applyFill="1" applyBorder="1" applyAlignment="1"/>
    <xf numFmtId="10" fontId="25" fillId="0" borderId="0" xfId="0" applyNumberFormat="1" applyFont="1" applyAlignment="1">
      <alignment vertical="top" wrapText="1"/>
    </xf>
    <xf numFmtId="0" fontId="33" fillId="0" borderId="0" xfId="0" applyFont="1" applyBorder="1" applyAlignment="1">
      <alignment vertical="top" wrapText="1"/>
    </xf>
    <xf numFmtId="3" fontId="35" fillId="0" borderId="0" xfId="6" applyNumberFormat="1" applyFont="1" applyAlignment="1" applyProtection="1">
      <alignment vertical="top" wrapText="1"/>
    </xf>
    <xf numFmtId="3" fontId="51" fillId="0" borderId="0" xfId="5" applyNumberFormat="1" applyFont="1" applyAlignment="1" applyProtection="1">
      <alignment vertical="top"/>
    </xf>
    <xf numFmtId="0" fontId="25" fillId="0" borderId="0" xfId="0" applyFont="1" applyBorder="1" applyAlignment="1"/>
    <xf numFmtId="0" fontId="25" fillId="9" borderId="0" xfId="0" applyFont="1" applyFill="1" applyBorder="1" applyAlignment="1"/>
    <xf numFmtId="0" fontId="25" fillId="0" borderId="0" xfId="0" applyFont="1" applyAlignment="1">
      <alignment horizontal="left"/>
    </xf>
    <xf numFmtId="3" fontId="36" fillId="0" borderId="0" xfId="0" applyNumberFormat="1" applyFont="1" applyBorder="1" applyAlignment="1">
      <alignment vertical="top" wrapText="1"/>
    </xf>
    <xf numFmtId="0" fontId="39" fillId="3" borderId="6" xfId="0" applyFont="1" applyFill="1" applyBorder="1" applyAlignment="1">
      <alignment vertical="top" wrapText="1"/>
    </xf>
    <xf numFmtId="0" fontId="32" fillId="3" borderId="10" xfId="0" applyFont="1" applyFill="1" applyBorder="1" applyAlignment="1">
      <alignment vertical="top" wrapText="1"/>
    </xf>
    <xf numFmtId="0" fontId="25" fillId="3" borderId="10" xfId="0" applyFont="1" applyFill="1" applyBorder="1" applyAlignment="1">
      <alignment vertical="top" wrapText="1"/>
    </xf>
    <xf numFmtId="0" fontId="25" fillId="9" borderId="9" xfId="0" applyFont="1" applyFill="1" applyBorder="1" applyAlignment="1" applyProtection="1">
      <alignment vertical="top" wrapText="1"/>
      <protection locked="0"/>
    </xf>
    <xf numFmtId="0" fontId="32" fillId="0" borderId="0" xfId="0" applyFont="1" applyBorder="1" applyAlignment="1" applyProtection="1">
      <alignment vertical="top" wrapText="1"/>
      <protection locked="0"/>
    </xf>
    <xf numFmtId="0" fontId="32" fillId="0" borderId="0" xfId="0" applyFont="1" applyFill="1" applyBorder="1" applyAlignment="1" applyProtection="1">
      <alignment horizontal="center"/>
      <protection locked="0"/>
    </xf>
    <xf numFmtId="0" fontId="32" fillId="0" borderId="0" xfId="0" applyFont="1" applyBorder="1" applyAlignment="1" applyProtection="1">
      <alignment horizontal="center"/>
      <protection locked="0"/>
    </xf>
    <xf numFmtId="0" fontId="32" fillId="9" borderId="0" xfId="0" applyFont="1" applyFill="1" applyBorder="1" applyAlignment="1" applyProtection="1">
      <alignment horizontal="center"/>
      <protection locked="0"/>
    </xf>
    <xf numFmtId="0" fontId="40" fillId="0" borderId="0" xfId="0" applyFont="1" applyBorder="1" applyAlignment="1" applyProtection="1">
      <alignment wrapText="1"/>
      <protection locked="0"/>
    </xf>
    <xf numFmtId="0" fontId="32" fillId="0" borderId="0" xfId="0" applyFont="1" applyFill="1" applyBorder="1" applyAlignment="1" applyProtection="1">
      <alignment horizontal="center" wrapText="1"/>
      <protection locked="0"/>
    </xf>
    <xf numFmtId="0" fontId="32" fillId="0" borderId="0" xfId="0" applyFont="1" applyBorder="1" applyAlignment="1" applyProtection="1">
      <alignment horizontal="center" wrapText="1"/>
      <protection locked="0"/>
    </xf>
    <xf numFmtId="0" fontId="32" fillId="9" borderId="0" xfId="0" applyFont="1" applyFill="1" applyBorder="1" applyAlignment="1" applyProtection="1">
      <alignment horizontal="center" wrapText="1"/>
      <protection locked="0"/>
    </xf>
    <xf numFmtId="3" fontId="25" fillId="3" borderId="14" xfId="0" applyNumberFormat="1" applyFont="1" applyFill="1" applyBorder="1" applyAlignment="1" applyProtection="1">
      <alignment horizontal="right"/>
    </xf>
    <xf numFmtId="3" fontId="25" fillId="0" borderId="14" xfId="0" applyNumberFormat="1" applyFont="1" applyFill="1" applyBorder="1" applyAlignment="1" applyProtection="1">
      <alignment horizontal="right"/>
    </xf>
    <xf numFmtId="3" fontId="25" fillId="0" borderId="0" xfId="0" applyNumberFormat="1" applyFont="1" applyBorder="1" applyAlignment="1" applyProtection="1">
      <alignment horizontal="right" wrapText="1"/>
    </xf>
    <xf numFmtId="3" fontId="25" fillId="9" borderId="0" xfId="0" applyNumberFormat="1" applyFont="1" applyFill="1" applyBorder="1" applyAlignment="1" applyProtection="1">
      <alignment horizontal="right" wrapText="1"/>
    </xf>
    <xf numFmtId="0" fontId="32" fillId="0" borderId="11" xfId="0" applyFont="1" applyBorder="1" applyAlignment="1" applyProtection="1">
      <alignment vertical="top" wrapText="1"/>
      <protection locked="0"/>
    </xf>
    <xf numFmtId="3" fontId="32" fillId="0" borderId="14" xfId="0" applyNumberFormat="1" applyFont="1" applyBorder="1" applyAlignment="1" applyProtection="1">
      <alignment horizontal="right"/>
    </xf>
    <xf numFmtId="3" fontId="32" fillId="9" borderId="14" xfId="0" applyNumberFormat="1" applyFont="1" applyFill="1" applyBorder="1" applyAlignment="1" applyProtection="1">
      <alignment horizontal="right"/>
    </xf>
    <xf numFmtId="0" fontId="40" fillId="0" borderId="3" xfId="0" applyFont="1" applyBorder="1" applyAlignment="1" applyProtection="1">
      <alignment wrapText="1"/>
      <protection locked="0"/>
    </xf>
    <xf numFmtId="3" fontId="25" fillId="0" borderId="3" xfId="0" applyNumberFormat="1" applyFont="1" applyBorder="1" applyAlignment="1" applyProtection="1">
      <alignment horizontal="right" wrapText="1"/>
    </xf>
    <xf numFmtId="0" fontId="25" fillId="9" borderId="6" xfId="0" applyFont="1" applyFill="1" applyBorder="1" applyAlignment="1">
      <alignment vertical="top" wrapText="1"/>
    </xf>
    <xf numFmtId="3" fontId="25" fillId="10" borderId="1" xfId="2" applyNumberFormat="1" applyFont="1" applyFill="1" applyAlignment="1" applyProtection="1">
      <alignment horizontal="center"/>
    </xf>
    <xf numFmtId="0" fontId="25" fillId="9" borderId="0" xfId="0" applyFont="1" applyFill="1" applyAlignment="1">
      <alignment vertical="top" wrapText="1"/>
    </xf>
    <xf numFmtId="0" fontId="32" fillId="0" borderId="6" xfId="0" applyFont="1" applyFill="1" applyBorder="1" applyAlignment="1">
      <alignment vertical="top" wrapText="1"/>
    </xf>
    <xf numFmtId="0" fontId="32" fillId="0" borderId="9" xfId="0" applyFont="1" applyFill="1" applyBorder="1" applyAlignment="1">
      <alignment vertical="top" wrapText="1"/>
    </xf>
    <xf numFmtId="0" fontId="25" fillId="0" borderId="9" xfId="0" applyFont="1" applyFill="1" applyBorder="1" applyAlignment="1">
      <alignment vertical="top" wrapText="1"/>
    </xf>
    <xf numFmtId="0" fontId="25" fillId="9" borderId="9" xfId="0" applyFont="1" applyFill="1" applyBorder="1" applyAlignment="1">
      <alignment vertical="top" wrapText="1"/>
    </xf>
    <xf numFmtId="0" fontId="32" fillId="9" borderId="6" xfId="0" applyFont="1" applyFill="1" applyBorder="1" applyAlignment="1">
      <alignment vertical="top" wrapText="1"/>
    </xf>
    <xf numFmtId="0" fontId="25" fillId="9" borderId="16" xfId="0" applyFont="1" applyFill="1" applyBorder="1" applyAlignment="1">
      <alignment vertical="top" wrapText="1"/>
    </xf>
    <xf numFmtId="0" fontId="25" fillId="10" borderId="1" xfId="2" applyNumberFormat="1" applyFont="1" applyFill="1" applyAlignment="1" applyProtection="1">
      <alignment horizontal="center"/>
    </xf>
    <xf numFmtId="0" fontId="32" fillId="9" borderId="0" xfId="0" applyFont="1" applyFill="1" applyBorder="1" applyAlignment="1">
      <alignment wrapText="1"/>
    </xf>
    <xf numFmtId="0" fontId="32" fillId="9" borderId="0" xfId="0" applyFont="1" applyFill="1" applyBorder="1" applyAlignment="1"/>
    <xf numFmtId="3" fontId="25" fillId="9" borderId="0" xfId="0" applyNumberFormat="1" applyFont="1" applyFill="1" applyBorder="1" applyAlignment="1">
      <alignment horizontal="center"/>
    </xf>
    <xf numFmtId="0" fontId="37" fillId="9" borderId="0" xfId="0" applyFont="1" applyFill="1" applyBorder="1" applyAlignment="1">
      <alignment vertical="top" wrapText="1"/>
    </xf>
    <xf numFmtId="0" fontId="32" fillId="9" borderId="0" xfId="0" applyFont="1" applyFill="1" applyBorder="1" applyAlignment="1">
      <alignment horizontal="center"/>
    </xf>
    <xf numFmtId="0" fontId="36" fillId="9" borderId="0" xfId="0" applyFont="1" applyFill="1" applyBorder="1" applyAlignment="1">
      <alignment vertical="top" wrapText="1"/>
    </xf>
    <xf numFmtId="0" fontId="25" fillId="9" borderId="7" xfId="0" applyFont="1" applyFill="1" applyBorder="1" applyAlignment="1">
      <alignment vertical="top" wrapText="1"/>
    </xf>
    <xf numFmtId="9" fontId="25" fillId="10" borderId="1" xfId="2" applyNumberFormat="1" applyFont="1" applyFill="1" applyAlignment="1" applyProtection="1">
      <alignment horizontal="center"/>
    </xf>
    <xf numFmtId="3" fontId="25" fillId="10" borderId="7" xfId="0" applyNumberFormat="1" applyFont="1" applyFill="1" applyBorder="1" applyAlignment="1">
      <alignment horizontal="center"/>
    </xf>
    <xf numFmtId="3" fontId="25" fillId="9" borderId="1" xfId="2" applyNumberFormat="1" applyFont="1" applyFill="1" applyAlignment="1" applyProtection="1">
      <alignment horizontal="center"/>
    </xf>
    <xf numFmtId="0" fontId="25" fillId="9" borderId="0" xfId="0" applyFont="1" applyFill="1" applyBorder="1" applyAlignment="1">
      <alignment vertical="top" wrapText="1"/>
    </xf>
    <xf numFmtId="0" fontId="37" fillId="9" borderId="0" xfId="0" applyFont="1" applyFill="1" applyBorder="1" applyAlignment="1">
      <alignment wrapText="1"/>
    </xf>
    <xf numFmtId="0" fontId="37" fillId="9" borderId="0" xfId="0" applyFont="1" applyFill="1" applyBorder="1" applyAlignment="1"/>
    <xf numFmtId="0" fontId="36" fillId="9" borderId="6" xfId="0" applyFont="1" applyFill="1" applyBorder="1" applyAlignment="1">
      <alignment vertical="top" wrapText="1"/>
    </xf>
    <xf numFmtId="3" fontId="25" fillId="9" borderId="10" xfId="0" applyNumberFormat="1" applyFont="1" applyFill="1" applyBorder="1" applyAlignment="1">
      <alignment horizontal="center"/>
    </xf>
    <xf numFmtId="3" fontId="25" fillId="9" borderId="11" xfId="0" applyNumberFormat="1" applyFont="1" applyFill="1" applyBorder="1" applyAlignment="1">
      <alignment horizontal="center"/>
    </xf>
    <xf numFmtId="0" fontId="32" fillId="9" borderId="6" xfId="0" applyFont="1" applyFill="1" applyBorder="1" applyAlignment="1">
      <alignment wrapText="1"/>
    </xf>
    <xf numFmtId="0" fontId="25" fillId="10" borderId="1" xfId="2" applyNumberFormat="1" applyFont="1" applyFill="1" applyAlignment="1" applyProtection="1"/>
    <xf numFmtId="0" fontId="25" fillId="9" borderId="10" xfId="0" applyFont="1" applyFill="1" applyBorder="1" applyAlignment="1">
      <alignment vertical="top" wrapText="1"/>
    </xf>
    <xf numFmtId="0" fontId="25" fillId="9" borderId="11" xfId="0" applyFont="1" applyFill="1" applyBorder="1" applyAlignment="1">
      <alignment vertical="top" wrapText="1"/>
    </xf>
    <xf numFmtId="3" fontId="25" fillId="12" borderId="1" xfId="2" applyNumberFormat="1" applyFont="1" applyFill="1" applyAlignment="1" applyProtection="1">
      <alignment horizontal="center"/>
    </xf>
    <xf numFmtId="3" fontId="25" fillId="9" borderId="0" xfId="0" applyNumberFormat="1" applyFont="1" applyFill="1" applyAlignment="1">
      <alignment vertical="top" wrapText="1"/>
    </xf>
    <xf numFmtId="3" fontId="25" fillId="3" borderId="1" xfId="2" applyNumberFormat="1" applyFont="1" applyFill="1" applyAlignment="1" applyProtection="1">
      <alignment horizontal="center"/>
    </xf>
    <xf numFmtId="0" fontId="32" fillId="9" borderId="0" xfId="0" applyFont="1" applyFill="1" applyBorder="1" applyAlignment="1">
      <alignment vertical="top" wrapText="1"/>
    </xf>
    <xf numFmtId="3" fontId="25" fillId="9" borderId="0" xfId="0" applyNumberFormat="1" applyFont="1" applyFill="1" applyBorder="1" applyAlignment="1">
      <alignment vertical="top" wrapText="1"/>
    </xf>
    <xf numFmtId="10" fontId="25" fillId="3" borderId="1" xfId="2" applyNumberFormat="1" applyFont="1" applyFill="1" applyAlignment="1" applyProtection="1"/>
    <xf numFmtId="0" fontId="39" fillId="10" borderId="6" xfId="0" applyFont="1" applyFill="1" applyBorder="1" applyAlignment="1">
      <alignment vertical="top" wrapText="1"/>
    </xf>
    <xf numFmtId="0" fontId="32" fillId="10" borderId="10" xfId="0" applyFont="1" applyFill="1" applyBorder="1" applyAlignment="1">
      <alignment vertical="top" wrapText="1"/>
    </xf>
    <xf numFmtId="0" fontId="25" fillId="10" borderId="10" xfId="0" applyFont="1" applyFill="1" applyBorder="1" applyAlignment="1">
      <alignment vertical="top" wrapText="1"/>
    </xf>
    <xf numFmtId="0" fontId="33" fillId="10" borderId="10" xfId="0" applyFont="1" applyFill="1" applyBorder="1" applyAlignment="1">
      <alignment vertical="top" wrapText="1"/>
    </xf>
    <xf numFmtId="0" fontId="25" fillId="9" borderId="13" xfId="0" applyFont="1" applyFill="1" applyBorder="1" applyAlignment="1">
      <alignment vertical="top" wrapText="1"/>
    </xf>
    <xf numFmtId="0" fontId="25" fillId="9" borderId="9" xfId="0" applyFont="1" applyFill="1" applyBorder="1" applyAlignment="1">
      <alignment horizontal="center"/>
    </xf>
    <xf numFmtId="0" fontId="37" fillId="9" borderId="6" xfId="0" applyFont="1" applyFill="1" applyBorder="1" applyAlignment="1">
      <alignment vertical="top" wrapText="1"/>
    </xf>
    <xf numFmtId="0" fontId="32" fillId="9" borderId="7" xfId="0" applyFont="1" applyFill="1" applyBorder="1" applyAlignment="1">
      <alignment horizontal="center"/>
    </xf>
    <xf numFmtId="0" fontId="32" fillId="9" borderId="11" xfId="0" applyFont="1" applyFill="1" applyBorder="1" applyAlignment="1">
      <alignment horizontal="center"/>
    </xf>
    <xf numFmtId="0" fontId="52" fillId="9" borderId="0" xfId="0" applyFont="1" applyFill="1" applyAlignment="1">
      <alignment vertical="top" wrapText="1"/>
    </xf>
    <xf numFmtId="3" fontId="25" fillId="9" borderId="7" xfId="0" applyNumberFormat="1" applyFont="1" applyFill="1" applyBorder="1" applyAlignment="1">
      <alignment horizontal="center"/>
    </xf>
    <xf numFmtId="0" fontId="32" fillId="9" borderId="7" xfId="0" applyFont="1" applyFill="1" applyBorder="1" applyAlignment="1">
      <alignment vertical="top" wrapText="1"/>
    </xf>
    <xf numFmtId="3" fontId="32" fillId="9" borderId="7" xfId="0" applyNumberFormat="1" applyFont="1" applyFill="1" applyBorder="1" applyAlignment="1">
      <alignment horizontal="center"/>
    </xf>
    <xf numFmtId="0" fontId="25" fillId="9" borderId="37" xfId="0" applyFont="1" applyFill="1" applyBorder="1" applyAlignment="1">
      <alignment vertical="top" wrapText="1"/>
    </xf>
    <xf numFmtId="0" fontId="32" fillId="9" borderId="10" xfId="0" applyFont="1" applyFill="1" applyBorder="1" applyAlignment="1">
      <alignment horizontal="center"/>
    </xf>
    <xf numFmtId="0" fontId="39" fillId="0" borderId="6" xfId="0" applyFont="1" applyFill="1" applyBorder="1" applyAlignment="1">
      <alignment vertical="top" wrapText="1"/>
    </xf>
    <xf numFmtId="0" fontId="32" fillId="0" borderId="10" xfId="0" applyFont="1" applyFill="1" applyBorder="1" applyAlignment="1">
      <alignment vertical="top" wrapText="1"/>
    </xf>
    <xf numFmtId="0" fontId="25" fillId="0" borderId="10" xfId="0" applyFont="1" applyFill="1" applyBorder="1" applyAlignment="1">
      <alignment vertical="top" wrapText="1"/>
    </xf>
    <xf numFmtId="0" fontId="25" fillId="0" borderId="12" xfId="0" applyFont="1" applyFill="1" applyBorder="1" applyAlignment="1">
      <alignment vertical="top" wrapText="1"/>
    </xf>
    <xf numFmtId="0" fontId="25" fillId="0" borderId="6" xfId="0" applyFont="1" applyFill="1" applyBorder="1" applyAlignment="1">
      <alignment vertical="top" wrapText="1"/>
    </xf>
    <xf numFmtId="0" fontId="32" fillId="0" borderId="7" xfId="0" applyFont="1" applyFill="1" applyBorder="1" applyAlignment="1">
      <alignment horizontal="center"/>
    </xf>
    <xf numFmtId="0" fontId="25" fillId="0" borderId="7" xfId="0" applyFont="1" applyFill="1" applyBorder="1" applyAlignment="1">
      <alignment vertical="top" wrapText="1"/>
    </xf>
    <xf numFmtId="3" fontId="25" fillId="0" borderId="7" xfId="0" applyNumberFormat="1" applyFont="1" applyFill="1" applyBorder="1" applyAlignment="1">
      <alignment horizontal="center"/>
    </xf>
    <xf numFmtId="0" fontId="32" fillId="0" borderId="7" xfId="0" applyFont="1" applyFill="1" applyBorder="1" applyAlignment="1">
      <alignment vertical="top" wrapText="1"/>
    </xf>
    <xf numFmtId="3" fontId="32" fillId="0" borderId="7" xfId="0" applyNumberFormat="1" applyFont="1" applyFill="1" applyBorder="1" applyAlignment="1">
      <alignment horizontal="center"/>
    </xf>
    <xf numFmtId="166" fontId="33" fillId="9" borderId="0" xfId="0" applyNumberFormat="1" applyFont="1" applyFill="1" applyBorder="1" applyAlignment="1" applyProtection="1">
      <alignment vertical="top" wrapText="1"/>
    </xf>
    <xf numFmtId="10" fontId="25" fillId="9" borderId="0" xfId="0" applyNumberFormat="1" applyFont="1" applyFill="1" applyAlignment="1">
      <alignment vertical="top" wrapText="1"/>
    </xf>
    <xf numFmtId="166" fontId="25" fillId="9" borderId="0" xfId="0" applyNumberFormat="1" applyFont="1" applyFill="1" applyAlignment="1">
      <alignment vertical="top" wrapText="1"/>
    </xf>
    <xf numFmtId="0" fontId="25" fillId="9" borderId="14" xfId="0" applyFont="1" applyFill="1" applyBorder="1" applyAlignment="1">
      <alignment vertical="top" wrapText="1"/>
    </xf>
    <xf numFmtId="3" fontId="25" fillId="9" borderId="14" xfId="0" applyNumberFormat="1" applyFont="1" applyFill="1" applyBorder="1" applyAlignment="1">
      <alignment horizontal="center"/>
    </xf>
    <xf numFmtId="0" fontId="33" fillId="9" borderId="6" xfId="0" applyFont="1" applyFill="1" applyBorder="1" applyAlignment="1">
      <alignment vertical="top" wrapText="1"/>
    </xf>
    <xf numFmtId="0" fontId="25" fillId="9" borderId="10" xfId="0" applyFont="1" applyFill="1" applyBorder="1" applyAlignment="1">
      <alignment horizontal="center"/>
    </xf>
    <xf numFmtId="0" fontId="33" fillId="9" borderId="10" xfId="0" applyFont="1" applyFill="1" applyBorder="1" applyAlignment="1">
      <alignment vertical="top" wrapText="1"/>
    </xf>
    <xf numFmtId="0" fontId="32" fillId="9" borderId="21" xfId="0" applyFont="1" applyFill="1" applyBorder="1" applyAlignment="1">
      <alignment vertical="top" wrapText="1"/>
    </xf>
    <xf numFmtId="3" fontId="32" fillId="9" borderId="21" xfId="0" applyNumberFormat="1" applyFont="1" applyFill="1" applyBorder="1" applyAlignment="1">
      <alignment horizontal="center"/>
    </xf>
    <xf numFmtId="167" fontId="32" fillId="9" borderId="10" xfId="0" applyNumberFormat="1" applyFont="1" applyFill="1" applyBorder="1" applyAlignment="1">
      <alignment horizontal="center"/>
    </xf>
    <xf numFmtId="9" fontId="32" fillId="9" borderId="10" xfId="0" applyNumberFormat="1" applyFont="1" applyFill="1" applyBorder="1" applyAlignment="1">
      <alignment horizontal="center"/>
    </xf>
    <xf numFmtId="167" fontId="32" fillId="9" borderId="11" xfId="0" applyNumberFormat="1" applyFont="1" applyFill="1" applyBorder="1" applyAlignment="1">
      <alignment horizontal="center"/>
    </xf>
    <xf numFmtId="168" fontId="32" fillId="9" borderId="10" xfId="0" applyNumberFormat="1" applyFont="1" applyFill="1" applyBorder="1" applyAlignment="1">
      <alignment horizontal="center"/>
    </xf>
    <xf numFmtId="168" fontId="32" fillId="9" borderId="0" xfId="0" applyNumberFormat="1" applyFont="1" applyFill="1" applyBorder="1" applyAlignment="1">
      <alignment horizontal="center"/>
    </xf>
    <xf numFmtId="0" fontId="32" fillId="9" borderId="0" xfId="0" applyFont="1" applyFill="1" applyAlignment="1">
      <alignment vertical="top" wrapText="1"/>
    </xf>
    <xf numFmtId="0" fontId="37" fillId="9" borderId="0" xfId="0" applyFont="1" applyFill="1" applyAlignment="1">
      <alignment vertical="top" wrapText="1"/>
    </xf>
    <xf numFmtId="0" fontId="25" fillId="9" borderId="7" xfId="0" applyFont="1" applyFill="1" applyBorder="1" applyAlignment="1">
      <alignment horizontal="left" vertical="center" wrapText="1"/>
    </xf>
    <xf numFmtId="4" fontId="25" fillId="9" borderId="7" xfId="0" applyNumberFormat="1" applyFont="1" applyFill="1" applyBorder="1" applyAlignment="1">
      <alignment horizontal="center" vertical="center"/>
    </xf>
    <xf numFmtId="0" fontId="25" fillId="9" borderId="0" xfId="0" applyFont="1" applyFill="1" applyAlignment="1">
      <alignment horizontal="center" vertical="center"/>
    </xf>
    <xf numFmtId="0" fontId="25" fillId="9" borderId="7" xfId="0" applyFont="1" applyFill="1" applyBorder="1" applyAlignment="1">
      <alignment horizontal="center" vertical="center" wrapText="1"/>
    </xf>
    <xf numFmtId="3" fontId="25" fillId="9" borderId="7" xfId="0" applyNumberFormat="1" applyFont="1" applyFill="1" applyBorder="1" applyAlignment="1">
      <alignment horizontal="center" vertical="center"/>
    </xf>
    <xf numFmtId="0" fontId="25" fillId="9" borderId="10" xfId="0" applyFont="1" applyFill="1" applyBorder="1" applyAlignment="1">
      <alignment horizontal="center" vertical="center" wrapText="1"/>
    </xf>
    <xf numFmtId="3" fontId="25" fillId="9" borderId="10" xfId="0" applyNumberFormat="1" applyFont="1" applyFill="1" applyBorder="1" applyAlignment="1">
      <alignment horizontal="center" vertical="center"/>
    </xf>
    <xf numFmtId="0" fontId="39" fillId="10" borderId="6" xfId="0" applyFont="1" applyFill="1" applyBorder="1" applyAlignment="1">
      <alignment wrapText="1"/>
    </xf>
    <xf numFmtId="0" fontId="25" fillId="10" borderId="10" xfId="0" applyFont="1" applyFill="1" applyBorder="1" applyAlignment="1"/>
    <xf numFmtId="0" fontId="33" fillId="9" borderId="13" xfId="0" applyFont="1" applyFill="1" applyBorder="1" applyAlignment="1">
      <alignment vertical="top" wrapText="1"/>
    </xf>
    <xf numFmtId="0" fontId="33" fillId="9" borderId="9" xfId="0" applyFont="1" applyFill="1" applyBorder="1" applyAlignment="1">
      <alignment vertical="top" wrapText="1"/>
    </xf>
    <xf numFmtId="0" fontId="25" fillId="9" borderId="12" xfId="0" applyFont="1" applyFill="1" applyBorder="1" applyAlignment="1">
      <alignment vertical="top" wrapText="1"/>
    </xf>
    <xf numFmtId="0" fontId="32" fillId="9" borderId="15" xfId="0" applyFont="1" applyFill="1" applyBorder="1" applyAlignment="1">
      <alignment horizontal="center"/>
    </xf>
    <xf numFmtId="0" fontId="32" fillId="9" borderId="14" xfId="0" applyFont="1" applyFill="1" applyBorder="1" applyAlignment="1">
      <alignment horizontal="center"/>
    </xf>
    <xf numFmtId="167" fontId="25" fillId="9" borderId="10" xfId="0" applyNumberFormat="1" applyFont="1" applyFill="1" applyBorder="1" applyAlignment="1">
      <alignment horizontal="center"/>
    </xf>
    <xf numFmtId="167" fontId="25" fillId="9" borderId="11" xfId="0" applyNumberFormat="1" applyFont="1" applyFill="1" applyBorder="1" applyAlignment="1">
      <alignment horizontal="center"/>
    </xf>
    <xf numFmtId="10" fontId="25" fillId="9" borderId="14" xfId="0" applyNumberFormat="1" applyFont="1" applyFill="1" applyBorder="1" applyAlignment="1">
      <alignment horizontal="center"/>
    </xf>
    <xf numFmtId="0" fontId="30" fillId="9" borderId="0" xfId="0" applyFont="1" applyFill="1" applyBorder="1" applyAlignment="1">
      <alignment vertical="top" wrapText="1"/>
    </xf>
    <xf numFmtId="3" fontId="32" fillId="9" borderId="38" xfId="0" applyNumberFormat="1" applyFont="1" applyFill="1" applyBorder="1" applyAlignment="1">
      <alignment horizontal="center"/>
    </xf>
    <xf numFmtId="3" fontId="32" fillId="9" borderId="10" xfId="0" applyNumberFormat="1" applyFont="1" applyFill="1" applyBorder="1" applyAlignment="1">
      <alignment horizontal="center"/>
    </xf>
    <xf numFmtId="3" fontId="32" fillId="9" borderId="11" xfId="0" applyNumberFormat="1" applyFont="1" applyFill="1" applyBorder="1" applyAlignment="1">
      <alignment horizontal="center"/>
    </xf>
    <xf numFmtId="3" fontId="32" fillId="9" borderId="39" xfId="0" applyNumberFormat="1" applyFont="1" applyFill="1" applyBorder="1" applyAlignment="1">
      <alignment horizontal="center"/>
    </xf>
    <xf numFmtId="0" fontId="32" fillId="9" borderId="14" xfId="0" applyFont="1" applyFill="1" applyBorder="1" applyAlignment="1">
      <alignment vertical="top" wrapText="1"/>
    </xf>
    <xf numFmtId="3" fontId="32" fillId="9" borderId="14" xfId="0" applyNumberFormat="1" applyFont="1" applyFill="1" applyBorder="1" applyAlignment="1">
      <alignment horizontal="center"/>
    </xf>
    <xf numFmtId="0" fontId="36" fillId="9" borderId="7" xfId="0" applyFont="1" applyFill="1" applyBorder="1" applyAlignment="1">
      <alignment vertical="top" wrapText="1"/>
    </xf>
    <xf numFmtId="3" fontId="36" fillId="9" borderId="7" xfId="0" applyNumberFormat="1" applyFont="1" applyFill="1" applyBorder="1" applyAlignment="1">
      <alignment horizontal="center"/>
    </xf>
    <xf numFmtId="0" fontId="36" fillId="0" borderId="7" xfId="0" applyFont="1" applyFill="1" applyBorder="1" applyAlignment="1">
      <alignment vertical="top" wrapText="1"/>
    </xf>
    <xf numFmtId="3" fontId="36" fillId="0" borderId="7" xfId="0" applyNumberFormat="1" applyFont="1" applyFill="1" applyBorder="1" applyAlignment="1">
      <alignment horizontal="center"/>
    </xf>
    <xf numFmtId="0" fontId="25" fillId="0" borderId="7" xfId="0" applyFont="1" applyBorder="1" applyAlignment="1">
      <alignment vertical="top" wrapText="1"/>
    </xf>
    <xf numFmtId="3" fontId="25" fillId="0" borderId="7" xfId="0" applyNumberFormat="1" applyFont="1" applyBorder="1" applyAlignment="1">
      <alignment horizontal="center"/>
    </xf>
    <xf numFmtId="0" fontId="32" fillId="0" borderId="7" xfId="0" applyFont="1" applyBorder="1" applyAlignment="1">
      <alignment vertical="top" wrapText="1"/>
    </xf>
    <xf numFmtId="3" fontId="32" fillId="0" borderId="7" xfId="0" applyNumberFormat="1" applyFont="1" applyBorder="1" applyAlignment="1">
      <alignment horizontal="center"/>
    </xf>
    <xf numFmtId="0" fontId="34" fillId="0" borderId="6" xfId="0" applyFont="1" applyFill="1" applyBorder="1" applyAlignment="1">
      <alignment vertical="top" wrapText="1"/>
    </xf>
    <xf numFmtId="0" fontId="32" fillId="0" borderId="10" xfId="0" applyFont="1" applyFill="1" applyBorder="1" applyAlignment="1">
      <alignment horizontal="center"/>
    </xf>
    <xf numFmtId="0" fontId="32" fillId="0" borderId="11" xfId="0" applyFont="1" applyFill="1" applyBorder="1" applyAlignment="1">
      <alignment horizontal="center"/>
    </xf>
    <xf numFmtId="0" fontId="32" fillId="0" borderId="14" xfId="0" applyFont="1" applyFill="1" applyBorder="1" applyAlignment="1">
      <alignment vertical="top" wrapText="1"/>
    </xf>
    <xf numFmtId="167" fontId="32" fillId="0" borderId="14" xfId="0" applyNumberFormat="1" applyFont="1" applyFill="1" applyBorder="1" applyAlignment="1">
      <alignment horizontal="center"/>
    </xf>
    <xf numFmtId="167" fontId="32" fillId="9" borderId="14" xfId="0" applyNumberFormat="1" applyFont="1" applyFill="1" applyBorder="1" applyAlignment="1">
      <alignment horizontal="center"/>
    </xf>
    <xf numFmtId="0" fontId="25" fillId="0" borderId="7" xfId="0" applyFont="1" applyFill="1" applyBorder="1" applyAlignment="1">
      <alignment horizontal="left" wrapText="1" indent="1"/>
    </xf>
    <xf numFmtId="166" fontId="33" fillId="0" borderId="0" xfId="0" applyNumberFormat="1" applyFont="1" applyFill="1" applyBorder="1" applyAlignment="1" applyProtection="1">
      <alignment vertical="top" wrapText="1"/>
    </xf>
    <xf numFmtId="3" fontId="25" fillId="0" borderId="0" xfId="0" applyNumberFormat="1" applyFont="1" applyFill="1" applyAlignment="1">
      <alignment vertical="top" wrapText="1"/>
    </xf>
    <xf numFmtId="3" fontId="39" fillId="0" borderId="0" xfId="0" applyNumberFormat="1" applyFont="1" applyAlignment="1">
      <alignment vertical="top" wrapText="1"/>
    </xf>
    <xf numFmtId="0" fontId="44" fillId="0" borderId="0" xfId="14" applyFont="1"/>
    <xf numFmtId="3" fontId="36" fillId="0" borderId="0" xfId="0" applyNumberFormat="1" applyFont="1" applyBorder="1" applyAlignment="1"/>
    <xf numFmtId="0" fontId="48" fillId="0" borderId="0" xfId="14" applyFont="1"/>
    <xf numFmtId="0" fontId="54" fillId="9" borderId="8" xfId="14" applyFont="1" applyFill="1" applyBorder="1" applyAlignment="1">
      <alignment horizontal="center"/>
    </xf>
    <xf numFmtId="0" fontId="54" fillId="9" borderId="8" xfId="14" applyFont="1" applyFill="1" applyBorder="1" applyAlignment="1">
      <alignment horizontal="center" wrapText="1"/>
    </xf>
    <xf numFmtId="0" fontId="55" fillId="9" borderId="8" xfId="14" applyFont="1" applyFill="1" applyBorder="1"/>
    <xf numFmtId="0" fontId="55" fillId="9" borderId="8" xfId="14" applyFont="1" applyFill="1" applyBorder="1" applyAlignment="1">
      <alignment wrapText="1"/>
    </xf>
    <xf numFmtId="4" fontId="55" fillId="9" borderId="8" xfId="14" applyNumberFormat="1" applyFont="1" applyFill="1" applyBorder="1"/>
    <xf numFmtId="0" fontId="32" fillId="9" borderId="0" xfId="14" applyFont="1" applyFill="1"/>
    <xf numFmtId="0" fontId="25" fillId="9" borderId="0" xfId="14" applyFont="1" applyFill="1"/>
    <xf numFmtId="0" fontId="56" fillId="9" borderId="8" xfId="14" applyFont="1" applyFill="1" applyBorder="1"/>
    <xf numFmtId="0" fontId="35" fillId="9" borderId="8" xfId="14" applyFont="1" applyFill="1" applyBorder="1" applyAlignment="1">
      <alignment horizontal="center" vertical="center" wrapText="1"/>
    </xf>
    <xf numFmtId="10" fontId="56" fillId="9" borderId="8" xfId="19" applyNumberFormat="1" applyFont="1" applyFill="1" applyBorder="1"/>
    <xf numFmtId="4" fontId="25" fillId="9" borderId="8" xfId="2" quotePrefix="1" applyNumberFormat="1" applyFont="1" applyFill="1" applyBorder="1" applyAlignment="1"/>
    <xf numFmtId="4" fontId="57" fillId="9" borderId="0" xfId="14" applyNumberFormat="1" applyFont="1" applyFill="1"/>
    <xf numFmtId="0" fontId="25" fillId="9" borderId="0" xfId="14" quotePrefix="1" applyFont="1" applyFill="1"/>
    <xf numFmtId="0" fontId="57" fillId="9" borderId="0" xfId="14" applyFont="1" applyFill="1" applyAlignment="1">
      <alignment horizontal="right"/>
    </xf>
    <xf numFmtId="0" fontId="25" fillId="9" borderId="8" xfId="14" applyFont="1" applyFill="1" applyBorder="1" applyAlignment="1">
      <alignment horizontal="center" vertical="center" wrapText="1"/>
    </xf>
    <xf numFmtId="0" fontId="25" fillId="9" borderId="8" xfId="14" applyFont="1" applyFill="1" applyBorder="1" applyAlignment="1">
      <alignment horizontal="center" vertical="center"/>
    </xf>
    <xf numFmtId="4" fontId="25" fillId="9" borderId="8" xfId="14" applyNumberFormat="1" applyFont="1" applyFill="1" applyBorder="1"/>
    <xf numFmtId="4" fontId="25" fillId="9" borderId="8" xfId="2" applyNumberFormat="1" applyFont="1" applyFill="1" applyBorder="1" applyAlignment="1"/>
    <xf numFmtId="0" fontId="25" fillId="9" borderId="27" xfId="14" applyFont="1" applyFill="1" applyBorder="1" applyAlignment="1">
      <alignment horizontal="center" vertical="center"/>
    </xf>
    <xf numFmtId="4" fontId="25" fillId="9" borderId="20" xfId="2" applyNumberFormat="1" applyFont="1" applyFill="1" applyBorder="1" applyAlignment="1"/>
    <xf numFmtId="4" fontId="25" fillId="8" borderId="25" xfId="2" applyNumberFormat="1" applyFont="1" applyFill="1" applyBorder="1" applyAlignment="1"/>
    <xf numFmtId="170" fontId="33" fillId="0" borderId="0" xfId="19" applyNumberFormat="1" applyFont="1" applyAlignment="1">
      <alignment vertical="top" wrapText="1"/>
    </xf>
    <xf numFmtId="0" fontId="32" fillId="0" borderId="0" xfId="14" applyFont="1" applyFill="1" applyBorder="1"/>
    <xf numFmtId="0" fontId="25" fillId="0" borderId="0" xfId="0" applyFont="1"/>
    <xf numFmtId="0" fontId="25" fillId="0" borderId="0" xfId="0" applyFont="1" applyBorder="1"/>
    <xf numFmtId="0" fontId="25" fillId="0" borderId="8" xfId="14" applyFont="1" applyFill="1" applyBorder="1" applyAlignment="1">
      <alignment horizontal="center" vertical="center" wrapText="1"/>
    </xf>
    <xf numFmtId="0" fontId="25" fillId="0" borderId="27" xfId="14" applyFont="1" applyFill="1" applyBorder="1" applyAlignment="1">
      <alignment horizontal="center" vertical="center" wrapText="1"/>
    </xf>
    <xf numFmtId="0" fontId="25" fillId="0" borderId="0" xfId="14" applyFont="1" applyFill="1" applyBorder="1" applyAlignment="1">
      <alignment horizontal="center" vertical="center" wrapText="1"/>
    </xf>
    <xf numFmtId="3" fontId="25" fillId="0" borderId="8" xfId="14" applyNumberFormat="1" applyFont="1" applyFill="1" applyBorder="1" applyAlignment="1">
      <alignment horizontal="right" vertical="center" wrapText="1"/>
    </xf>
    <xf numFmtId="4" fontId="25" fillId="0" borderId="20" xfId="14" applyNumberFormat="1" applyFont="1" applyFill="1" applyBorder="1" applyAlignment="1">
      <alignment horizontal="center" vertical="center" wrapText="1"/>
    </xf>
    <xf numFmtId="170" fontId="25" fillId="0" borderId="0" xfId="19" applyNumberFormat="1" applyFont="1" applyFill="1" applyBorder="1" applyAlignment="1">
      <alignment horizontal="center" vertical="center" wrapText="1"/>
    </xf>
    <xf numFmtId="4" fontId="25" fillId="0" borderId="20" xfId="19" applyNumberFormat="1" applyFont="1" applyFill="1" applyBorder="1" applyAlignment="1">
      <alignment horizontal="center" vertical="center" wrapText="1"/>
    </xf>
    <xf numFmtId="4" fontId="25" fillId="0" borderId="25" xfId="19" applyNumberFormat="1" applyFont="1" applyFill="1" applyBorder="1" applyAlignment="1">
      <alignment horizontal="center" vertical="center" wrapText="1"/>
    </xf>
    <xf numFmtId="4" fontId="25" fillId="0" borderId="8" xfId="19" applyNumberFormat="1" applyFont="1" applyFill="1" applyBorder="1" applyAlignment="1">
      <alignment horizontal="center" vertical="center" wrapText="1"/>
    </xf>
    <xf numFmtId="0" fontId="33" fillId="9" borderId="12" xfId="0" applyFont="1" applyFill="1" applyBorder="1" applyAlignment="1">
      <alignment vertical="top" wrapText="1"/>
    </xf>
    <xf numFmtId="0" fontId="33" fillId="9" borderId="0" xfId="0" applyFont="1" applyFill="1" applyBorder="1" applyAlignment="1">
      <alignment vertical="top" wrapText="1"/>
    </xf>
    <xf numFmtId="0" fontId="32" fillId="9" borderId="13" xfId="0" applyFont="1" applyFill="1" applyBorder="1" applyAlignment="1">
      <alignment vertical="top" wrapText="1"/>
    </xf>
    <xf numFmtId="0" fontId="32" fillId="9" borderId="9" xfId="0" applyFont="1" applyFill="1" applyBorder="1" applyAlignment="1">
      <alignment horizontal="center"/>
    </xf>
    <xf numFmtId="0" fontId="25" fillId="7" borderId="14" xfId="0" applyFont="1" applyFill="1" applyBorder="1" applyAlignment="1">
      <alignment vertical="top" wrapText="1"/>
    </xf>
    <xf numFmtId="0" fontId="25" fillId="7" borderId="7" xfId="0" applyFont="1" applyFill="1" applyBorder="1" applyAlignment="1">
      <alignment vertical="top" wrapText="1"/>
    </xf>
    <xf numFmtId="0" fontId="32" fillId="7" borderId="7" xfId="0" applyFont="1" applyFill="1" applyBorder="1" applyAlignment="1">
      <alignment vertical="top" wrapText="1"/>
    </xf>
    <xf numFmtId="0" fontId="32" fillId="7" borderId="13" xfId="0" applyFont="1" applyFill="1" applyBorder="1" applyAlignment="1">
      <alignment vertical="top" wrapText="1"/>
    </xf>
    <xf numFmtId="0" fontId="32" fillId="9" borderId="29" xfId="0" applyFont="1" applyFill="1" applyBorder="1" applyAlignment="1">
      <alignment vertical="top" wrapText="1"/>
    </xf>
    <xf numFmtId="0" fontId="34" fillId="10" borderId="6" xfId="0" applyFont="1" applyFill="1" applyBorder="1" applyAlignment="1" applyProtection="1">
      <alignment vertical="top" wrapText="1"/>
    </xf>
    <xf numFmtId="0" fontId="58" fillId="10" borderId="10" xfId="0" applyFont="1" applyFill="1" applyBorder="1" applyAlignment="1" applyProtection="1">
      <alignment vertical="top" wrapText="1"/>
    </xf>
    <xf numFmtId="0" fontId="25" fillId="9" borderId="6" xfId="0" applyFont="1" applyFill="1" applyBorder="1" applyAlignment="1" applyProtection="1">
      <alignment vertical="top" wrapText="1"/>
    </xf>
    <xf numFmtId="0" fontId="25" fillId="9" borderId="10" xfId="0" applyFont="1" applyFill="1" applyBorder="1" applyAlignment="1" applyProtection="1">
      <alignment vertical="top" wrapText="1"/>
    </xf>
    <xf numFmtId="0" fontId="25" fillId="9" borderId="10" xfId="0" applyFont="1" applyFill="1" applyBorder="1" applyAlignment="1" applyProtection="1">
      <alignment horizontal="center"/>
    </xf>
    <xf numFmtId="0" fontId="32" fillId="9" borderId="10" xfId="0" applyFont="1" applyFill="1" applyBorder="1" applyAlignment="1" applyProtection="1">
      <alignment horizontal="center"/>
    </xf>
    <xf numFmtId="0" fontId="32" fillId="9" borderId="13" xfId="0" applyFont="1" applyFill="1" applyBorder="1" applyAlignment="1" applyProtection="1">
      <alignment vertical="top" wrapText="1"/>
    </xf>
    <xf numFmtId="0" fontId="32" fillId="9" borderId="9" xfId="0" applyFont="1" applyFill="1" applyBorder="1" applyAlignment="1" applyProtection="1">
      <alignment horizontal="center"/>
    </xf>
    <xf numFmtId="3" fontId="25" fillId="9" borderId="7" xfId="0" applyNumberFormat="1" applyFont="1" applyFill="1" applyBorder="1" applyAlignment="1" applyProtection="1">
      <alignment horizontal="center"/>
    </xf>
    <xf numFmtId="3" fontId="25" fillId="0" borderId="7" xfId="0" applyNumberFormat="1" applyFont="1" applyFill="1" applyBorder="1" applyAlignment="1" applyProtection="1">
      <alignment horizontal="center" wrapText="1"/>
    </xf>
    <xf numFmtId="0" fontId="32" fillId="9" borderId="7" xfId="0" applyFont="1" applyFill="1" applyBorder="1" applyAlignment="1" applyProtection="1">
      <alignment vertical="top" wrapText="1"/>
    </xf>
    <xf numFmtId="3" fontId="32" fillId="9" borderId="7" xfId="0" applyNumberFormat="1" applyFont="1" applyFill="1" applyBorder="1" applyAlignment="1" applyProtection="1">
      <alignment horizontal="center"/>
    </xf>
    <xf numFmtId="167" fontId="25" fillId="9" borderId="7" xfId="0" applyNumberFormat="1" applyFont="1" applyFill="1" applyBorder="1" applyAlignment="1" applyProtection="1">
      <alignment horizontal="center"/>
    </xf>
    <xf numFmtId="167" fontId="32" fillId="9" borderId="7" xfId="0" applyNumberFormat="1" applyFont="1" applyFill="1" applyBorder="1" applyAlignment="1" applyProtection="1">
      <alignment horizontal="center"/>
    </xf>
    <xf numFmtId="0" fontId="25" fillId="0" borderId="7" xfId="0" applyFont="1" applyFill="1" applyBorder="1" applyAlignment="1" applyProtection="1">
      <alignment horizontal="left" indent="1"/>
    </xf>
    <xf numFmtId="3" fontId="25" fillId="0" borderId="7" xfId="0" applyNumberFormat="1" applyFont="1" applyFill="1" applyBorder="1" applyAlignment="1" applyProtection="1">
      <alignment horizontal="center"/>
    </xf>
    <xf numFmtId="0" fontId="25" fillId="9" borderId="7" xfId="0" applyFont="1" applyFill="1" applyBorder="1" applyAlignment="1" applyProtection="1">
      <alignment wrapText="1"/>
    </xf>
    <xf numFmtId="0" fontId="32" fillId="9" borderId="7" xfId="0" applyFont="1" applyFill="1" applyBorder="1" applyAlignment="1" applyProtection="1">
      <alignment wrapText="1"/>
    </xf>
    <xf numFmtId="3" fontId="35" fillId="9" borderId="0" xfId="6" applyNumberFormat="1" applyFont="1" applyFill="1" applyProtection="1">
      <alignment vertical="top"/>
    </xf>
    <xf numFmtId="3" fontId="51" fillId="9" borderId="0" xfId="5" applyNumberFormat="1" applyFont="1" applyFill="1" applyProtection="1">
      <alignment vertical="top"/>
    </xf>
    <xf numFmtId="0" fontId="34" fillId="10" borderId="6" xfId="0" applyFont="1" applyFill="1" applyBorder="1" applyAlignment="1"/>
    <xf numFmtId="3" fontId="25" fillId="9" borderId="14" xfId="0" applyNumberFormat="1" applyFont="1" applyFill="1" applyBorder="1" applyAlignment="1">
      <alignment vertical="top" wrapText="1"/>
    </xf>
    <xf numFmtId="3" fontId="25" fillId="9" borderId="14" xfId="0" applyNumberFormat="1" applyFont="1" applyFill="1" applyBorder="1" applyAlignment="1">
      <alignment horizontal="right"/>
    </xf>
    <xf numFmtId="3" fontId="32" fillId="9" borderId="21" xfId="0" applyNumberFormat="1" applyFont="1" applyFill="1" applyBorder="1" applyAlignment="1">
      <alignment horizontal="right"/>
    </xf>
    <xf numFmtId="167" fontId="32" fillId="9" borderId="10" xfId="0" applyNumberFormat="1" applyFont="1" applyFill="1" applyBorder="1" applyAlignment="1">
      <alignment horizontal="right"/>
    </xf>
    <xf numFmtId="167" fontId="25" fillId="9" borderId="10" xfId="0" applyNumberFormat="1" applyFont="1" applyFill="1" applyBorder="1" applyAlignment="1">
      <alignment horizontal="right"/>
    </xf>
    <xf numFmtId="167" fontId="25" fillId="9" borderId="11" xfId="0" applyNumberFormat="1" applyFont="1" applyFill="1" applyBorder="1" applyAlignment="1">
      <alignment horizontal="right"/>
    </xf>
    <xf numFmtId="3" fontId="25" fillId="9" borderId="7" xfId="0" applyNumberFormat="1" applyFont="1" applyFill="1" applyBorder="1" applyAlignment="1">
      <alignment horizontal="right"/>
    </xf>
    <xf numFmtId="3" fontId="32" fillId="9" borderId="7" xfId="0" applyNumberFormat="1" applyFont="1" applyFill="1" applyBorder="1" applyAlignment="1">
      <alignment horizontal="right"/>
    </xf>
    <xf numFmtId="167" fontId="25" fillId="9" borderId="7" xfId="0" applyNumberFormat="1" applyFont="1" applyFill="1" applyBorder="1" applyAlignment="1">
      <alignment horizontal="right"/>
    </xf>
    <xf numFmtId="0" fontId="32" fillId="9" borderId="7" xfId="0" applyFont="1" applyFill="1" applyBorder="1" applyAlignment="1">
      <alignment wrapText="1"/>
    </xf>
    <xf numFmtId="166" fontId="32" fillId="9" borderId="7" xfId="0" applyNumberFormat="1" applyFont="1" applyFill="1" applyBorder="1" applyAlignment="1">
      <alignment horizontal="center" wrapText="1"/>
    </xf>
    <xf numFmtId="0" fontId="59" fillId="0" borderId="0" xfId="0" applyFont="1" applyFill="1" applyBorder="1" applyAlignment="1">
      <alignment vertical="center"/>
    </xf>
    <xf numFmtId="0" fontId="32" fillId="9" borderId="0" xfId="0" applyFont="1" applyFill="1" applyBorder="1" applyAlignment="1">
      <alignment horizontal="center" vertical="top" wrapText="1"/>
    </xf>
    <xf numFmtId="3" fontId="36" fillId="0" borderId="0" xfId="0" applyNumberFormat="1" applyFont="1" applyFill="1" applyBorder="1" applyAlignment="1" applyProtection="1">
      <alignment vertical="top" wrapText="1"/>
      <protection locked="0"/>
    </xf>
    <xf numFmtId="3" fontId="25" fillId="0" borderId="0" xfId="0" applyNumberFormat="1" applyFont="1" applyFill="1" applyBorder="1" applyAlignment="1" applyProtection="1">
      <alignment horizontal="right"/>
      <protection locked="0"/>
    </xf>
    <xf numFmtId="3" fontId="32" fillId="0" borderId="0" xfId="0" applyNumberFormat="1" applyFont="1" applyFill="1" applyBorder="1" applyAlignment="1" applyProtection="1">
      <alignment vertical="top" wrapText="1"/>
      <protection locked="0"/>
    </xf>
    <xf numFmtId="3" fontId="25" fillId="0" borderId="0" xfId="17" applyNumberFormat="1" applyFont="1" applyFill="1" applyBorder="1" applyAlignment="1" applyProtection="1">
      <alignment horizontal="right"/>
      <protection locked="0"/>
    </xf>
    <xf numFmtId="3" fontId="32" fillId="9" borderId="0" xfId="0" applyNumberFormat="1" applyFont="1" applyFill="1" applyBorder="1" applyAlignment="1">
      <alignment vertical="top" wrapText="1"/>
    </xf>
    <xf numFmtId="10" fontId="32" fillId="9" borderId="0" xfId="19" applyNumberFormat="1" applyFont="1" applyFill="1" applyBorder="1" applyAlignment="1">
      <alignment vertical="top" wrapText="1"/>
    </xf>
    <xf numFmtId="0" fontId="39" fillId="9" borderId="0" xfId="0" applyFont="1" applyFill="1" applyBorder="1" applyAlignment="1">
      <alignment vertical="center"/>
    </xf>
    <xf numFmtId="0" fontId="32" fillId="9" borderId="0" xfId="0" applyFont="1" applyFill="1" applyBorder="1" applyAlignment="1">
      <alignment vertical="center" wrapText="1"/>
    </xf>
    <xf numFmtId="3" fontId="32" fillId="9" borderId="0" xfId="0" applyNumberFormat="1" applyFont="1" applyFill="1" applyBorder="1" applyAlignment="1">
      <alignment horizontal="center" vertical="center" wrapText="1"/>
    </xf>
    <xf numFmtId="10" fontId="35" fillId="9" borderId="0" xfId="19" applyNumberFormat="1" applyFont="1" applyFill="1" applyBorder="1" applyAlignment="1">
      <alignment vertical="top" wrapText="1"/>
    </xf>
    <xf numFmtId="3" fontId="35" fillId="0" borderId="0" xfId="6" applyNumberFormat="1" applyFont="1" applyProtection="1">
      <alignment vertical="top"/>
    </xf>
    <xf numFmtId="3" fontId="51" fillId="0" borderId="0" xfId="5" applyNumberFormat="1" applyFont="1" applyProtection="1">
      <alignment vertical="top"/>
    </xf>
    <xf numFmtId="3" fontId="36" fillId="0" borderId="0" xfId="0" applyNumberFormat="1" applyFont="1" applyFill="1" applyBorder="1" applyAlignment="1" applyProtection="1">
      <alignment vertical="top" wrapText="1"/>
    </xf>
    <xf numFmtId="0" fontId="33" fillId="0" borderId="10" xfId="0" applyFont="1" applyFill="1" applyBorder="1" applyAlignment="1">
      <alignment vertical="top" wrapText="1"/>
    </xf>
    <xf numFmtId="0" fontId="33" fillId="0" borderId="6" xfId="0" applyFont="1" applyBorder="1" applyAlignment="1">
      <alignment vertical="top" wrapText="1"/>
    </xf>
    <xf numFmtId="0" fontId="25" fillId="0" borderId="10" xfId="0" applyFont="1" applyBorder="1" applyAlignment="1">
      <alignment vertical="top" wrapText="1"/>
    </xf>
    <xf numFmtId="0" fontId="33" fillId="0" borderId="10" xfId="0" applyFont="1" applyBorder="1" applyAlignment="1">
      <alignment vertical="top" wrapText="1"/>
    </xf>
    <xf numFmtId="0" fontId="32" fillId="0" borderId="6" xfId="0" applyFont="1" applyBorder="1" applyAlignment="1">
      <alignment wrapText="1"/>
    </xf>
    <xf numFmtId="0" fontId="32" fillId="0" borderId="10" xfId="0" applyFont="1" applyBorder="1" applyAlignment="1">
      <alignment horizontal="center"/>
    </xf>
    <xf numFmtId="0" fontId="32" fillId="0" borderId="11" xfId="0" applyFont="1" applyBorder="1" applyAlignment="1">
      <alignment horizontal="center"/>
    </xf>
    <xf numFmtId="167" fontId="25" fillId="0" borderId="7" xfId="0" applyNumberFormat="1" applyFont="1" applyFill="1" applyBorder="1" applyAlignment="1">
      <alignment horizontal="center"/>
    </xf>
    <xf numFmtId="4" fontId="25" fillId="9" borderId="7" xfId="0" applyNumberFormat="1" applyFont="1" applyFill="1" applyBorder="1" applyAlignment="1">
      <alignment horizontal="center"/>
    </xf>
    <xf numFmtId="167" fontId="25" fillId="9" borderId="7" xfId="0" applyNumberFormat="1" applyFont="1" applyFill="1" applyBorder="1" applyAlignment="1">
      <alignment horizontal="center"/>
    </xf>
    <xf numFmtId="4" fontId="25" fillId="0" borderId="7" xfId="0" applyNumberFormat="1" applyFont="1" applyFill="1" applyBorder="1" applyAlignment="1">
      <alignment horizontal="center"/>
    </xf>
    <xf numFmtId="4" fontId="25" fillId="0" borderId="7" xfId="0" applyNumberFormat="1" applyFont="1" applyBorder="1" applyAlignment="1">
      <alignment horizontal="center"/>
    </xf>
    <xf numFmtId="166" fontId="25" fillId="0" borderId="7" xfId="0" applyNumberFormat="1" applyFont="1" applyBorder="1" applyAlignment="1">
      <alignment horizontal="center"/>
    </xf>
    <xf numFmtId="166" fontId="25" fillId="9" borderId="7" xfId="0" applyNumberFormat="1" applyFont="1" applyFill="1" applyBorder="1" applyAlignment="1">
      <alignment horizontal="center"/>
    </xf>
    <xf numFmtId="4" fontId="33" fillId="0" borderId="0" xfId="0" applyNumberFormat="1" applyFont="1" applyAlignment="1">
      <alignment vertical="top" wrapText="1"/>
    </xf>
    <xf numFmtId="4" fontId="33" fillId="9" borderId="0" xfId="0" applyNumberFormat="1" applyFont="1" applyFill="1" applyAlignment="1">
      <alignment vertical="top" wrapText="1"/>
    </xf>
    <xf numFmtId="166" fontId="25" fillId="0" borderId="0" xfId="19" applyNumberFormat="1" applyFont="1" applyAlignment="1">
      <alignment vertical="top" wrapText="1"/>
    </xf>
    <xf numFmtId="0" fontId="25" fillId="0" borderId="0" xfId="0" applyFont="1" applyAlignment="1">
      <alignment horizontal="right" vertical="top" wrapText="1"/>
    </xf>
    <xf numFmtId="0" fontId="25" fillId="0" borderId="0" xfId="0" quotePrefix="1" applyFont="1" applyFill="1" applyAlignment="1">
      <alignment vertical="top" wrapText="1"/>
    </xf>
    <xf numFmtId="0" fontId="25" fillId="0" borderId="0" xfId="0" applyFont="1" applyAlignment="1">
      <alignment horizontal="left" vertical="top" wrapText="1" indent="2"/>
    </xf>
    <xf numFmtId="166" fontId="25" fillId="0" borderId="0" xfId="19" applyNumberFormat="1" applyFont="1" applyAlignment="1">
      <alignment horizontal="right" vertical="top" wrapText="1"/>
    </xf>
    <xf numFmtId="0" fontId="25" fillId="18" borderId="0" xfId="0" quotePrefix="1" applyFont="1" applyFill="1" applyAlignment="1">
      <alignment vertical="top" wrapText="1"/>
    </xf>
    <xf numFmtId="166" fontId="63" fillId="9" borderId="0" xfId="17" applyNumberFormat="1" applyFont="1" applyFill="1" applyProtection="1">
      <alignment vertical="top"/>
      <protection locked="0"/>
    </xf>
    <xf numFmtId="0" fontId="64" fillId="0" borderId="0" xfId="0" applyFont="1" applyAlignment="1" applyProtection="1">
      <alignment vertical="top" wrapText="1"/>
      <protection locked="0"/>
    </xf>
    <xf numFmtId="3" fontId="32" fillId="20" borderId="8" xfId="2" applyNumberFormat="1" applyFont="1" applyFill="1" applyBorder="1" applyAlignment="1" applyProtection="1">
      <alignment horizontal="center"/>
    </xf>
    <xf numFmtId="3" fontId="25" fillId="18" borderId="8" xfId="0" applyNumberFormat="1" applyFont="1" applyFill="1" applyBorder="1" applyAlignment="1">
      <alignment vertical="top" wrapText="1"/>
    </xf>
    <xf numFmtId="0" fontId="25" fillId="18" borderId="8" xfId="0" applyFont="1" applyFill="1" applyBorder="1" applyAlignment="1">
      <alignment vertical="top" wrapText="1"/>
    </xf>
    <xf numFmtId="0" fontId="25" fillId="18" borderId="21" xfId="0" applyFont="1" applyFill="1" applyBorder="1" applyAlignment="1" applyProtection="1">
      <alignment horizontal="right"/>
      <protection locked="0"/>
    </xf>
    <xf numFmtId="0" fontId="25" fillId="18" borderId="0" xfId="0" applyFont="1" applyFill="1" applyBorder="1" applyAlignment="1" applyProtection="1">
      <alignment horizontal="right"/>
    </xf>
    <xf numFmtId="0" fontId="33" fillId="18" borderId="0" xfId="0" applyFont="1" applyFill="1" applyAlignment="1">
      <alignment vertical="top" wrapText="1"/>
    </xf>
    <xf numFmtId="0" fontId="33" fillId="18" borderId="0" xfId="0" applyFont="1" applyFill="1" applyBorder="1" applyAlignment="1">
      <alignment vertical="top" wrapText="1"/>
    </xf>
    <xf numFmtId="0" fontId="25" fillId="18" borderId="0" xfId="0" applyFont="1" applyFill="1" applyAlignment="1" applyProtection="1">
      <alignment vertical="top" wrapText="1"/>
      <protection locked="0"/>
    </xf>
    <xf numFmtId="3" fontId="25" fillId="21" borderId="7" xfId="0" applyNumberFormat="1" applyFont="1" applyFill="1" applyBorder="1" applyAlignment="1" applyProtection="1">
      <alignment horizontal="right"/>
      <protection locked="0"/>
    </xf>
    <xf numFmtId="3" fontId="25" fillId="19" borderId="1" xfId="2" applyNumberFormat="1" applyFont="1" applyFill="1" applyAlignment="1" applyProtection="1">
      <alignment horizontal="right"/>
    </xf>
    <xf numFmtId="1" fontId="25" fillId="18" borderId="27" xfId="0" applyNumberFormat="1" applyFont="1" applyFill="1" applyBorder="1" applyAlignment="1" applyProtection="1">
      <alignment vertical="top" wrapText="1"/>
      <protection locked="0"/>
    </xf>
    <xf numFmtId="3" fontId="25" fillId="21" borderId="8" xfId="0" applyNumberFormat="1" applyFont="1" applyFill="1" applyBorder="1" applyAlignment="1" applyProtection="1">
      <alignment horizontal="right"/>
      <protection locked="0"/>
    </xf>
    <xf numFmtId="3" fontId="25" fillId="19" borderId="8" xfId="2" applyNumberFormat="1" applyFont="1" applyFill="1" applyBorder="1" applyAlignment="1" applyProtection="1">
      <alignment horizontal="right"/>
    </xf>
    <xf numFmtId="0" fontId="64" fillId="0" borderId="0" xfId="0" applyFont="1" applyAlignment="1">
      <alignment vertical="top" wrapText="1"/>
    </xf>
    <xf numFmtId="0" fontId="48" fillId="17" borderId="0" xfId="14" applyFont="1" applyFill="1"/>
    <xf numFmtId="0" fontId="32" fillId="17" borderId="0" xfId="14" applyFont="1" applyFill="1"/>
    <xf numFmtId="0" fontId="27" fillId="17" borderId="0" xfId="0" applyFont="1" applyFill="1" applyAlignment="1">
      <alignment vertical="top" wrapText="1"/>
    </xf>
    <xf numFmtId="10" fontId="25" fillId="9" borderId="8" xfId="20" applyNumberFormat="1" applyFont="1" applyFill="1" applyBorder="1" applyAlignment="1">
      <alignment horizontal="center"/>
    </xf>
    <xf numFmtId="10" fontId="25" fillId="9" borderId="8" xfId="14" applyNumberFormat="1" applyFont="1" applyFill="1" applyBorder="1" applyAlignment="1">
      <alignment horizontal="center"/>
    </xf>
    <xf numFmtId="10" fontId="25" fillId="9" borderId="8" xfId="19" applyNumberFormat="1" applyFont="1" applyFill="1" applyBorder="1"/>
    <xf numFmtId="10" fontId="57" fillId="9" borderId="0" xfId="19" applyNumberFormat="1" applyFont="1" applyFill="1"/>
    <xf numFmtId="10" fontId="25" fillId="0" borderId="40" xfId="19" applyNumberFormat="1" applyFont="1" applyFill="1" applyBorder="1" applyAlignment="1">
      <alignment horizontal="center" vertical="center" wrapText="1"/>
    </xf>
    <xf numFmtId="10" fontId="25" fillId="0" borderId="8" xfId="19" applyNumberFormat="1" applyFont="1" applyFill="1" applyBorder="1" applyAlignment="1">
      <alignment horizontal="center" vertical="center" wrapText="1"/>
    </xf>
    <xf numFmtId="10" fontId="25" fillId="9" borderId="40" xfId="19" applyNumberFormat="1" applyFont="1" applyFill="1" applyBorder="1"/>
    <xf numFmtId="10" fontId="54" fillId="9" borderId="8" xfId="21" applyNumberFormat="1" applyFont="1" applyFill="1" applyBorder="1"/>
    <xf numFmtId="0" fontId="32" fillId="9" borderId="10" xfId="0" applyFont="1" applyFill="1" applyBorder="1" applyAlignment="1">
      <alignment vertical="top" wrapText="1"/>
    </xf>
    <xf numFmtId="3" fontId="25" fillId="0" borderId="14" xfId="0" applyNumberFormat="1" applyFont="1" applyFill="1" applyBorder="1" applyAlignment="1">
      <alignment horizontal="center"/>
    </xf>
    <xf numFmtId="0" fontId="32" fillId="0" borderId="29" xfId="0" applyFont="1" applyFill="1" applyBorder="1" applyAlignment="1">
      <alignment vertical="top" wrapText="1"/>
    </xf>
    <xf numFmtId="3" fontId="25" fillId="22" borderId="7" xfId="0" applyNumberFormat="1" applyFont="1" applyFill="1" applyBorder="1" applyAlignment="1" applyProtection="1">
      <alignment horizontal="right"/>
      <protection locked="0"/>
    </xf>
    <xf numFmtId="3" fontId="25" fillId="22" borderId="6" xfId="0" applyNumberFormat="1" applyFont="1" applyFill="1" applyBorder="1" applyAlignment="1" applyProtection="1">
      <alignment horizontal="right"/>
      <protection locked="0"/>
    </xf>
    <xf numFmtId="3" fontId="44" fillId="17" borderId="8" xfId="0" applyNumberFormat="1" applyFont="1" applyFill="1" applyBorder="1" applyAlignment="1" applyProtection="1">
      <alignment horizontal="left" vertical="center" wrapText="1" indent="1"/>
      <protection locked="0"/>
    </xf>
    <xf numFmtId="3" fontId="44" fillId="17" borderId="8" xfId="0" applyNumberFormat="1" applyFont="1" applyFill="1" applyBorder="1" applyAlignment="1" applyProtection="1">
      <alignment horizontal="center" vertical="center"/>
      <protection locked="0"/>
    </xf>
    <xf numFmtId="4" fontId="25" fillId="22" borderId="7" xfId="0" applyNumberFormat="1" applyFont="1" applyFill="1" applyBorder="1" applyAlignment="1" applyProtection="1">
      <alignment horizontal="right"/>
      <protection locked="0"/>
    </xf>
    <xf numFmtId="4" fontId="25" fillId="22" borderId="6" xfId="0" applyNumberFormat="1" applyFont="1" applyFill="1" applyBorder="1" applyAlignment="1" applyProtection="1">
      <alignment horizontal="right"/>
      <protection locked="0"/>
    </xf>
    <xf numFmtId="0" fontId="25" fillId="0" borderId="9" xfId="0" applyFont="1" applyFill="1" applyBorder="1" applyAlignment="1" applyProtection="1">
      <alignment vertical="top" wrapText="1"/>
      <protection locked="0"/>
    </xf>
    <xf numFmtId="0" fontId="39" fillId="0" borderId="9" xfId="0" applyFont="1" applyFill="1" applyBorder="1" applyAlignment="1" applyProtection="1">
      <alignment vertical="top" wrapText="1"/>
      <protection locked="0"/>
    </xf>
    <xf numFmtId="0" fontId="43" fillId="0" borderId="6" xfId="0" applyFont="1" applyFill="1" applyBorder="1" applyAlignment="1" applyProtection="1">
      <alignment vertical="top" wrapText="1"/>
    </xf>
    <xf numFmtId="0" fontId="25" fillId="0" borderId="6" xfId="0" applyFont="1" applyFill="1" applyBorder="1" applyAlignment="1" applyProtection="1">
      <alignment horizontal="left"/>
    </xf>
    <xf numFmtId="9" fontId="36" fillId="0" borderId="6" xfId="19" applyFont="1" applyFill="1" applyBorder="1" applyAlignment="1" applyProtection="1">
      <alignment horizontal="left"/>
    </xf>
    <xf numFmtId="0" fontId="46" fillId="0" borderId="6" xfId="0" applyFont="1" applyFill="1" applyBorder="1" applyAlignment="1" applyProtection="1">
      <alignment vertical="top" wrapText="1"/>
    </xf>
    <xf numFmtId="0" fontId="43" fillId="0" borderId="14" xfId="0" applyFont="1" applyFill="1" applyBorder="1" applyAlignment="1" applyProtection="1">
      <alignment vertical="top" wrapText="1"/>
      <protection locked="0"/>
    </xf>
    <xf numFmtId="0" fontId="46" fillId="0" borderId="14" xfId="0" applyFont="1" applyFill="1" applyBorder="1" applyAlignment="1" applyProtection="1">
      <alignment vertical="top" wrapText="1"/>
      <protection locked="0"/>
    </xf>
    <xf numFmtId="0" fontId="43" fillId="0" borderId="0" xfId="0" applyFont="1" applyFill="1" applyBorder="1" applyAlignment="1" applyProtection="1">
      <alignment vertical="top" wrapText="1"/>
      <protection locked="0"/>
    </xf>
    <xf numFmtId="0" fontId="46" fillId="0" borderId="7" xfId="0" applyFont="1" applyFill="1" applyBorder="1" applyAlignment="1" applyProtection="1">
      <alignment vertical="top" wrapText="1"/>
      <protection locked="0"/>
    </xf>
    <xf numFmtId="0" fontId="43" fillId="0" borderId="7" xfId="0" applyFont="1" applyFill="1" applyBorder="1" applyAlignment="1" applyProtection="1">
      <alignment vertical="top" wrapText="1"/>
      <protection locked="0"/>
    </xf>
    <xf numFmtId="0" fontId="43" fillId="0" borderId="6" xfId="0" applyFont="1" applyFill="1" applyBorder="1" applyAlignment="1" applyProtection="1">
      <alignment vertical="top" wrapText="1"/>
      <protection locked="0"/>
    </xf>
    <xf numFmtId="0" fontId="43" fillId="0" borderId="6" xfId="0" applyFont="1" applyFill="1" applyBorder="1" applyAlignment="1" applyProtection="1">
      <alignment horizontal="left"/>
    </xf>
    <xf numFmtId="0" fontId="25" fillId="0" borderId="21" xfId="0" applyFont="1" applyFill="1" applyBorder="1" applyAlignment="1" applyProtection="1">
      <alignment vertical="top" wrapText="1"/>
      <protection locked="0"/>
    </xf>
    <xf numFmtId="0" fontId="25" fillId="0" borderId="14" xfId="0" applyFont="1" applyFill="1" applyBorder="1" applyAlignment="1" applyProtection="1">
      <alignment vertical="top" wrapText="1"/>
      <protection locked="0"/>
    </xf>
    <xf numFmtId="0" fontId="43" fillId="0" borderId="29" xfId="0" applyFont="1" applyFill="1" applyBorder="1" applyAlignment="1" applyProtection="1">
      <alignment vertical="top" wrapText="1"/>
      <protection locked="0"/>
    </xf>
    <xf numFmtId="0" fontId="43" fillId="0" borderId="12" xfId="0" applyFont="1" applyFill="1" applyBorder="1" applyAlignment="1" applyProtection="1">
      <alignment vertical="top" wrapText="1"/>
      <protection locked="0"/>
    </xf>
    <xf numFmtId="0" fontId="35" fillId="0" borderId="7" xfId="0" applyFont="1" applyFill="1" applyBorder="1" applyAlignment="1" applyProtection="1">
      <alignment vertical="top" wrapText="1"/>
      <protection locked="0"/>
    </xf>
    <xf numFmtId="0" fontId="39" fillId="0" borderId="0" xfId="0" applyFont="1" applyFill="1" applyAlignment="1">
      <alignment vertical="top" wrapText="1"/>
    </xf>
    <xf numFmtId="3" fontId="36" fillId="0" borderId="7" xfId="0" applyNumberFormat="1" applyFont="1" applyFill="1" applyBorder="1" applyAlignment="1" applyProtection="1">
      <alignment vertical="top" wrapText="1"/>
      <protection locked="0"/>
    </xf>
    <xf numFmtId="4" fontId="25" fillId="0" borderId="7" xfId="0" applyNumberFormat="1" applyFont="1" applyFill="1" applyBorder="1" applyAlignment="1" applyProtection="1">
      <alignment horizontal="right"/>
      <protection locked="0"/>
    </xf>
    <xf numFmtId="0" fontId="25" fillId="0" borderId="41" xfId="0" applyFont="1" applyFill="1" applyBorder="1" applyAlignment="1" applyProtection="1">
      <protection locked="0"/>
    </xf>
    <xf numFmtId="0" fontId="25" fillId="0" borderId="0" xfId="0" applyFont="1" applyFill="1" applyBorder="1" applyAlignment="1" applyProtection="1">
      <alignment vertical="top" wrapText="1"/>
    </xf>
    <xf numFmtId="3" fontId="25" fillId="17" borderId="7" xfId="0" applyNumberFormat="1" applyFont="1" applyFill="1" applyBorder="1" applyAlignment="1" applyProtection="1">
      <alignment vertical="top" wrapText="1"/>
      <protection locked="0"/>
    </xf>
    <xf numFmtId="0" fontId="25" fillId="17" borderId="7" xfId="0" applyFont="1" applyFill="1" applyBorder="1" applyAlignment="1" applyProtection="1">
      <alignment vertical="top" wrapText="1"/>
      <protection locked="0"/>
    </xf>
    <xf numFmtId="4" fontId="25" fillId="17" borderId="7" xfId="0" applyNumberFormat="1" applyFont="1" applyFill="1" applyBorder="1" applyAlignment="1" applyProtection="1">
      <alignment horizontal="left"/>
      <protection locked="0"/>
    </xf>
    <xf numFmtId="0" fontId="63" fillId="0" borderId="0" xfId="17" applyFont="1" applyProtection="1">
      <alignment vertical="top"/>
      <protection locked="0"/>
    </xf>
    <xf numFmtId="0" fontId="32" fillId="19" borderId="7" xfId="2" applyNumberFormat="1" applyFont="1" applyFill="1" applyBorder="1" applyAlignment="1" applyProtection="1">
      <alignment horizontal="center"/>
    </xf>
    <xf numFmtId="3" fontId="25" fillId="0" borderId="6" xfId="0" applyNumberFormat="1" applyFont="1" applyFill="1" applyBorder="1" applyAlignment="1" applyProtection="1">
      <alignment horizontal="right"/>
      <protection locked="0"/>
    </xf>
    <xf numFmtId="10" fontId="25" fillId="0" borderId="20" xfId="19" applyNumberFormat="1" applyFont="1" applyFill="1" applyBorder="1" applyAlignment="1">
      <alignment horizontal="center" vertical="center" wrapText="1"/>
    </xf>
    <xf numFmtId="4" fontId="55" fillId="0" borderId="8" xfId="14" applyNumberFormat="1" applyFont="1" applyFill="1" applyBorder="1"/>
    <xf numFmtId="3" fontId="34" fillId="7" borderId="0" xfId="0" applyNumberFormat="1" applyFont="1" applyFill="1" applyBorder="1" applyAlignment="1" applyProtection="1">
      <alignment vertical="top" wrapText="1"/>
      <protection locked="0"/>
    </xf>
    <xf numFmtId="0" fontId="25" fillId="0" borderId="0" xfId="0" applyFont="1" applyAlignment="1" applyProtection="1">
      <alignment vertical="top"/>
      <protection locked="0"/>
    </xf>
    <xf numFmtId="0" fontId="25" fillId="0" borderId="8" xfId="0" applyFont="1" applyBorder="1" applyAlignment="1" applyProtection="1">
      <alignment vertical="top" wrapText="1"/>
      <protection locked="0"/>
    </xf>
    <xf numFmtId="0" fontId="25" fillId="3" borderId="8" xfId="17" applyNumberFormat="1" applyFont="1" applyFill="1" applyBorder="1" applyAlignment="1" applyProtection="1">
      <alignment horizontal="center"/>
      <protection locked="0"/>
    </xf>
    <xf numFmtId="171" fontId="32" fillId="9" borderId="7" xfId="0" applyNumberFormat="1" applyFont="1" applyFill="1" applyBorder="1" applyAlignment="1" applyProtection="1">
      <alignment horizontal="center"/>
    </xf>
    <xf numFmtId="1" fontId="25" fillId="0" borderId="0" xfId="0" applyNumberFormat="1" applyFont="1" applyFill="1" applyAlignment="1">
      <alignment vertical="top" wrapText="1"/>
    </xf>
    <xf numFmtId="1" fontId="25" fillId="0" borderId="0" xfId="0" applyNumberFormat="1" applyFont="1" applyAlignment="1">
      <alignment vertical="top" wrapText="1"/>
    </xf>
    <xf numFmtId="3" fontId="25" fillId="23" borderId="1" xfId="2" applyNumberFormat="1" applyFont="1" applyFill="1" applyAlignment="1" applyProtection="1">
      <alignment horizontal="center"/>
    </xf>
    <xf numFmtId="3" fontId="25" fillId="24" borderId="0" xfId="0" applyNumberFormat="1" applyFont="1" applyFill="1" applyAlignment="1">
      <alignment vertical="top" wrapText="1"/>
    </xf>
    <xf numFmtId="0" fontId="25" fillId="24" borderId="0" xfId="0" applyFont="1" applyFill="1" applyAlignment="1">
      <alignment vertical="top" wrapText="1"/>
    </xf>
    <xf numFmtId="1" fontId="25" fillId="24" borderId="0" xfId="0" applyNumberFormat="1" applyFont="1" applyFill="1" applyAlignment="1">
      <alignment vertical="top" wrapText="1"/>
    </xf>
    <xf numFmtId="3" fontId="25" fillId="24" borderId="0" xfId="0" applyNumberFormat="1" applyFont="1" applyFill="1" applyAlignment="1" applyProtection="1">
      <alignment vertical="top" wrapText="1"/>
      <protection locked="0"/>
    </xf>
    <xf numFmtId="0" fontId="25" fillId="24" borderId="0" xfId="0" applyFont="1" applyFill="1" applyAlignment="1" applyProtection="1">
      <alignment vertical="top" wrapText="1"/>
      <protection locked="0"/>
    </xf>
    <xf numFmtId="0" fontId="25" fillId="17" borderId="8" xfId="0" applyFont="1" applyFill="1" applyBorder="1" applyAlignment="1">
      <alignment vertical="top" wrapText="1"/>
    </xf>
    <xf numFmtId="3" fontId="25" fillId="17" borderId="8" xfId="0" applyNumberFormat="1" applyFont="1" applyFill="1" applyBorder="1" applyAlignment="1">
      <alignment vertical="top" wrapText="1"/>
    </xf>
    <xf numFmtId="4" fontId="56" fillId="9" borderId="8" xfId="19" applyNumberFormat="1" applyFont="1" applyFill="1" applyBorder="1"/>
    <xf numFmtId="10" fontId="33" fillId="0" borderId="0" xfId="19" applyNumberFormat="1" applyFont="1" applyAlignment="1">
      <alignment vertical="top" wrapText="1"/>
    </xf>
    <xf numFmtId="3" fontId="64" fillId="9" borderId="0" xfId="0" applyNumberFormat="1" applyFont="1" applyFill="1" applyAlignment="1" applyProtection="1">
      <alignment vertical="top"/>
      <protection locked="0"/>
    </xf>
    <xf numFmtId="3" fontId="25" fillId="9" borderId="0" xfId="0" applyNumberFormat="1" applyFont="1" applyFill="1" applyAlignment="1" applyProtection="1">
      <alignment horizontal="right" vertical="top" wrapText="1"/>
      <protection locked="0"/>
    </xf>
    <xf numFmtId="173" fontId="33" fillId="0" borderId="0" xfId="0" applyNumberFormat="1" applyFont="1" applyAlignment="1">
      <alignment vertical="top" wrapText="1"/>
    </xf>
    <xf numFmtId="3" fontId="2" fillId="0" borderId="0" xfId="0" applyNumberFormat="1" applyFont="1" applyAlignment="1">
      <alignment vertical="top" wrapText="1"/>
    </xf>
    <xf numFmtId="10" fontId="2" fillId="0" borderId="0" xfId="19" applyNumberFormat="1" applyFont="1" applyAlignment="1">
      <alignment vertical="top" wrapText="1"/>
    </xf>
    <xf numFmtId="10" fontId="25" fillId="12" borderId="8" xfId="0" applyNumberFormat="1" applyFont="1" applyFill="1" applyBorder="1" applyAlignment="1" applyProtection="1">
      <alignment vertical="center" wrapText="1"/>
    </xf>
    <xf numFmtId="4" fontId="25" fillId="12" borderId="8" xfId="0" applyNumberFormat="1" applyFont="1" applyFill="1" applyBorder="1" applyAlignment="1" applyProtection="1">
      <alignment horizontal="right" wrapText="1"/>
      <protection locked="0"/>
    </xf>
    <xf numFmtId="0" fontId="32" fillId="12" borderId="8" xfId="2" applyNumberFormat="1" applyFont="1" applyFill="1" applyBorder="1" applyAlignment="1" applyProtection="1">
      <alignment horizontal="center"/>
    </xf>
    <xf numFmtId="4" fontId="32" fillId="12" borderId="8" xfId="2" applyNumberFormat="1" applyFont="1" applyFill="1" applyBorder="1" applyAlignment="1">
      <alignment horizontal="right"/>
    </xf>
    <xf numFmtId="4" fontId="25" fillId="12" borderId="8" xfId="2" applyNumberFormat="1" applyFont="1" applyFill="1" applyBorder="1" applyAlignment="1">
      <alignment horizontal="right"/>
    </xf>
    <xf numFmtId="4" fontId="38" fillId="9" borderId="0" xfId="2" applyNumberFormat="1" applyFont="1" applyFill="1" applyBorder="1" applyAlignment="1" applyProtection="1">
      <alignment horizontal="right"/>
    </xf>
    <xf numFmtId="4" fontId="38" fillId="9" borderId="0" xfId="0" applyNumberFormat="1" applyFont="1" applyFill="1" applyBorder="1" applyAlignment="1" applyProtection="1">
      <alignment vertical="top" wrapText="1"/>
      <protection locked="0"/>
    </xf>
    <xf numFmtId="10" fontId="25" fillId="18" borderId="12" xfId="17" applyNumberFormat="1" applyFont="1" applyFill="1" applyBorder="1" applyAlignment="1" applyProtection="1">
      <protection locked="0"/>
    </xf>
    <xf numFmtId="10" fontId="25" fillId="18" borderId="8" xfId="19" applyNumberFormat="1" applyFont="1" applyFill="1" applyBorder="1" applyAlignment="1">
      <alignment vertical="top" wrapText="1"/>
    </xf>
    <xf numFmtId="10" fontId="25" fillId="18" borderId="8" xfId="17" applyNumberFormat="1" applyFont="1" applyFill="1" applyBorder="1" applyAlignment="1" applyProtection="1">
      <protection locked="0"/>
    </xf>
    <xf numFmtId="3" fontId="32" fillId="22" borderId="7" xfId="0" applyNumberFormat="1" applyFont="1" applyFill="1" applyBorder="1" applyAlignment="1" applyProtection="1">
      <alignment horizontal="center" vertical="center"/>
      <protection locked="0"/>
    </xf>
    <xf numFmtId="3" fontId="32" fillId="22" borderId="7" xfId="0" applyNumberFormat="1" applyFont="1" applyFill="1" applyBorder="1" applyAlignment="1" applyProtection="1">
      <alignment horizontal="center" wrapText="1"/>
      <protection locked="0"/>
    </xf>
    <xf numFmtId="0" fontId="25" fillId="0" borderId="0" xfId="0" applyFont="1" applyAlignment="1">
      <alignment horizontal="left" vertical="top" wrapText="1"/>
    </xf>
    <xf numFmtId="172" fontId="25" fillId="0" borderId="0" xfId="0" applyNumberFormat="1" applyFont="1" applyAlignment="1">
      <alignment vertical="top" wrapText="1"/>
    </xf>
    <xf numFmtId="172" fontId="25" fillId="0" borderId="0" xfId="3" applyNumberFormat="1" applyFont="1" applyAlignment="1">
      <alignment vertical="top" wrapText="1"/>
    </xf>
    <xf numFmtId="0" fontId="25" fillId="0" borderId="0" xfId="0" applyFont="1" applyAlignment="1">
      <alignment vertical="top"/>
    </xf>
    <xf numFmtId="4" fontId="38" fillId="24" borderId="0" xfId="2" applyNumberFormat="1" applyFont="1" applyFill="1" applyBorder="1" applyAlignment="1" applyProtection="1">
      <alignment horizontal="right"/>
    </xf>
    <xf numFmtId="4" fontId="32" fillId="24" borderId="0" xfId="2" applyNumberFormat="1" applyFont="1" applyFill="1" applyBorder="1" applyAlignment="1" applyProtection="1">
      <alignment horizontal="right"/>
    </xf>
    <xf numFmtId="4" fontId="25" fillId="24" borderId="0" xfId="0" applyNumberFormat="1" applyFont="1" applyFill="1" applyBorder="1" applyAlignment="1" applyProtection="1">
      <alignment vertical="top" wrapText="1"/>
      <protection locked="0"/>
    </xf>
    <xf numFmtId="4" fontId="25" fillId="24" borderId="0" xfId="2" applyNumberFormat="1" applyFont="1" applyFill="1" applyBorder="1" applyAlignment="1" applyProtection="1">
      <alignment horizontal="right"/>
    </xf>
    <xf numFmtId="0" fontId="25" fillId="25" borderId="0" xfId="0" applyFont="1" applyFill="1" applyAlignment="1">
      <alignment vertical="top"/>
    </xf>
    <xf numFmtId="0" fontId="25" fillId="25" borderId="0" xfId="0" applyFont="1" applyFill="1" applyAlignment="1">
      <alignment vertical="top" wrapText="1"/>
    </xf>
    <xf numFmtId="172" fontId="25" fillId="25" borderId="0" xfId="0" applyNumberFormat="1" applyFont="1" applyFill="1" applyAlignment="1">
      <alignment vertical="top" wrapText="1"/>
    </xf>
    <xf numFmtId="3" fontId="25" fillId="25" borderId="0" xfId="0" applyNumberFormat="1" applyFont="1" applyFill="1" applyAlignment="1">
      <alignment vertical="top" wrapText="1"/>
    </xf>
    <xf numFmtId="9" fontId="25" fillId="25" borderId="0" xfId="0" applyNumberFormat="1" applyFont="1" applyFill="1" applyAlignment="1">
      <alignment vertical="top" wrapText="1"/>
    </xf>
    <xf numFmtId="10" fontId="25" fillId="25" borderId="0" xfId="0" applyNumberFormat="1" applyFont="1" applyFill="1" applyAlignment="1">
      <alignment vertical="top" wrapText="1"/>
    </xf>
    <xf numFmtId="174" fontId="25" fillId="25" borderId="0" xfId="3" applyNumberFormat="1" applyFont="1" applyFill="1" applyAlignment="1">
      <alignment vertical="top" wrapText="1"/>
    </xf>
    <xf numFmtId="174" fontId="25" fillId="25" borderId="0" xfId="0" applyNumberFormat="1" applyFont="1" applyFill="1" applyAlignment="1">
      <alignment vertical="top" wrapText="1"/>
    </xf>
    <xf numFmtId="0" fontId="25" fillId="26" borderId="0" xfId="0" applyFont="1" applyFill="1" applyAlignment="1">
      <alignment vertical="top"/>
    </xf>
    <xf numFmtId="0" fontId="25" fillId="26" borderId="0" xfId="0" applyFont="1" applyFill="1" applyAlignment="1">
      <alignment vertical="top" wrapText="1"/>
    </xf>
    <xf numFmtId="172" fontId="25" fillId="26" borderId="0" xfId="0" applyNumberFormat="1" applyFont="1" applyFill="1" applyAlignment="1">
      <alignment vertical="top" wrapText="1"/>
    </xf>
    <xf numFmtId="3" fontId="25" fillId="26" borderId="0" xfId="0" applyNumberFormat="1" applyFont="1" applyFill="1" applyAlignment="1">
      <alignment vertical="top" wrapText="1"/>
    </xf>
    <xf numFmtId="9" fontId="25" fillId="26" borderId="0" xfId="0" applyNumberFormat="1" applyFont="1" applyFill="1" applyAlignment="1">
      <alignment vertical="top" wrapText="1"/>
    </xf>
    <xf numFmtId="10" fontId="25" fillId="26" borderId="0" xfId="0" applyNumberFormat="1" applyFont="1" applyFill="1" applyAlignment="1">
      <alignment vertical="top" wrapText="1"/>
    </xf>
    <xf numFmtId="174" fontId="25" fillId="26" borderId="0" xfId="3" applyNumberFormat="1" applyFont="1" applyFill="1" applyAlignment="1">
      <alignment vertical="top" wrapText="1"/>
    </xf>
    <xf numFmtId="174" fontId="25" fillId="26" borderId="0" xfId="0" applyNumberFormat="1" applyFont="1" applyFill="1" applyAlignment="1">
      <alignment vertical="top" wrapText="1"/>
    </xf>
    <xf numFmtId="3" fontId="25" fillId="17" borderId="7" xfId="0" applyNumberFormat="1" applyFont="1" applyFill="1" applyBorder="1" applyAlignment="1">
      <alignment horizontal="center"/>
    </xf>
    <xf numFmtId="3" fontId="25" fillId="12" borderId="8" xfId="2" applyNumberFormat="1" applyFont="1" applyFill="1" applyBorder="1" applyAlignment="1" applyProtection="1">
      <alignment horizontal="right"/>
    </xf>
    <xf numFmtId="0" fontId="2" fillId="0" borderId="0" xfId="0" applyFont="1" applyAlignment="1">
      <alignment vertical="top"/>
    </xf>
    <xf numFmtId="3" fontId="25" fillId="0" borderId="1" xfId="2" applyNumberFormat="1" applyFont="1" applyFill="1" applyAlignment="1" applyProtection="1">
      <alignment horizontal="center"/>
    </xf>
    <xf numFmtId="4" fontId="2" fillId="0" borderId="0" xfId="0" applyNumberFormat="1" applyFont="1" applyAlignment="1">
      <alignment vertical="top" wrapText="1"/>
    </xf>
    <xf numFmtId="172" fontId="25" fillId="0" borderId="0" xfId="0" applyNumberFormat="1" applyFont="1" applyBorder="1" applyAlignment="1" applyProtection="1">
      <alignment horizontal="center"/>
      <protection locked="0"/>
    </xf>
    <xf numFmtId="0" fontId="25" fillId="3" borderId="22" xfId="2" applyNumberFormat="1" applyFont="1" applyBorder="1" applyAlignment="1" applyProtection="1">
      <alignment horizontal="center"/>
    </xf>
    <xf numFmtId="3" fontId="32" fillId="20" borderId="8" xfId="2" applyNumberFormat="1" applyFont="1" applyFill="1" applyBorder="1" applyAlignment="1" applyProtection="1">
      <alignment horizontal="right"/>
    </xf>
    <xf numFmtId="3" fontId="32" fillId="3" borderId="8" xfId="2" applyNumberFormat="1" applyFont="1" applyBorder="1" applyAlignment="1" applyProtection="1">
      <alignment horizontal="right"/>
    </xf>
    <xf numFmtId="0" fontId="32" fillId="3" borderId="8" xfId="2" applyNumberFormat="1" applyFont="1" applyBorder="1" applyAlignment="1" applyProtection="1">
      <alignment horizontal="right"/>
    </xf>
    <xf numFmtId="3" fontId="44" fillId="8" borderId="8" xfId="0" applyNumberFormat="1" applyFont="1" applyFill="1" applyBorder="1" applyAlignment="1" applyProtection="1">
      <alignment horizontal="right"/>
      <protection locked="0"/>
    </xf>
    <xf numFmtId="175" fontId="32" fillId="8" borderId="8" xfId="3" applyNumberFormat="1" applyFont="1" applyFill="1" applyBorder="1" applyAlignment="1" applyProtection="1">
      <alignment horizontal="right" wrapText="1"/>
      <protection locked="0"/>
    </xf>
    <xf numFmtId="3" fontId="25" fillId="17" borderId="0" xfId="0" applyNumberFormat="1" applyFont="1" applyFill="1" applyAlignment="1">
      <alignment vertical="top" wrapText="1"/>
    </xf>
    <xf numFmtId="174" fontId="2" fillId="9" borderId="0" xfId="3" applyNumberFormat="1" applyFont="1" applyFill="1" applyAlignment="1">
      <alignment vertical="top" wrapText="1"/>
    </xf>
    <xf numFmtId="3" fontId="25" fillId="17" borderId="0" xfId="0" applyNumberFormat="1" applyFont="1" applyFill="1" applyAlignment="1">
      <alignment vertical="top"/>
    </xf>
    <xf numFmtId="164" fontId="25" fillId="0" borderId="0" xfId="0" applyNumberFormat="1" applyFont="1" applyAlignment="1">
      <alignment vertical="top"/>
    </xf>
    <xf numFmtId="166" fontId="32" fillId="25" borderId="8" xfId="0" applyNumberFormat="1" applyFont="1" applyFill="1" applyBorder="1" applyAlignment="1">
      <alignment horizontal="center" wrapText="1"/>
    </xf>
    <xf numFmtId="168" fontId="32" fillId="25" borderId="8" xfId="0" applyNumberFormat="1" applyFont="1" applyFill="1" applyBorder="1" applyAlignment="1">
      <alignment horizontal="center" wrapText="1"/>
    </xf>
    <xf numFmtId="166" fontId="32" fillId="25" borderId="8" xfId="0" applyNumberFormat="1" applyFont="1" applyFill="1" applyBorder="1" applyAlignment="1">
      <alignment horizontal="center"/>
    </xf>
    <xf numFmtId="168" fontId="32" fillId="25" borderId="8" xfId="0" applyNumberFormat="1" applyFont="1" applyFill="1" applyBorder="1" applyAlignment="1">
      <alignment horizontal="center"/>
    </xf>
    <xf numFmtId="174" fontId="25" fillId="9" borderId="7" xfId="3" applyNumberFormat="1" applyFont="1" applyFill="1" applyBorder="1" applyAlignment="1">
      <alignment horizontal="center" vertical="center"/>
    </xf>
    <xf numFmtId="0" fontId="25" fillId="0" borderId="7" xfId="0" applyFont="1" applyFill="1" applyBorder="1" applyAlignment="1" applyProtection="1">
      <alignment vertical="top" wrapText="1"/>
    </xf>
    <xf numFmtId="3" fontId="15" fillId="0" borderId="6" xfId="0" applyNumberFormat="1" applyFont="1" applyFill="1" applyBorder="1" applyAlignment="1" applyProtection="1">
      <alignment horizontal="center"/>
    </xf>
    <xf numFmtId="43" fontId="25" fillId="17" borderId="8" xfId="3" applyFont="1" applyFill="1" applyBorder="1" applyAlignment="1" applyProtection="1">
      <alignment vertical="top" wrapText="1"/>
    </xf>
    <xf numFmtId="10" fontId="25" fillId="18" borderId="20" xfId="17" applyNumberFormat="1" applyFont="1" applyFill="1" applyBorder="1" applyAlignment="1" applyProtection="1">
      <protection locked="0"/>
    </xf>
    <xf numFmtId="10" fontId="25" fillId="18" borderId="8" xfId="0" applyNumberFormat="1" applyFont="1" applyFill="1" applyBorder="1" applyAlignment="1" applyProtection="1">
      <alignment vertical="top" wrapText="1"/>
      <protection locked="0"/>
    </xf>
    <xf numFmtId="10" fontId="25" fillId="18" borderId="8" xfId="19" applyNumberFormat="1" applyFont="1" applyFill="1" applyBorder="1"/>
    <xf numFmtId="0" fontId="25" fillId="0" borderId="8" xfId="0" applyFont="1" applyFill="1" applyBorder="1" applyAlignment="1">
      <alignment wrapText="1"/>
    </xf>
    <xf numFmtId="0" fontId="25" fillId="0" borderId="0" xfId="0" applyFont="1" applyFill="1" applyBorder="1" applyAlignment="1">
      <alignment wrapText="1"/>
    </xf>
    <xf numFmtId="3" fontId="32" fillId="8" borderId="8" xfId="0" applyNumberFormat="1" applyFont="1" applyFill="1" applyBorder="1" applyAlignment="1" applyProtection="1">
      <alignment wrapText="1"/>
      <protection locked="0"/>
    </xf>
    <xf numFmtId="3" fontId="25" fillId="11" borderId="21" xfId="0" applyNumberFormat="1" applyFont="1" applyFill="1" applyBorder="1" applyAlignment="1" applyProtection="1">
      <alignment horizontal="right"/>
      <protection locked="0"/>
    </xf>
    <xf numFmtId="0" fontId="25" fillId="17" borderId="8" xfId="0" applyFont="1" applyFill="1" applyBorder="1" applyAlignment="1">
      <alignment horizontal="right" vertical="top" wrapText="1"/>
    </xf>
    <xf numFmtId="3" fontId="25" fillId="17" borderId="8" xfId="0" applyNumberFormat="1" applyFont="1" applyFill="1" applyBorder="1" applyAlignment="1">
      <alignment horizontal="right" vertical="top" wrapText="1"/>
    </xf>
    <xf numFmtId="3" fontId="25" fillId="27" borderId="8" xfId="17" applyNumberFormat="1" applyFont="1" applyFill="1" applyBorder="1" applyAlignment="1" applyProtection="1">
      <alignment horizontal="right"/>
      <protection locked="0"/>
    </xf>
    <xf numFmtId="0" fontId="25" fillId="27" borderId="8" xfId="0" applyFont="1" applyFill="1" applyBorder="1" applyAlignment="1" applyProtection="1">
      <alignment vertical="top" wrapText="1"/>
      <protection locked="0"/>
    </xf>
    <xf numFmtId="43" fontId="25" fillId="9" borderId="0" xfId="3" applyFont="1" applyFill="1"/>
    <xf numFmtId="4" fontId="25" fillId="9" borderId="0" xfId="14" applyNumberFormat="1" applyFont="1" applyFill="1" applyBorder="1"/>
    <xf numFmtId="10" fontId="25" fillId="9" borderId="0" xfId="20" applyNumberFormat="1" applyFont="1" applyFill="1" applyBorder="1" applyAlignment="1">
      <alignment horizontal="center"/>
    </xf>
    <xf numFmtId="10" fontId="25" fillId="9" borderId="0" xfId="14" applyNumberFormat="1" applyFont="1" applyFill="1" applyBorder="1" applyAlignment="1">
      <alignment horizontal="center"/>
    </xf>
    <xf numFmtId="4" fontId="25" fillId="9" borderId="0" xfId="2" applyNumberFormat="1" applyFont="1" applyFill="1" applyBorder="1" applyAlignment="1"/>
    <xf numFmtId="10" fontId="25" fillId="9" borderId="0" xfId="19" applyNumberFormat="1" applyFont="1" applyFill="1" applyBorder="1"/>
    <xf numFmtId="0" fontId="32" fillId="0" borderId="8" xfId="0" applyFont="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4" fontId="65" fillId="0" borderId="0" xfId="0" applyNumberFormat="1" applyFont="1" applyAlignment="1">
      <alignment vertical="top" wrapText="1"/>
    </xf>
    <xf numFmtId="43" fontId="25" fillId="12" borderId="8" xfId="0" applyNumberFormat="1" applyFont="1" applyFill="1" applyBorder="1" applyAlignment="1" applyProtection="1">
      <alignment vertical="top" wrapText="1"/>
      <protection locked="0"/>
    </xf>
    <xf numFmtId="9" fontId="32" fillId="3" borderId="16" xfId="2" applyNumberFormat="1" applyFont="1" applyBorder="1" applyAlignment="1" applyProtection="1"/>
    <xf numFmtId="9" fontId="32" fillId="3" borderId="20" xfId="2" applyNumberFormat="1" applyFont="1" applyBorder="1" applyAlignment="1" applyProtection="1"/>
    <xf numFmtId="176" fontId="25" fillId="0" borderId="0" xfId="0" applyNumberFormat="1" applyFont="1" applyBorder="1" applyAlignment="1" applyProtection="1">
      <alignment horizontal="right"/>
      <protection locked="0"/>
    </xf>
    <xf numFmtId="166" fontId="2" fillId="0" borderId="0" xfId="19" applyNumberFormat="1" applyFont="1" applyAlignment="1">
      <alignment vertical="top" wrapText="1"/>
    </xf>
    <xf numFmtId="0" fontId="30" fillId="0" borderId="0" xfId="0" applyFont="1" applyAlignment="1">
      <alignment vertical="top" wrapText="1"/>
    </xf>
    <xf numFmtId="4" fontId="30" fillId="0" borderId="0" xfId="0" applyNumberFormat="1" applyFont="1" applyAlignment="1">
      <alignment vertical="top" wrapText="1"/>
    </xf>
    <xf numFmtId="10" fontId="30" fillId="0" borderId="0" xfId="19" applyNumberFormat="1" applyFont="1" applyAlignment="1">
      <alignment vertical="top" wrapText="1"/>
    </xf>
    <xf numFmtId="43" fontId="33" fillId="0" borderId="0" xfId="0" applyNumberFormat="1" applyFont="1" applyAlignment="1">
      <alignment vertical="top" wrapText="1"/>
    </xf>
    <xf numFmtId="3" fontId="32" fillId="22" borderId="7" xfId="0" applyNumberFormat="1" applyFont="1" applyFill="1" applyBorder="1" applyAlignment="1" applyProtection="1">
      <protection locked="0"/>
    </xf>
    <xf numFmtId="3" fontId="32" fillId="11" borderId="31" xfId="2" applyNumberFormat="1" applyFont="1" applyFill="1" applyBorder="1" applyAlignment="1" applyProtection="1">
      <protection locked="0"/>
    </xf>
    <xf numFmtId="3" fontId="32" fillId="11" borderId="41" xfId="2" applyNumberFormat="1" applyFont="1" applyFill="1" applyBorder="1" applyAlignment="1" applyProtection="1">
      <protection locked="0"/>
    </xf>
    <xf numFmtId="0" fontId="38" fillId="0" borderId="0" xfId="0" applyFont="1" applyAlignment="1">
      <alignment horizontal="left" vertical="top" wrapText="1"/>
    </xf>
    <xf numFmtId="0" fontId="66" fillId="0" borderId="20" xfId="0" applyFont="1" applyBorder="1" applyAlignment="1" applyProtection="1">
      <alignment horizontal="center" vertical="top" wrapText="1"/>
      <protection locked="0"/>
    </xf>
    <xf numFmtId="0" fontId="66" fillId="0" borderId="17" xfId="0" applyFont="1" applyBorder="1" applyAlignment="1" applyProtection="1">
      <alignment horizontal="center" vertical="top" wrapText="1"/>
      <protection locked="0"/>
    </xf>
    <xf numFmtId="0" fontId="66" fillId="0" borderId="25" xfId="0" applyFont="1" applyBorder="1" applyAlignment="1" applyProtection="1">
      <alignment horizontal="center" vertical="top" wrapText="1"/>
      <protection locked="0"/>
    </xf>
    <xf numFmtId="0" fontId="33" fillId="17" borderId="0" xfId="0" applyFont="1" applyFill="1" applyBorder="1" applyAlignment="1">
      <alignment horizontal="left" vertical="top" wrapText="1"/>
    </xf>
    <xf numFmtId="3" fontId="53" fillId="0" borderId="0" xfId="0" applyNumberFormat="1" applyFont="1" applyAlignment="1">
      <alignment horizontal="left" vertical="top" wrapText="1"/>
    </xf>
  </cellXfs>
  <cellStyles count="41">
    <cellStyle name="Bad" xfId="1" builtinId="27" customBuiltin="1"/>
    <cellStyle name="Calculation" xfId="2" builtinId="22" customBuiltin="1"/>
    <cellStyle name="Comma" xfId="3" builtinId="3"/>
    <cellStyle name="Heading 1" xfId="4" builtinId="16" customBuiltin="1"/>
    <cellStyle name="Heading 2" xfId="5" builtinId="17" customBuiltin="1"/>
    <cellStyle name="Heading 3" xfId="6" builtinId="18" customBuiltin="1"/>
    <cellStyle name="Heading 4" xfId="7" builtinId="19" customBuiltin="1"/>
    <cellStyle name="Heading2" xfId="8"/>
    <cellStyle name="Heading3" xfId="9"/>
    <cellStyle name="Heading4" xfId="10"/>
    <cellStyle name="Heading5" xfId="11"/>
    <cellStyle name="Heading6" xfId="12"/>
    <cellStyle name="Neutral" xfId="13" builtinId="28" customBuiltin="1"/>
    <cellStyle name="Normal" xfId="0" builtinId="0"/>
    <cellStyle name="Normal 2" xfId="14"/>
    <cellStyle name="Normal 3" xfId="15"/>
    <cellStyle name="Normal 4" xfId="16"/>
    <cellStyle name="Note" xfId="17" builtinId="10" customBuiltin="1"/>
    <cellStyle name="Output" xfId="18" builtinId="21" customBuiltin="1"/>
    <cellStyle name="Percent" xfId="19" builtinId="5"/>
    <cellStyle name="Percent 2" xfId="20"/>
    <cellStyle name="Percent 4" xfId="21"/>
    <cellStyle name="TAB01" xfId="22"/>
    <cellStyle name="TAB01Centrs" xfId="23"/>
    <cellStyle name="TAB02" xfId="24"/>
    <cellStyle name="TAB03" xfId="25"/>
    <cellStyle name="TAB04" xfId="26"/>
    <cellStyle name="TAB041" xfId="27"/>
    <cellStyle name="TAB04Left" xfId="28"/>
    <cellStyle name="TAB04Plāns" xfId="29"/>
    <cellStyle name="TAB04Projekts" xfId="30"/>
    <cellStyle name="TAB04Vēsture" xfId="31"/>
    <cellStyle name="TAB05" xfId="32"/>
    <cellStyle name="TAB051" xfId="33"/>
    <cellStyle name="TAB05Vēsture" xfId="34"/>
    <cellStyle name="Table content" xfId="35"/>
    <cellStyle name="Tabulas" xfId="36"/>
    <cellStyle name="Tabulas virsraksts" xfId="37"/>
    <cellStyle name="Title" xfId="38" builtinId="15" customBuiltin="1"/>
    <cellStyle name="Total" xfId="39" builtinId="25" customBuiltin="1"/>
    <cellStyle name="Virsraksts" xfId="4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ūdensapgādes tarifs situācijā ar projektu; LVL/m3</a:t>
            </a:r>
          </a:p>
        </c:rich>
      </c:tx>
      <c:layout>
        <c:manualLayout>
          <c:xMode val="edge"/>
          <c:yMode val="edge"/>
          <c:x val="0.12735869283945139"/>
          <c:y val="3.5714352910187305E-2"/>
        </c:manualLayout>
      </c:layout>
      <c:overlay val="0"/>
      <c:spPr>
        <a:noFill/>
        <a:ln w="25400">
          <a:noFill/>
        </a:ln>
      </c:spPr>
    </c:title>
    <c:autoTitleDeleted val="0"/>
    <c:plotArea>
      <c:layout>
        <c:manualLayout>
          <c:layoutTarget val="inner"/>
          <c:xMode val="edge"/>
          <c:yMode val="edge"/>
          <c:x val="0.12264165066891153"/>
          <c:y val="0.21071465317147944"/>
          <c:w val="0.84434059498981406"/>
          <c:h val="0.61785822031637194"/>
        </c:manualLayout>
      </c:layout>
      <c:lineChart>
        <c:grouping val="standard"/>
        <c:varyColors val="0"/>
        <c:ser>
          <c:idx val="0"/>
          <c:order val="0"/>
          <c:spPr>
            <a:ln w="38100">
              <a:solidFill>
                <a:srgbClr val="000080"/>
              </a:solidFill>
              <a:prstDash val="solid"/>
            </a:ln>
          </c:spPr>
          <c:marker>
            <c:symbol val="none"/>
          </c:marker>
          <c:cat>
            <c:numRef>
              <c:f>'Datu ievade'!$B$390:$AH$390</c:f>
              <c:numCache>
                <c:formatCode>0</c:formatCode>
                <c:ptCount val="3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numCache>
            </c:numRef>
          </c:cat>
          <c:val>
            <c:numRef>
              <c:f>'Datu ievade'!$B$391:$AH$391</c:f>
              <c:numCache>
                <c:formatCode>0.000</c:formatCode>
                <c:ptCount val="33"/>
                <c:pt idx="0">
                  <c:v>0.2</c:v>
                </c:pt>
                <c:pt idx="1">
                  <c:v>0.19500000000000003</c:v>
                </c:pt>
                <c:pt idx="2">
                  <c:v>0.20899999999999996</c:v>
                </c:pt>
                <c:pt idx="3">
                  <c:v>0.22299999999999998</c:v>
                </c:pt>
                <c:pt idx="4">
                  <c:v>0.26600000000000001</c:v>
                </c:pt>
                <c:pt idx="5">
                  <c:v>0.27099999999999996</c:v>
                </c:pt>
                <c:pt idx="6">
                  <c:v>0.27600000000000002</c:v>
                </c:pt>
                <c:pt idx="7">
                  <c:v>0.28299999999999997</c:v>
                </c:pt>
                <c:pt idx="8">
                  <c:v>0.28799999999999998</c:v>
                </c:pt>
                <c:pt idx="9">
                  <c:v>0.29300000000000004</c:v>
                </c:pt>
                <c:pt idx="10">
                  <c:v>0.29699999999999999</c:v>
                </c:pt>
                <c:pt idx="11">
                  <c:v>0.30299999999999999</c:v>
                </c:pt>
                <c:pt idx="12">
                  <c:v>0.309</c:v>
                </c:pt>
                <c:pt idx="13">
                  <c:v>0.315</c:v>
                </c:pt>
                <c:pt idx="14">
                  <c:v>0.317</c:v>
                </c:pt>
                <c:pt idx="15">
                  <c:v>0.31899999999999995</c:v>
                </c:pt>
                <c:pt idx="16">
                  <c:v>0.32500000000000007</c:v>
                </c:pt>
                <c:pt idx="17">
                  <c:v>0.33200000000000002</c:v>
                </c:pt>
                <c:pt idx="18">
                  <c:v>0.33800000000000008</c:v>
                </c:pt>
                <c:pt idx="19">
                  <c:v>0.35</c:v>
                </c:pt>
                <c:pt idx="20">
                  <c:v>0.35600000000000004</c:v>
                </c:pt>
                <c:pt idx="21">
                  <c:v>0.36299999999999999</c:v>
                </c:pt>
                <c:pt idx="22">
                  <c:v>0.36899999999999994</c:v>
                </c:pt>
                <c:pt idx="23">
                  <c:v>0.37599999999999995</c:v>
                </c:pt>
                <c:pt idx="24">
                  <c:v>0.38300000000000001</c:v>
                </c:pt>
                <c:pt idx="25">
                  <c:v>0.38900000000000001</c:v>
                </c:pt>
                <c:pt idx="26">
                  <c:v>0.39599999999999996</c:v>
                </c:pt>
                <c:pt idx="27">
                  <c:v>0.40299999999999997</c:v>
                </c:pt>
                <c:pt idx="28">
                  <c:v>0.40899999999999997</c:v>
                </c:pt>
                <c:pt idx="29">
                  <c:v>0.41700000000000009</c:v>
                </c:pt>
                <c:pt idx="30">
                  <c:v>0.42599999999999993</c:v>
                </c:pt>
                <c:pt idx="31">
                  <c:v>0.42499999999999999</c:v>
                </c:pt>
                <c:pt idx="32">
                  <c:v>0.42499999999999999</c:v>
                </c:pt>
              </c:numCache>
            </c:numRef>
          </c:val>
          <c:smooth val="0"/>
        </c:ser>
        <c:dLbls>
          <c:showLegendKey val="0"/>
          <c:showVal val="0"/>
          <c:showCatName val="0"/>
          <c:showSerName val="0"/>
          <c:showPercent val="0"/>
          <c:showBubbleSize val="0"/>
        </c:dLbls>
        <c:smooth val="0"/>
        <c:axId val="200527480"/>
        <c:axId val="201772464"/>
      </c:lineChart>
      <c:catAx>
        <c:axId val="200527480"/>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lv-LV"/>
          </a:p>
        </c:txPr>
        <c:crossAx val="201772464"/>
        <c:crosses val="autoZero"/>
        <c:auto val="1"/>
        <c:lblAlgn val="ctr"/>
        <c:lblOffset val="100"/>
        <c:tickLblSkip val="2"/>
        <c:tickMarkSkip val="1"/>
        <c:noMultiLvlLbl val="0"/>
      </c:catAx>
      <c:valAx>
        <c:axId val="201772464"/>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lv-LV"/>
          </a:p>
        </c:txPr>
        <c:crossAx val="2005274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lv-LV"/>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kanalizācijas tarifs situācijā ar projektu; LVL/m3</a:t>
            </a:r>
          </a:p>
        </c:rich>
      </c:tx>
      <c:layout>
        <c:manualLayout>
          <c:xMode val="edge"/>
          <c:yMode val="edge"/>
          <c:x val="0.16428630070530284"/>
          <c:y val="3.952589259675874E-2"/>
        </c:manualLayout>
      </c:layout>
      <c:overlay val="0"/>
      <c:spPr>
        <a:noFill/>
        <a:ln w="25400">
          <a:noFill/>
        </a:ln>
      </c:spPr>
    </c:title>
    <c:autoTitleDeleted val="0"/>
    <c:plotArea>
      <c:layout>
        <c:manualLayout>
          <c:layoutTarget val="inner"/>
          <c:xMode val="edge"/>
          <c:yMode val="edge"/>
          <c:x val="0.12380981168576005"/>
          <c:y val="0.22134430070463174"/>
          <c:w val="0.83333527096184656"/>
          <c:h val="0.5652184821564703"/>
        </c:manualLayout>
      </c:layout>
      <c:lineChart>
        <c:grouping val="standard"/>
        <c:varyColors val="0"/>
        <c:ser>
          <c:idx val="0"/>
          <c:order val="0"/>
          <c:spPr>
            <a:ln w="38100">
              <a:solidFill>
                <a:srgbClr val="FF9900"/>
              </a:solidFill>
              <a:prstDash val="solid"/>
            </a:ln>
          </c:spPr>
          <c:marker>
            <c:symbol val="none"/>
          </c:marker>
          <c:cat>
            <c:numRef>
              <c:f>'Datu ievade'!$B$390:$AH$390</c:f>
              <c:numCache>
                <c:formatCode>0</c:formatCode>
                <c:ptCount val="3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numCache>
            </c:numRef>
          </c:cat>
          <c:val>
            <c:numRef>
              <c:f>'Datu ievade'!$B$398:$AH$398</c:f>
              <c:numCache>
                <c:formatCode>0.000</c:formatCode>
                <c:ptCount val="33"/>
                <c:pt idx="0">
                  <c:v>0.2</c:v>
                </c:pt>
                <c:pt idx="1">
                  <c:v>0.20900000000000002</c:v>
                </c:pt>
                <c:pt idx="2">
                  <c:v>0.23099999999999998</c:v>
                </c:pt>
                <c:pt idx="3">
                  <c:v>0.253</c:v>
                </c:pt>
                <c:pt idx="4">
                  <c:v>0.26300000000000001</c:v>
                </c:pt>
                <c:pt idx="5">
                  <c:v>0.26699999999999996</c:v>
                </c:pt>
                <c:pt idx="6">
                  <c:v>0.27500000000000002</c:v>
                </c:pt>
                <c:pt idx="7">
                  <c:v>0.28000000000000003</c:v>
                </c:pt>
                <c:pt idx="8">
                  <c:v>0.28699999999999992</c:v>
                </c:pt>
                <c:pt idx="9">
                  <c:v>0.29200000000000004</c:v>
                </c:pt>
                <c:pt idx="10">
                  <c:v>0.29599999999999999</c:v>
                </c:pt>
                <c:pt idx="11">
                  <c:v>0.30399999999999999</c:v>
                </c:pt>
                <c:pt idx="12">
                  <c:v>0.31</c:v>
                </c:pt>
                <c:pt idx="13">
                  <c:v>0.31500000000000006</c:v>
                </c:pt>
                <c:pt idx="14">
                  <c:v>0.308</c:v>
                </c:pt>
                <c:pt idx="15">
                  <c:v>0.31200000000000006</c:v>
                </c:pt>
                <c:pt idx="16">
                  <c:v>0.318</c:v>
                </c:pt>
                <c:pt idx="17">
                  <c:v>0.32500000000000001</c:v>
                </c:pt>
                <c:pt idx="18">
                  <c:v>0.33200000000000007</c:v>
                </c:pt>
                <c:pt idx="19">
                  <c:v>0.34699999999999998</c:v>
                </c:pt>
                <c:pt idx="20">
                  <c:v>0.35399999999999998</c:v>
                </c:pt>
                <c:pt idx="21">
                  <c:v>0.36</c:v>
                </c:pt>
                <c:pt idx="22">
                  <c:v>0.36699999999999999</c:v>
                </c:pt>
                <c:pt idx="23">
                  <c:v>0.373</c:v>
                </c:pt>
                <c:pt idx="24">
                  <c:v>0.38</c:v>
                </c:pt>
                <c:pt idx="25">
                  <c:v>0.38600000000000001</c:v>
                </c:pt>
                <c:pt idx="26">
                  <c:v>0.39299999999999996</c:v>
                </c:pt>
                <c:pt idx="27">
                  <c:v>0.39900000000000002</c:v>
                </c:pt>
                <c:pt idx="28">
                  <c:v>0.40500000000000003</c:v>
                </c:pt>
                <c:pt idx="29">
                  <c:v>0.41300000000000003</c:v>
                </c:pt>
                <c:pt idx="30">
                  <c:v>0.42100000000000004</c:v>
                </c:pt>
                <c:pt idx="31">
                  <c:v>0.42100000000000004</c:v>
                </c:pt>
                <c:pt idx="32">
                  <c:v>0.42199999999999999</c:v>
                </c:pt>
              </c:numCache>
            </c:numRef>
          </c:val>
          <c:smooth val="0"/>
        </c:ser>
        <c:dLbls>
          <c:showLegendKey val="0"/>
          <c:showVal val="0"/>
          <c:showCatName val="0"/>
          <c:showSerName val="0"/>
          <c:showPercent val="0"/>
          <c:showBubbleSize val="0"/>
        </c:dLbls>
        <c:smooth val="0"/>
        <c:axId val="201343328"/>
        <c:axId val="200110216"/>
      </c:lineChart>
      <c:catAx>
        <c:axId val="201343328"/>
        <c:scaling>
          <c:orientation val="minMax"/>
        </c:scaling>
        <c:delete val="0"/>
        <c:axPos val="b"/>
        <c:numFmt formatCode="0"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lv-LV"/>
          </a:p>
        </c:txPr>
        <c:crossAx val="200110216"/>
        <c:crosses val="autoZero"/>
        <c:auto val="1"/>
        <c:lblAlgn val="ctr"/>
        <c:lblOffset val="100"/>
        <c:tickLblSkip val="3"/>
        <c:tickMarkSkip val="1"/>
        <c:noMultiLvlLbl val="0"/>
      </c:catAx>
      <c:valAx>
        <c:axId val="200110216"/>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lv-LV"/>
          </a:p>
        </c:txPr>
        <c:crossAx val="201343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lv-LV"/>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35</xdr:col>
      <xdr:colOff>571500</xdr:colOff>
      <xdr:row>379</xdr:row>
      <xdr:rowOff>123825</xdr:rowOff>
    </xdr:from>
    <xdr:to>
      <xdr:col>42</xdr:col>
      <xdr:colOff>342900</xdr:colOff>
      <xdr:row>396</xdr:row>
      <xdr:rowOff>19050</xdr:rowOff>
    </xdr:to>
    <xdr:graphicFrame macro="">
      <xdr:nvGraphicFramePr>
        <xdr:cNvPr id="658378" name="Chart 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590550</xdr:colOff>
      <xdr:row>396</xdr:row>
      <xdr:rowOff>28575</xdr:rowOff>
    </xdr:from>
    <xdr:to>
      <xdr:col>42</xdr:col>
      <xdr:colOff>323850</xdr:colOff>
      <xdr:row>411</xdr:row>
      <xdr:rowOff>0</xdr:rowOff>
    </xdr:to>
    <xdr:graphicFrame macro="">
      <xdr:nvGraphicFramePr>
        <xdr:cNvPr id="658379" name="Chart 2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M504"/>
  <sheetViews>
    <sheetView tabSelected="1" topLeftCell="A33" zoomScaleNormal="100" zoomScaleSheetLayoutView="90" workbookViewId="0">
      <selection activeCell="G83" sqref="G83"/>
    </sheetView>
  </sheetViews>
  <sheetFormatPr defaultRowHeight="12.75" outlineLevelRow="1" x14ac:dyDescent="0.2"/>
  <cols>
    <col min="1" max="1" width="51" style="60" customWidth="1"/>
    <col min="2" max="7" width="15.140625" style="60" customWidth="1"/>
    <col min="8" max="8" width="14.5703125" style="60" customWidth="1"/>
    <col min="9" max="9" width="13.5703125" style="60" customWidth="1"/>
    <col min="10" max="10" width="13.7109375" style="60" customWidth="1"/>
    <col min="11" max="11" width="10.85546875" style="60" customWidth="1"/>
    <col min="12" max="12" width="9.85546875" style="60" customWidth="1"/>
    <col min="13" max="14" width="8.7109375" style="60" customWidth="1"/>
    <col min="15" max="32" width="9.28515625" style="60" bestFit="1" customWidth="1"/>
    <col min="33" max="34" width="11.5703125" style="60" bestFit="1" customWidth="1"/>
    <col min="35" max="37" width="9.28515625" style="60" bestFit="1" customWidth="1"/>
    <col min="38" max="16384" width="9.140625" style="60"/>
  </cols>
  <sheetData>
    <row r="1" spans="1:36" ht="20.25" x14ac:dyDescent="0.2">
      <c r="A1" s="59" t="s">
        <v>0</v>
      </c>
      <c r="D1" s="61"/>
      <c r="E1" s="62"/>
    </row>
    <row r="2" spans="1:36" ht="15" x14ac:dyDescent="0.2">
      <c r="A2" s="57" t="s">
        <v>470</v>
      </c>
    </row>
    <row r="3" spans="1:36" ht="15" x14ac:dyDescent="0.2">
      <c r="A3" s="57" t="s">
        <v>471</v>
      </c>
    </row>
    <row r="4" spans="1:36" ht="15" x14ac:dyDescent="0.2">
      <c r="A4" s="57" t="s">
        <v>499</v>
      </c>
    </row>
    <row r="5" spans="1:36" ht="15" x14ac:dyDescent="0.2">
      <c r="A5" s="57" t="s">
        <v>505</v>
      </c>
    </row>
    <row r="6" spans="1:36" s="71" customFormat="1" ht="12.75" customHeight="1" x14ac:dyDescent="0.2">
      <c r="A6" s="63" t="s">
        <v>1</v>
      </c>
      <c r="B6" s="64" t="s">
        <v>370</v>
      </c>
      <c r="C6" s="65"/>
      <c r="D6" s="65"/>
      <c r="E6" s="66"/>
      <c r="F6" s="66"/>
      <c r="G6" s="67"/>
      <c r="H6" s="68"/>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70"/>
    </row>
    <row r="7" spans="1:36" s="71" customFormat="1" ht="12.75" customHeight="1" x14ac:dyDescent="0.2">
      <c r="A7" s="63"/>
      <c r="B7" s="63"/>
      <c r="C7" s="63"/>
      <c r="D7" s="72"/>
      <c r="E7" s="72"/>
      <c r="F7" s="72"/>
      <c r="G7" s="72"/>
      <c r="H7" s="72"/>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70"/>
    </row>
    <row r="8" spans="1:36" s="71" customFormat="1" ht="12.75" customHeight="1" x14ac:dyDescent="0.2">
      <c r="A8" s="63" t="s">
        <v>2</v>
      </c>
      <c r="B8" s="64" t="s">
        <v>489</v>
      </c>
      <c r="C8" s="65"/>
      <c r="D8" s="65"/>
      <c r="E8" s="65"/>
      <c r="F8" s="65"/>
      <c r="G8" s="66"/>
      <c r="H8" s="66"/>
      <c r="I8" s="66"/>
      <c r="J8" s="66"/>
      <c r="K8" s="66"/>
      <c r="L8" s="66"/>
      <c r="M8" s="66"/>
      <c r="N8" s="73"/>
      <c r="O8" s="69"/>
      <c r="P8" s="69"/>
      <c r="Q8" s="69"/>
      <c r="R8" s="69"/>
      <c r="S8" s="69"/>
      <c r="T8" s="69"/>
      <c r="U8" s="69"/>
      <c r="V8" s="69"/>
      <c r="W8" s="69"/>
      <c r="X8" s="69"/>
      <c r="Y8" s="69"/>
      <c r="Z8" s="69"/>
      <c r="AA8" s="69"/>
      <c r="AB8" s="69"/>
      <c r="AC8" s="69"/>
      <c r="AD8" s="69"/>
      <c r="AE8" s="69"/>
      <c r="AF8" s="69"/>
      <c r="AG8" s="69"/>
      <c r="AH8" s="69"/>
      <c r="AI8" s="69"/>
      <c r="AJ8" s="70"/>
    </row>
    <row r="9" spans="1:36" s="71" customFormat="1" ht="12.75" customHeight="1" x14ac:dyDescent="0.2">
      <c r="A9" s="63"/>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1:36" s="71" customFormat="1" ht="22.5" x14ac:dyDescent="0.2">
      <c r="A10" s="74" t="s">
        <v>3</v>
      </c>
      <c r="B10" s="830" t="s">
        <v>486</v>
      </c>
      <c r="C10" s="830"/>
      <c r="D10" s="830"/>
      <c r="E10" s="75" t="s">
        <v>477</v>
      </c>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spans="1:36" s="71" customFormat="1" ht="63.75" hidden="1" outlineLevel="1" x14ac:dyDescent="0.2">
      <c r="B11" s="76" t="s">
        <v>486</v>
      </c>
      <c r="V11" s="70"/>
      <c r="W11" s="70"/>
      <c r="X11" s="70"/>
      <c r="Y11" s="70"/>
      <c r="Z11" s="70"/>
      <c r="AA11" s="70"/>
      <c r="AB11" s="70"/>
      <c r="AC11" s="70"/>
      <c r="AD11" s="70"/>
      <c r="AE11" s="70"/>
    </row>
    <row r="12" spans="1:36" s="71" customFormat="1" ht="25.5" hidden="1" outlineLevel="1" x14ac:dyDescent="0.2">
      <c r="B12" s="76" t="s">
        <v>487</v>
      </c>
    </row>
    <row r="13" spans="1:36" s="71" customFormat="1" collapsed="1" x14ac:dyDescent="0.2"/>
    <row r="14" spans="1:36" s="71" customFormat="1" hidden="1" x14ac:dyDescent="0.2"/>
    <row r="15" spans="1:36" s="71" customFormat="1" hidden="1" x14ac:dyDescent="0.2"/>
    <row r="16" spans="1:36" s="71" customFormat="1" hidden="1" x14ac:dyDescent="0.2"/>
    <row r="17" spans="1:31" s="71" customFormat="1" hidden="1" x14ac:dyDescent="0.2"/>
    <row r="18" spans="1:31" s="71" customFormat="1" hidden="1" x14ac:dyDescent="0.2"/>
    <row r="19" spans="1:31" s="71" customFormat="1" hidden="1" x14ac:dyDescent="0.2"/>
    <row r="20" spans="1:31" s="71" customFormat="1" hidden="1" x14ac:dyDescent="0.2"/>
    <row r="21" spans="1:31" s="71" customFormat="1" ht="18" x14ac:dyDescent="0.2">
      <c r="A21" s="77" t="s">
        <v>5</v>
      </c>
      <c r="B21" s="78"/>
      <c r="C21" s="78"/>
      <c r="D21" s="79"/>
    </row>
    <row r="22" spans="1:31" s="71" customFormat="1" x14ac:dyDescent="0.2">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row>
    <row r="23" spans="1:31" s="71" customFormat="1" ht="15" x14ac:dyDescent="0.2">
      <c r="A23" s="80" t="s">
        <v>6</v>
      </c>
      <c r="B23" s="81"/>
      <c r="C23" s="70"/>
      <c r="D23" s="70"/>
      <c r="E23" s="70"/>
      <c r="F23" s="70"/>
      <c r="G23" s="70"/>
      <c r="H23" s="70"/>
      <c r="I23" s="70"/>
      <c r="J23" s="70"/>
      <c r="K23" s="70"/>
      <c r="L23" s="70"/>
      <c r="M23" s="70"/>
      <c r="N23" s="70"/>
      <c r="O23" s="70"/>
      <c r="P23" s="70"/>
      <c r="Q23" s="70"/>
      <c r="R23" s="70"/>
      <c r="S23" s="70"/>
      <c r="T23" s="70"/>
      <c r="U23" s="70"/>
    </row>
    <row r="24" spans="1:31" s="71" customFormat="1" x14ac:dyDescent="0.2">
      <c r="A24" s="82" t="s">
        <v>7</v>
      </c>
      <c r="B24" s="83"/>
      <c r="C24" s="70"/>
      <c r="D24" s="70"/>
      <c r="E24" s="70"/>
      <c r="F24" s="70"/>
      <c r="G24" s="70"/>
      <c r="H24" s="70"/>
      <c r="I24" s="70"/>
      <c r="J24" s="70"/>
      <c r="K24" s="70"/>
      <c r="L24" s="70"/>
      <c r="M24" s="70"/>
      <c r="N24" s="70"/>
      <c r="O24" s="70"/>
      <c r="P24" s="70"/>
      <c r="Q24" s="70"/>
      <c r="R24" s="70"/>
      <c r="S24" s="70"/>
      <c r="T24" s="70"/>
      <c r="U24" s="70"/>
    </row>
    <row r="25" spans="1:31" s="71" customFormat="1" x14ac:dyDescent="0.2">
      <c r="A25" s="84" t="s">
        <v>8</v>
      </c>
      <c r="B25" s="85">
        <v>50</v>
      </c>
    </row>
    <row r="26" spans="1:31" s="71" customFormat="1" x14ac:dyDescent="0.2">
      <c r="A26" s="84" t="s">
        <v>9</v>
      </c>
      <c r="B26" s="85">
        <v>50</v>
      </c>
    </row>
    <row r="27" spans="1:31" s="71" customFormat="1" x14ac:dyDescent="0.2">
      <c r="A27" s="84" t="s">
        <v>10</v>
      </c>
      <c r="B27" s="85">
        <v>50</v>
      </c>
    </row>
    <row r="28" spans="1:31" s="71" customFormat="1" x14ac:dyDescent="0.2">
      <c r="A28" s="84" t="s">
        <v>11</v>
      </c>
      <c r="B28" s="85">
        <v>10</v>
      </c>
    </row>
    <row r="29" spans="1:31" s="71" customFormat="1" x14ac:dyDescent="0.2">
      <c r="A29" s="86" t="s">
        <v>12</v>
      </c>
      <c r="B29" s="85">
        <v>10</v>
      </c>
      <c r="E29" s="74" t="s">
        <v>515</v>
      </c>
    </row>
    <row r="30" spans="1:31" s="71" customFormat="1" x14ac:dyDescent="0.2">
      <c r="A30" s="87"/>
      <c r="B30" s="88"/>
      <c r="C30" s="70"/>
      <c r="E30" s="90"/>
      <c r="F30" s="720" t="s">
        <v>513</v>
      </c>
    </row>
    <row r="31" spans="1:31" s="71" customFormat="1" x14ac:dyDescent="0.2">
      <c r="A31" s="89" t="s">
        <v>13</v>
      </c>
      <c r="B31" s="90">
        <v>2016</v>
      </c>
      <c r="E31" s="721"/>
      <c r="F31" s="720" t="s">
        <v>514</v>
      </c>
    </row>
    <row r="32" spans="1:31" s="71" customFormat="1" x14ac:dyDescent="0.2">
      <c r="A32" s="86" t="s">
        <v>558</v>
      </c>
      <c r="B32" s="90">
        <v>2014</v>
      </c>
      <c r="C32" s="91"/>
      <c r="E32" s="722"/>
      <c r="F32" s="720" t="s">
        <v>514</v>
      </c>
    </row>
    <row r="33" spans="1:35" s="71" customFormat="1" ht="12.75" customHeight="1" x14ac:dyDescent="0.2">
      <c r="A33" s="86" t="s">
        <v>14</v>
      </c>
      <c r="B33" s="90">
        <v>2020</v>
      </c>
      <c r="C33" s="91"/>
      <c r="E33" s="811"/>
      <c r="F33" s="720" t="s">
        <v>572</v>
      </c>
      <c r="G33" s="720"/>
    </row>
    <row r="34" spans="1:35" s="71" customFormat="1" x14ac:dyDescent="0.2">
      <c r="A34" s="84" t="s">
        <v>15</v>
      </c>
      <c r="B34" s="722">
        <v>30</v>
      </c>
      <c r="C34" s="91"/>
    </row>
    <row r="35" spans="1:35" s="71" customFormat="1" ht="13.5" customHeight="1" x14ac:dyDescent="0.2">
      <c r="A35" s="86" t="s">
        <v>495</v>
      </c>
      <c r="B35" s="783">
        <f>B31+B34-1</f>
        <v>2045</v>
      </c>
      <c r="C35" s="91"/>
    </row>
    <row r="36" spans="1:35" s="71" customFormat="1" ht="13.5" customHeight="1" x14ac:dyDescent="0.2">
      <c r="A36" s="94" t="s">
        <v>16</v>
      </c>
      <c r="B36" s="93">
        <f>B25-B34</f>
        <v>20</v>
      </c>
    </row>
    <row r="37" spans="1:35" s="71" customFormat="1" ht="13.5" customHeight="1" x14ac:dyDescent="0.2"/>
    <row r="38" spans="1:35" s="71" customFormat="1" ht="15" x14ac:dyDescent="0.25">
      <c r="A38" s="95" t="s">
        <v>17</v>
      </c>
      <c r="B38" s="96"/>
      <c r="C38" s="70"/>
      <c r="D38" s="70"/>
      <c r="E38" s="70"/>
      <c r="F38" s="70"/>
      <c r="G38" s="70"/>
      <c r="H38" s="70"/>
      <c r="I38" s="70"/>
      <c r="J38" s="70"/>
      <c r="K38" s="70"/>
      <c r="L38" s="70"/>
      <c r="M38" s="70"/>
      <c r="N38" s="70"/>
      <c r="O38" s="70"/>
      <c r="P38" s="70"/>
      <c r="Q38" s="70"/>
      <c r="R38" s="70"/>
      <c r="S38" s="70"/>
      <c r="T38" s="70"/>
      <c r="U38" s="70"/>
    </row>
    <row r="39" spans="1:35" s="71" customFormat="1" x14ac:dyDescent="0.2">
      <c r="A39" s="84" t="s">
        <v>18</v>
      </c>
      <c r="B39" s="90">
        <v>2.5</v>
      </c>
      <c r="C39" s="714" t="s">
        <v>19</v>
      </c>
      <c r="F39" s="97"/>
    </row>
    <row r="40" spans="1:35" s="71" customFormat="1" x14ac:dyDescent="0.2">
      <c r="A40" s="84" t="s">
        <v>20</v>
      </c>
      <c r="B40" s="98">
        <v>79</v>
      </c>
      <c r="C40" s="714" t="s">
        <v>19</v>
      </c>
      <c r="F40" s="97"/>
      <c r="G40" s="99"/>
      <c r="H40" s="99"/>
    </row>
    <row r="41" spans="1:35" s="71" customFormat="1" x14ac:dyDescent="0.2">
      <c r="A41" s="84" t="s">
        <v>21</v>
      </c>
      <c r="B41" s="100">
        <v>2012</v>
      </c>
      <c r="C41" s="90">
        <v>2014</v>
      </c>
      <c r="D41" s="75"/>
      <c r="E41" s="75"/>
    </row>
    <row r="42" spans="1:35" s="71" customFormat="1" x14ac:dyDescent="0.2">
      <c r="A42" s="84" t="s">
        <v>417</v>
      </c>
      <c r="B42" s="101">
        <v>1</v>
      </c>
      <c r="C42" s="102">
        <f>(1+D440)</f>
        <v>1.022</v>
      </c>
      <c r="D42" s="714" t="s">
        <v>469</v>
      </c>
      <c r="E42" s="75"/>
    </row>
    <row r="43" spans="1:35" s="71" customFormat="1" x14ac:dyDescent="0.2">
      <c r="A43" s="84" t="s">
        <v>22</v>
      </c>
      <c r="B43" s="103">
        <f>ROUND(B40*B39,2)</f>
        <v>197.5</v>
      </c>
      <c r="C43" s="104">
        <f>B43*C42</f>
        <v>201.845</v>
      </c>
      <c r="D43" s="75"/>
      <c r="E43" s="75"/>
    </row>
    <row r="44" spans="1:35" s="71" customFormat="1" ht="32.25" customHeight="1" x14ac:dyDescent="0.2">
      <c r="A44" s="92" t="s">
        <v>23</v>
      </c>
      <c r="B44" s="105">
        <v>0.04</v>
      </c>
      <c r="D44" s="834" t="s">
        <v>573</v>
      </c>
      <c r="E44" s="835"/>
      <c r="F44" s="835"/>
      <c r="G44" s="836"/>
    </row>
    <row r="45" spans="1:35" s="71" customFormat="1" ht="25.5" x14ac:dyDescent="0.2">
      <c r="A45" s="106" t="str">
        <f>"Investīcijas ūdensapgādes pakalpojumiem bāzes gada ("&amp;'Datu ievade'!$B$32&amp;") cenās, bez PVN"</f>
        <v>Investīcijas ūdensapgādes pakalpojumiem bāzes gada (2014) cenās, bez PVN</v>
      </c>
      <c r="B45" s="107">
        <f>B53</f>
        <v>2014</v>
      </c>
      <c r="C45" s="107">
        <f>B45+1</f>
        <v>2015</v>
      </c>
      <c r="D45" s="107">
        <f>C45+1</f>
        <v>2016</v>
      </c>
      <c r="E45" s="108">
        <f>D45+1</f>
        <v>2017</v>
      </c>
      <c r="F45" s="109">
        <f>E45+1</f>
        <v>2018</v>
      </c>
      <c r="G45" s="109">
        <f>F45+1</f>
        <v>2019</v>
      </c>
      <c r="H45" s="75"/>
      <c r="I45" s="110"/>
      <c r="J45" s="110"/>
      <c r="K45" s="110"/>
      <c r="L45" s="110"/>
      <c r="O45" s="111"/>
      <c r="P45" s="112"/>
      <c r="Q45" s="112"/>
      <c r="R45" s="112"/>
      <c r="S45" s="112"/>
      <c r="T45" s="112"/>
      <c r="U45" s="112"/>
      <c r="V45" s="112"/>
      <c r="W45" s="112"/>
      <c r="X45" s="112"/>
      <c r="Y45" s="112"/>
      <c r="Z45" s="112"/>
      <c r="AA45" s="112"/>
      <c r="AB45" s="112"/>
      <c r="AC45" s="112"/>
      <c r="AD45" s="112"/>
      <c r="AE45" s="112"/>
      <c r="AF45" s="112"/>
      <c r="AG45" s="112"/>
      <c r="AH45" s="112"/>
      <c r="AI45" s="112"/>
    </row>
    <row r="46" spans="1:35" s="71" customFormat="1" x14ac:dyDescent="0.2">
      <c r="A46" s="113" t="s">
        <v>10</v>
      </c>
      <c r="B46" s="810"/>
      <c r="C46" s="810"/>
      <c r="D46" s="114">
        <v>100000</v>
      </c>
      <c r="E46" s="114">
        <v>200000</v>
      </c>
      <c r="F46" s="115"/>
      <c r="G46" s="116"/>
      <c r="H46" s="78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row>
    <row r="47" spans="1:35" s="71" customFormat="1" x14ac:dyDescent="0.2">
      <c r="A47" s="113" t="s">
        <v>11</v>
      </c>
      <c r="B47" s="810"/>
      <c r="C47" s="810"/>
      <c r="D47" s="114">
        <v>50000</v>
      </c>
      <c r="E47" s="115">
        <v>100000</v>
      </c>
      <c r="F47" s="115"/>
      <c r="G47" s="117"/>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s="71" customFormat="1" x14ac:dyDescent="0.2">
      <c r="A48" s="113" t="s">
        <v>39</v>
      </c>
      <c r="B48" s="810"/>
      <c r="C48" s="810"/>
      <c r="D48" s="114">
        <f>0.03*SUM(D46:D47)</f>
        <v>4500</v>
      </c>
      <c r="E48" s="114">
        <f>0.03*SUM(E46:E47)</f>
        <v>9000</v>
      </c>
      <c r="F48" s="114"/>
      <c r="G48" s="114"/>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row>
    <row r="49" spans="1:35" s="71" customFormat="1" x14ac:dyDescent="0.2">
      <c r="A49" s="113" t="s">
        <v>40</v>
      </c>
      <c r="B49" s="810"/>
      <c r="C49" s="810"/>
      <c r="D49" s="114">
        <f>0.005*SUM(D46:D47)</f>
        <v>750</v>
      </c>
      <c r="E49" s="114">
        <f>0.005*SUM(E46:E47)</f>
        <v>1500</v>
      </c>
      <c r="F49" s="114"/>
      <c r="G49" s="114"/>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row>
    <row r="50" spans="1:35" s="71" customFormat="1" x14ac:dyDescent="0.2">
      <c r="A50" s="113" t="s">
        <v>386</v>
      </c>
      <c r="B50" s="810"/>
      <c r="C50" s="810"/>
      <c r="D50" s="114">
        <f>SUM(D46:F47)*0.04</f>
        <v>18000</v>
      </c>
      <c r="E50" s="114"/>
      <c r="F50" s="114"/>
      <c r="G50" s="114"/>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row>
    <row r="51" spans="1:35" s="71" customFormat="1" x14ac:dyDescent="0.2">
      <c r="A51" s="92"/>
      <c r="B51" s="810"/>
      <c r="C51" s="810"/>
      <c r="D51" s="114"/>
      <c r="E51" s="114"/>
      <c r="F51" s="114"/>
      <c r="G51" s="114"/>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row>
    <row r="52" spans="1:35" s="71" customFormat="1" x14ac:dyDescent="0.2">
      <c r="A52" s="118" t="s">
        <v>496</v>
      </c>
      <c r="B52" s="119">
        <f t="shared" ref="B52:G52" si="0">SUM(B46:B51)*B448</f>
        <v>0</v>
      </c>
      <c r="C52" s="119">
        <f t="shared" si="0"/>
        <v>0</v>
      </c>
      <c r="D52" s="119">
        <f t="shared" si="0"/>
        <v>36382.5</v>
      </c>
      <c r="E52" s="119">
        <f t="shared" si="0"/>
        <v>65205</v>
      </c>
      <c r="F52" s="119">
        <f t="shared" si="0"/>
        <v>0</v>
      </c>
      <c r="G52" s="119">
        <f t="shared" si="0"/>
        <v>0</v>
      </c>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row>
    <row r="53" spans="1:35" s="71" customFormat="1" ht="25.5" x14ac:dyDescent="0.2">
      <c r="A53" s="120" t="str">
        <f>"Investīcijas kanalizācijas pakalpojumiem bāzes gada ("&amp;'Datu ievade'!$B$32&amp;") cenās, bez PVN"</f>
        <v>Investīcijas kanalizācijas pakalpojumiem bāzes gada (2014) cenās, bez PVN</v>
      </c>
      <c r="B53" s="109">
        <f>B32</f>
        <v>2014</v>
      </c>
      <c r="C53" s="109">
        <f>B53+1</f>
        <v>2015</v>
      </c>
      <c r="D53" s="109">
        <f>C53+1</f>
        <v>2016</v>
      </c>
      <c r="E53" s="121">
        <f>D53+1</f>
        <v>2017</v>
      </c>
      <c r="F53" s="109">
        <f>E53+1</f>
        <v>2018</v>
      </c>
      <c r="G53" s="109">
        <f>F53+1</f>
        <v>2019</v>
      </c>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row>
    <row r="54" spans="1:35" s="71" customFormat="1" x14ac:dyDescent="0.2">
      <c r="A54" s="113" t="s">
        <v>10</v>
      </c>
      <c r="B54" s="810"/>
      <c r="C54" s="810"/>
      <c r="D54" s="114">
        <f>165000</f>
        <v>165000</v>
      </c>
      <c r="E54" s="114">
        <v>390000</v>
      </c>
      <c r="F54" s="114"/>
      <c r="G54" s="12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row>
    <row r="55" spans="1:35" s="71" customFormat="1" x14ac:dyDescent="0.2">
      <c r="A55" s="113" t="s">
        <v>11</v>
      </c>
      <c r="B55" s="810"/>
      <c r="C55" s="810"/>
      <c r="D55" s="114">
        <f>75000+42500</f>
        <v>117500</v>
      </c>
      <c r="E55" s="115">
        <f>220000</f>
        <v>220000</v>
      </c>
      <c r="F55" s="123"/>
      <c r="G55" s="12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row>
    <row r="56" spans="1:35" s="71" customFormat="1" x14ac:dyDescent="0.2">
      <c r="A56" s="113" t="s">
        <v>39</v>
      </c>
      <c r="B56" s="810"/>
      <c r="C56" s="810"/>
      <c r="D56" s="114">
        <f>0.03*SUM(D54:D55)</f>
        <v>8475</v>
      </c>
      <c r="E56" s="114">
        <f>0.03*SUM(E54:E55)</f>
        <v>18300</v>
      </c>
      <c r="F56" s="115"/>
      <c r="G56" s="115"/>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row>
    <row r="57" spans="1:35" s="71" customFormat="1" x14ac:dyDescent="0.2">
      <c r="A57" s="113" t="s">
        <v>40</v>
      </c>
      <c r="B57" s="810"/>
      <c r="C57" s="810"/>
      <c r="D57" s="114">
        <f>0.005*SUM(D54:D55)</f>
        <v>1412.5</v>
      </c>
      <c r="E57" s="114">
        <f>0.005*SUM(E54:E55)</f>
        <v>3050</v>
      </c>
      <c r="F57" s="115"/>
      <c r="G57" s="115"/>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row>
    <row r="58" spans="1:35" s="71" customFormat="1" x14ac:dyDescent="0.2">
      <c r="A58" s="113" t="s">
        <v>386</v>
      </c>
      <c r="B58" s="810"/>
      <c r="C58" s="810"/>
      <c r="D58" s="114">
        <f>SUM(D54:F55)*0.04</f>
        <v>35700</v>
      </c>
      <c r="E58" s="114">
        <f>SUM(E54:G55)*0.04</f>
        <v>24400</v>
      </c>
      <c r="F58" s="115"/>
      <c r="G58" s="115"/>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row>
    <row r="59" spans="1:35" s="71" customFormat="1" x14ac:dyDescent="0.2">
      <c r="A59" s="92"/>
      <c r="B59" s="810"/>
      <c r="C59" s="810"/>
      <c r="D59" s="114"/>
      <c r="E59" s="114"/>
      <c r="F59" s="115"/>
      <c r="G59" s="115"/>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row>
    <row r="60" spans="1:35" s="71" customFormat="1" x14ac:dyDescent="0.2">
      <c r="A60" s="124" t="s">
        <v>41</v>
      </c>
      <c r="B60" s="119">
        <f t="shared" ref="B60:G60" si="1">SUM(B54:B59)*B448</f>
        <v>0</v>
      </c>
      <c r="C60" s="119">
        <f t="shared" si="1"/>
        <v>0</v>
      </c>
      <c r="D60" s="119">
        <f t="shared" si="1"/>
        <v>68898.375</v>
      </c>
      <c r="E60" s="119">
        <f t="shared" si="1"/>
        <v>137707.5</v>
      </c>
      <c r="F60" s="119">
        <f t="shared" si="1"/>
        <v>0</v>
      </c>
      <c r="G60" s="119">
        <f t="shared" si="1"/>
        <v>0</v>
      </c>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row>
    <row r="61" spans="1:35" s="71" customFormat="1" x14ac:dyDescent="0.2">
      <c r="A61" s="70"/>
      <c r="B61" s="125"/>
      <c r="C61" s="126"/>
      <c r="D61" s="126"/>
      <c r="E61" s="126"/>
      <c r="F61" s="127"/>
      <c r="G61" s="128"/>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row>
    <row r="62" spans="1:35" s="71" customFormat="1" ht="25.5" x14ac:dyDescent="0.2">
      <c r="A62" s="129" t="s">
        <v>277</v>
      </c>
      <c r="B62" s="130">
        <f>B32</f>
        <v>2014</v>
      </c>
      <c r="C62" s="130">
        <f>B62+1</f>
        <v>2015</v>
      </c>
      <c r="D62" s="130">
        <f>C62+1</f>
        <v>2016</v>
      </c>
      <c r="E62" s="131">
        <f>D62+1</f>
        <v>2017</v>
      </c>
      <c r="F62" s="130">
        <f>E62+1</f>
        <v>2018</v>
      </c>
      <c r="G62" s="130">
        <f>F62+1</f>
        <v>2019</v>
      </c>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row>
    <row r="63" spans="1:35" s="71" customFormat="1" x14ac:dyDescent="0.2">
      <c r="A63" s="132" t="str">
        <f>A46</f>
        <v>Ēkas un būves</v>
      </c>
      <c r="B63" s="133">
        <f>ROUND((B46*HLOOKUP(B$62,'Datu ievade'!$B$436:$Z$443,8)),0)</f>
        <v>0</v>
      </c>
      <c r="C63" s="133">
        <f>ROUND((C46*HLOOKUP(C$62,'Datu ievade'!$B$436:$Z$443,8)),0)</f>
        <v>0</v>
      </c>
      <c r="D63" s="133">
        <f>ROUND((D46*HLOOKUP(D$62,'Datu ievade'!$B$436:$Z$443,8)),0)</f>
        <v>109000</v>
      </c>
      <c r="E63" s="133">
        <f>ROUND((E46*HLOOKUP(E$62,'Datu ievade'!$B$436:$Z$443,8)),0)</f>
        <v>224000</v>
      </c>
      <c r="F63" s="133">
        <f>ROUND((F46*HLOOKUP(F$62,'Datu ievade'!$B$436:$Z$443,8)),0)</f>
        <v>0</v>
      </c>
      <c r="G63" s="133">
        <f>ROUND((G46*HLOOKUP(G$62,'Datu ievade'!$B$436:$Z$443,8)),0)</f>
        <v>0</v>
      </c>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row>
    <row r="64" spans="1:35" s="71" customFormat="1" x14ac:dyDescent="0.2">
      <c r="A64" s="92" t="str">
        <f>A47</f>
        <v>Iekārtas un mašīnas</v>
      </c>
      <c r="B64" s="133">
        <f>ROUND((B47*HLOOKUP(B$62,'Datu ievade'!$B$436:$Z$443,8)),0)</f>
        <v>0</v>
      </c>
      <c r="C64" s="133">
        <f>ROUND((C47*HLOOKUP(C$62,'Datu ievade'!$B$436:$Z$443,8)),0)</f>
        <v>0</v>
      </c>
      <c r="D64" s="133">
        <f>ROUND((D47*HLOOKUP(D$62,'Datu ievade'!$B$436:$Z$443,8)),0)</f>
        <v>54500</v>
      </c>
      <c r="E64" s="133">
        <f>ROUND((E47*HLOOKUP(E$62,'Datu ievade'!$B$436:$Z$443,8)),0)</f>
        <v>112000</v>
      </c>
      <c r="F64" s="133">
        <f>ROUND((F47*HLOOKUP(F$62,'Datu ievade'!$B$436:$Z$443,8)),0)</f>
        <v>0</v>
      </c>
      <c r="G64" s="133">
        <f>ROUND((G47*HLOOKUP(G$62,'Datu ievade'!$B$436:$Z$443,8)),0)</f>
        <v>0</v>
      </c>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row>
    <row r="65" spans="1:35" s="71" customFormat="1" x14ac:dyDescent="0.2">
      <c r="A65" s="92" t="str">
        <f>A48</f>
        <v>Būvuzraudzība</v>
      </c>
      <c r="B65" s="133">
        <f>ROUND((B48*HLOOKUP(B$62,'Datu ievade'!$B$436:$Z$443,8)),0)</f>
        <v>0</v>
      </c>
      <c r="C65" s="133">
        <f>ROUND((C48*HLOOKUP(C$62,'Datu ievade'!$B$436:$Z$443,8)),0)</f>
        <v>0</v>
      </c>
      <c r="D65" s="133">
        <f>ROUND((D48*HLOOKUP(D$62,'Datu ievade'!$B$436:$Z$443,8)),0)</f>
        <v>4905</v>
      </c>
      <c r="E65" s="133">
        <f>ROUND((E48*HLOOKUP(E$62,'Datu ievade'!$B$436:$Z$443,8)),0)</f>
        <v>10080</v>
      </c>
      <c r="F65" s="133">
        <f>ROUND((F48*HLOOKUP(F$62,'Datu ievade'!$B$436:$Z$443,8)),0)</f>
        <v>0</v>
      </c>
      <c r="G65" s="133">
        <f>ROUND((G48*HLOOKUP(G$62,'Datu ievade'!$B$436:$Z$443,8)),0)</f>
        <v>0</v>
      </c>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row>
    <row r="66" spans="1:35" s="71" customFormat="1" x14ac:dyDescent="0.2">
      <c r="A66" s="92" t="str">
        <f>A49</f>
        <v>Autoruzraudzība</v>
      </c>
      <c r="B66" s="133">
        <f>ROUND((B49*HLOOKUP(B$62,'Datu ievade'!$B$436:$Z$443,8)),0)</f>
        <v>0</v>
      </c>
      <c r="C66" s="133">
        <f>ROUND((C49*HLOOKUP(C$62,'Datu ievade'!$B$436:$Z$443,8)),0)</f>
        <v>0</v>
      </c>
      <c r="D66" s="133">
        <f>ROUND((D49*HLOOKUP(D$62,'Datu ievade'!$B$436:$Z$443,8)),0)</f>
        <v>818</v>
      </c>
      <c r="E66" s="133">
        <f>ROUND((E49*HLOOKUP(E$62,'Datu ievade'!$B$436:$Z$443,8)),0)</f>
        <v>1680</v>
      </c>
      <c r="F66" s="133">
        <f>ROUND((F49*HLOOKUP(F$62,'Datu ievade'!$B$436:$Z$443,8)),0)</f>
        <v>0</v>
      </c>
      <c r="G66" s="133">
        <f>ROUND((G49*HLOOKUP(G$62,'Datu ievade'!$B$436:$Z$443,8)),0)</f>
        <v>0</v>
      </c>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row>
    <row r="67" spans="1:35" s="71" customFormat="1" x14ac:dyDescent="0.2">
      <c r="A67" s="92" t="s">
        <v>497</v>
      </c>
      <c r="B67" s="133">
        <f>ROUND((B50*HLOOKUP(B$62,'Datu ievade'!$B$436:$Z$443,8)),0)</f>
        <v>0</v>
      </c>
      <c r="C67" s="133">
        <f>ROUND((C50*HLOOKUP(C$62,'Datu ievade'!$B$436:$Z$443,8)),0)</f>
        <v>0</v>
      </c>
      <c r="D67" s="133">
        <f>ROUND((D50*HLOOKUP(D$62,'Datu ievade'!$B$436:$Z$443,8)),0)</f>
        <v>19620</v>
      </c>
      <c r="E67" s="133">
        <f>ROUND((E50*HLOOKUP(E$62,'Datu ievade'!$B$436:$Z$443,8)),0)</f>
        <v>0</v>
      </c>
      <c r="F67" s="133">
        <f>ROUND((F50*HLOOKUP(F$62,'Datu ievade'!$B$436:$Z$443,8)),0)</f>
        <v>0</v>
      </c>
      <c r="G67" s="133">
        <f>ROUND((G50*HLOOKUP(G$62,'Datu ievade'!$B$436:$Z$443,8)),0)</f>
        <v>0</v>
      </c>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row>
    <row r="68" spans="1:35" s="71" customFormat="1" x14ac:dyDescent="0.2">
      <c r="A68" s="92"/>
      <c r="B68" s="133">
        <f>ROUND((B51*HLOOKUP(B$62,'Datu ievade'!$B$436:$Z$443,8)),0)</f>
        <v>0</v>
      </c>
      <c r="C68" s="133">
        <f>ROUND((C51*HLOOKUP(C$62,'Datu ievade'!$B$436:$Z$443,8)),0)</f>
        <v>0</v>
      </c>
      <c r="D68" s="133">
        <f>ROUND((D51*HLOOKUP(D$62,'Datu ievade'!$B$436:$Z$443,8)),0)</f>
        <v>0</v>
      </c>
      <c r="E68" s="133">
        <f>ROUND((E51*HLOOKUP(E$62,'Datu ievade'!$B$436:$Z$443,8)),0)</f>
        <v>0</v>
      </c>
      <c r="F68" s="133">
        <f>ROUND((F51*HLOOKUP(F$62,'Datu ievade'!$B$436:$Z$443,8)),0)</f>
        <v>0</v>
      </c>
      <c r="G68" s="133">
        <f>ROUND((G51*HLOOKUP(G$62,'Datu ievade'!$B$436:$Z$443,8)),0)</f>
        <v>0</v>
      </c>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row>
    <row r="69" spans="1:35" s="71" customFormat="1" x14ac:dyDescent="0.2">
      <c r="A69" s="92" t="str">
        <f>A52</f>
        <v>Pievienotās vērtības nodoklis (PVN)</v>
      </c>
      <c r="B69" s="134">
        <f t="shared" ref="B69:G69" si="2">SUM(B63:B68)*B448</f>
        <v>0</v>
      </c>
      <c r="C69" s="134">
        <f t="shared" si="2"/>
        <v>0</v>
      </c>
      <c r="D69" s="134">
        <f t="shared" si="2"/>
        <v>39657.03</v>
      </c>
      <c r="E69" s="134">
        <f t="shared" si="2"/>
        <v>73029.599999999991</v>
      </c>
      <c r="F69" s="134">
        <f t="shared" si="2"/>
        <v>0</v>
      </c>
      <c r="G69" s="134">
        <f t="shared" si="2"/>
        <v>0</v>
      </c>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row>
    <row r="70" spans="1:35" s="71" customFormat="1" ht="25.5" x14ac:dyDescent="0.2">
      <c r="A70" s="135" t="s">
        <v>278</v>
      </c>
      <c r="B70" s="136">
        <f>B62</f>
        <v>2014</v>
      </c>
      <c r="C70" s="137">
        <f>B70+1</f>
        <v>2015</v>
      </c>
      <c r="D70" s="137">
        <f>C70+1</f>
        <v>2016</v>
      </c>
      <c r="E70" s="138">
        <f>D70+1</f>
        <v>2017</v>
      </c>
      <c r="F70" s="139">
        <f>E70+1</f>
        <v>2018</v>
      </c>
      <c r="G70" s="139">
        <f>F70+1</f>
        <v>2019</v>
      </c>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row>
    <row r="71" spans="1:35" s="71" customFormat="1" x14ac:dyDescent="0.2">
      <c r="A71" s="84" t="str">
        <f>A54</f>
        <v>Ēkas un būves</v>
      </c>
      <c r="B71" s="134">
        <f>ROUND((B54*HLOOKUP(B$62,'Datu ievade'!$B$436:$Z$443,8)),0)</f>
        <v>0</v>
      </c>
      <c r="C71" s="134">
        <f>ROUND((C54*HLOOKUP(C$62,'Datu ievade'!$B$436:$Z$443,8)),0)</f>
        <v>0</v>
      </c>
      <c r="D71" s="134">
        <f>ROUND((D54*HLOOKUP(D$62,'Datu ievade'!$B$436:$Z$443,8)),0)</f>
        <v>179850</v>
      </c>
      <c r="E71" s="134">
        <f>ROUND((E54*HLOOKUP(E$62,'Datu ievade'!$B$436:$Z$443,8)),0)</f>
        <v>436800</v>
      </c>
      <c r="F71" s="134">
        <f>ROUND((F54*HLOOKUP(F$62,'Datu ievade'!$B$436:$Z$443,8)),0)</f>
        <v>0</v>
      </c>
      <c r="G71" s="134">
        <f>ROUND((G54*HLOOKUP(G$62,'Datu ievade'!$B$436:$Z$443,8)),0)</f>
        <v>0</v>
      </c>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row>
    <row r="72" spans="1:35" s="71" customFormat="1" x14ac:dyDescent="0.2">
      <c r="A72" s="84" t="str">
        <f>A55</f>
        <v>Iekārtas un mašīnas</v>
      </c>
      <c r="B72" s="134">
        <f>ROUND((B55*HLOOKUP(B$62,'Datu ievade'!$B$436:$Z$443,8)),0)</f>
        <v>0</v>
      </c>
      <c r="C72" s="134">
        <f>ROUND((C55*HLOOKUP(C$62,'Datu ievade'!$B$436:$Z$443,8)),0)</f>
        <v>0</v>
      </c>
      <c r="D72" s="134">
        <f>ROUND((D55*HLOOKUP(D$62,'Datu ievade'!$B$436:$Z$443,8)),0)</f>
        <v>128075</v>
      </c>
      <c r="E72" s="134">
        <f>ROUND((E55*HLOOKUP(E$62,'Datu ievade'!$B$436:$Z$443,8)),0)</f>
        <v>246400</v>
      </c>
      <c r="F72" s="134">
        <f>ROUND((F55*HLOOKUP(F$62,'Datu ievade'!$B$436:$Z$443,8)),0)</f>
        <v>0</v>
      </c>
      <c r="G72" s="134">
        <f>ROUND((G55*HLOOKUP(G$62,'Datu ievade'!$B$436:$Z$443,8)),0)</f>
        <v>0</v>
      </c>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row>
    <row r="73" spans="1:35" s="71" customFormat="1" x14ac:dyDescent="0.2">
      <c r="A73" s="84" t="str">
        <f>A56</f>
        <v>Būvuzraudzība</v>
      </c>
      <c r="B73" s="134">
        <f>ROUND((B56*HLOOKUP(B$62,'Datu ievade'!$B$436:$Z$443,8)),0)</f>
        <v>0</v>
      </c>
      <c r="C73" s="134">
        <f>ROUND((C56*HLOOKUP(C$62,'Datu ievade'!$B$436:$Z$443,8)),0)</f>
        <v>0</v>
      </c>
      <c r="D73" s="134">
        <f>ROUND((D56*HLOOKUP(D$62,'Datu ievade'!$B$436:$Z$443,8)),0)</f>
        <v>9238</v>
      </c>
      <c r="E73" s="134">
        <f>ROUND((E56*HLOOKUP(E$62,'Datu ievade'!$B$436:$Z$443,8)),0)</f>
        <v>20496</v>
      </c>
      <c r="F73" s="134">
        <f>ROUND((F56*HLOOKUP(F$62,'Datu ievade'!$B$436:$Z$443,8)),0)</f>
        <v>0</v>
      </c>
      <c r="G73" s="134">
        <f>ROUND((G56*HLOOKUP(G$62,'Datu ievade'!$B$436:$Z$443,8)),0)</f>
        <v>0</v>
      </c>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row>
    <row r="74" spans="1:35" x14ac:dyDescent="0.2">
      <c r="A74" s="84" t="str">
        <f>A57</f>
        <v>Autoruzraudzība</v>
      </c>
      <c r="B74" s="134">
        <f>ROUND((B57*HLOOKUP(B$62,'Datu ievade'!$B$436:$Z$443,8)),0)</f>
        <v>0</v>
      </c>
      <c r="C74" s="134">
        <f>ROUND((C57*HLOOKUP(C$62,'Datu ievade'!$B$436:$Z$443,8)),0)</f>
        <v>0</v>
      </c>
      <c r="D74" s="134">
        <f>ROUND((D57*HLOOKUP(D$62,'Datu ievade'!$B$436:$Z$443,8)),0)</f>
        <v>1540</v>
      </c>
      <c r="E74" s="134">
        <f>ROUND((E57*HLOOKUP(E$62,'Datu ievade'!$B$436:$Z$443,8)),0)</f>
        <v>3416</v>
      </c>
      <c r="F74" s="134">
        <f>ROUND((F57*HLOOKUP(F$62,'Datu ievade'!$B$436:$Z$443,8)),0)</f>
        <v>0</v>
      </c>
      <c r="G74" s="134">
        <f>ROUND((G57*HLOOKUP(G$62,'Datu ievade'!$B$436:$Z$443,8)),0)</f>
        <v>0</v>
      </c>
      <c r="H74" s="112"/>
      <c r="AI74" s="140"/>
    </row>
    <row r="75" spans="1:35" x14ac:dyDescent="0.2">
      <c r="A75" s="84" t="s">
        <v>497</v>
      </c>
      <c r="B75" s="134">
        <f>ROUND((B58*HLOOKUP(B$62,'Datu ievade'!$B$436:$Z$443,8)),0)</f>
        <v>0</v>
      </c>
      <c r="C75" s="134">
        <f>ROUND((C58*HLOOKUP(C$62,'Datu ievade'!$B$436:$Z$443,8)),0)</f>
        <v>0</v>
      </c>
      <c r="D75" s="134">
        <f>ROUND((D58*HLOOKUP(D$62,'Datu ievade'!$B$436:$Z$443,8)),0)</f>
        <v>38913</v>
      </c>
      <c r="E75" s="134">
        <f>ROUND((E58*HLOOKUP(E$62,'Datu ievade'!$B$436:$Z$443,8)),0)</f>
        <v>27328</v>
      </c>
      <c r="F75" s="134">
        <f>ROUND((F58*HLOOKUP(F$62,'Datu ievade'!$B$436:$Z$443,8)),0)</f>
        <v>0</v>
      </c>
      <c r="G75" s="134">
        <f>ROUND((G58*HLOOKUP(G$62,'Datu ievade'!$B$436:$Z$443,8)),0)</f>
        <v>0</v>
      </c>
      <c r="H75" s="112"/>
      <c r="AI75" s="140"/>
    </row>
    <row r="76" spans="1:35" x14ac:dyDescent="0.2">
      <c r="A76" s="84"/>
      <c r="B76" s="134">
        <f>ROUND((B59*HLOOKUP(B$62,'Datu ievade'!$B$436:$Z$443,8)),0)</f>
        <v>0</v>
      </c>
      <c r="C76" s="134">
        <f>ROUND((C59*HLOOKUP(C$62,'Datu ievade'!$B$436:$Z$443,8)),0)</f>
        <v>0</v>
      </c>
      <c r="D76" s="134">
        <f>ROUND((D59*HLOOKUP(D$62,'Datu ievade'!$B$436:$Z$443,8)),0)</f>
        <v>0</v>
      </c>
      <c r="E76" s="134">
        <f>ROUND((E59*HLOOKUP(E$62,'Datu ievade'!$B$436:$Z$443,8)),0)</f>
        <v>0</v>
      </c>
      <c r="F76" s="134">
        <f>ROUND((F59*HLOOKUP(F$62,'Datu ievade'!$B$436:$Z$443,8)),0)</f>
        <v>0</v>
      </c>
      <c r="G76" s="134">
        <f>ROUND((G59*HLOOKUP(G$62,'Datu ievade'!$B$436:$Z$443,8)),0)</f>
        <v>0</v>
      </c>
      <c r="H76" s="112"/>
      <c r="AI76" s="140"/>
    </row>
    <row r="77" spans="1:35" x14ac:dyDescent="0.2">
      <c r="A77" s="84" t="str">
        <f>A60</f>
        <v>PVN</v>
      </c>
      <c r="B77" s="134">
        <f t="shared" ref="B77:G77" si="3">SUM(B71:B76)*B448</f>
        <v>0</v>
      </c>
      <c r="C77" s="134">
        <f t="shared" si="3"/>
        <v>0</v>
      </c>
      <c r="D77" s="134">
        <f t="shared" si="3"/>
        <v>75099.360000000001</v>
      </c>
      <c r="E77" s="134">
        <f t="shared" si="3"/>
        <v>154232.4</v>
      </c>
      <c r="F77" s="134">
        <f t="shared" si="3"/>
        <v>0</v>
      </c>
      <c r="G77" s="134">
        <f t="shared" si="3"/>
        <v>0</v>
      </c>
      <c r="AI77" s="140"/>
    </row>
    <row r="78" spans="1:35" x14ac:dyDescent="0.2">
      <c r="A78" s="69"/>
      <c r="B78" s="141"/>
      <c r="C78" s="141"/>
      <c r="D78" s="141"/>
      <c r="E78" s="141"/>
      <c r="F78" s="141"/>
      <c r="G78" s="141"/>
      <c r="H78" s="62"/>
      <c r="AI78" s="140"/>
    </row>
    <row r="79" spans="1:35" s="143" customFormat="1" x14ac:dyDescent="0.2">
      <c r="A79" s="129"/>
      <c r="B79" s="139">
        <f>B32</f>
        <v>2014</v>
      </c>
      <c r="C79" s="139">
        <f>B79+1</f>
        <v>2015</v>
      </c>
      <c r="D79" s="139">
        <f>C79+1</f>
        <v>2016</v>
      </c>
      <c r="E79" s="139">
        <f t="shared" ref="E79:AH79" si="4">D79+1</f>
        <v>2017</v>
      </c>
      <c r="F79" s="139">
        <f t="shared" si="4"/>
        <v>2018</v>
      </c>
      <c r="G79" s="139">
        <f t="shared" si="4"/>
        <v>2019</v>
      </c>
      <c r="H79" s="139">
        <f t="shared" si="4"/>
        <v>2020</v>
      </c>
      <c r="I79" s="139">
        <f t="shared" si="4"/>
        <v>2021</v>
      </c>
      <c r="J79" s="139">
        <f t="shared" si="4"/>
        <v>2022</v>
      </c>
      <c r="K79" s="139">
        <f t="shared" si="4"/>
        <v>2023</v>
      </c>
      <c r="L79" s="139">
        <f t="shared" si="4"/>
        <v>2024</v>
      </c>
      <c r="M79" s="139">
        <f t="shared" si="4"/>
        <v>2025</v>
      </c>
      <c r="N79" s="139">
        <f t="shared" si="4"/>
        <v>2026</v>
      </c>
      <c r="O79" s="139">
        <f t="shared" si="4"/>
        <v>2027</v>
      </c>
      <c r="P79" s="139">
        <f t="shared" si="4"/>
        <v>2028</v>
      </c>
      <c r="Q79" s="139">
        <f t="shared" si="4"/>
        <v>2029</v>
      </c>
      <c r="R79" s="139">
        <f t="shared" si="4"/>
        <v>2030</v>
      </c>
      <c r="S79" s="139">
        <f t="shared" si="4"/>
        <v>2031</v>
      </c>
      <c r="T79" s="139">
        <f t="shared" si="4"/>
        <v>2032</v>
      </c>
      <c r="U79" s="139">
        <f t="shared" si="4"/>
        <v>2033</v>
      </c>
      <c r="V79" s="139">
        <f t="shared" si="4"/>
        <v>2034</v>
      </c>
      <c r="W79" s="139">
        <f t="shared" si="4"/>
        <v>2035</v>
      </c>
      <c r="X79" s="139">
        <f t="shared" si="4"/>
        <v>2036</v>
      </c>
      <c r="Y79" s="139">
        <f t="shared" si="4"/>
        <v>2037</v>
      </c>
      <c r="Z79" s="139">
        <f t="shared" si="4"/>
        <v>2038</v>
      </c>
      <c r="AA79" s="139">
        <f t="shared" si="4"/>
        <v>2039</v>
      </c>
      <c r="AB79" s="139">
        <f t="shared" si="4"/>
        <v>2040</v>
      </c>
      <c r="AC79" s="139">
        <f t="shared" si="4"/>
        <v>2041</v>
      </c>
      <c r="AD79" s="139">
        <f t="shared" si="4"/>
        <v>2042</v>
      </c>
      <c r="AE79" s="139">
        <f t="shared" si="4"/>
        <v>2043</v>
      </c>
      <c r="AF79" s="139">
        <f t="shared" si="4"/>
        <v>2044</v>
      </c>
      <c r="AG79" s="139">
        <f t="shared" si="4"/>
        <v>2045</v>
      </c>
      <c r="AH79" s="139">
        <f t="shared" si="4"/>
        <v>2046</v>
      </c>
      <c r="AI79" s="142"/>
    </row>
    <row r="80" spans="1:35" ht="25.5" x14ac:dyDescent="0.2">
      <c r="A80" s="129" t="s">
        <v>494</v>
      </c>
      <c r="B80" s="144">
        <v>0.02</v>
      </c>
      <c r="C80" s="144">
        <v>0.02</v>
      </c>
      <c r="D80" s="144">
        <v>0.02</v>
      </c>
      <c r="E80" s="144">
        <v>0.02</v>
      </c>
      <c r="F80" s="144">
        <v>0.02</v>
      </c>
      <c r="G80" s="144">
        <v>0.02</v>
      </c>
      <c r="H80" s="144">
        <v>0.02</v>
      </c>
      <c r="I80" s="144">
        <v>0.02</v>
      </c>
      <c r="J80" s="144">
        <v>0.02</v>
      </c>
      <c r="K80" s="144">
        <v>0.02</v>
      </c>
      <c r="L80" s="144">
        <v>0.02</v>
      </c>
      <c r="M80" s="144">
        <v>0.02</v>
      </c>
      <c r="N80" s="144">
        <v>0.02</v>
      </c>
      <c r="O80" s="144">
        <v>0.02</v>
      </c>
      <c r="P80" s="144">
        <v>0.02</v>
      </c>
      <c r="Q80" s="144">
        <v>0.02</v>
      </c>
      <c r="R80" s="144">
        <v>0.02</v>
      </c>
      <c r="S80" s="144">
        <v>0.02</v>
      </c>
      <c r="T80" s="144">
        <v>0.02</v>
      </c>
      <c r="U80" s="144">
        <v>0.02</v>
      </c>
      <c r="V80" s="144">
        <v>0.02</v>
      </c>
      <c r="W80" s="144">
        <v>0.02</v>
      </c>
      <c r="X80" s="144">
        <v>0.02</v>
      </c>
      <c r="Y80" s="144">
        <v>0.02</v>
      </c>
      <c r="Z80" s="144">
        <v>0.02</v>
      </c>
      <c r="AA80" s="144">
        <v>0.02</v>
      </c>
      <c r="AB80" s="144">
        <v>0.02</v>
      </c>
      <c r="AC80" s="144">
        <v>0.02</v>
      </c>
      <c r="AD80" s="144">
        <v>0.02</v>
      </c>
      <c r="AE80" s="144">
        <v>0.02</v>
      </c>
      <c r="AF80" s="144">
        <v>0.02</v>
      </c>
      <c r="AG80" s="144">
        <v>0.02</v>
      </c>
      <c r="AH80" s="144">
        <v>0.02</v>
      </c>
      <c r="AI80" s="140"/>
    </row>
    <row r="81" spans="1:44" s="71" customFormat="1" x14ac:dyDescent="0.2">
      <c r="A81" s="70"/>
    </row>
    <row r="82" spans="1:44" s="71" customFormat="1" ht="63.75" x14ac:dyDescent="0.2">
      <c r="A82" s="145" t="s">
        <v>24</v>
      </c>
      <c r="B82" s="818" t="s">
        <v>583</v>
      </c>
      <c r="C82" s="146" t="s">
        <v>584</v>
      </c>
      <c r="D82" s="818" t="s">
        <v>529</v>
      </c>
      <c r="E82" s="819" t="s">
        <v>528</v>
      </c>
      <c r="F82" s="818" t="s">
        <v>589</v>
      </c>
      <c r="G82" s="819" t="s">
        <v>588</v>
      </c>
    </row>
    <row r="83" spans="1:44" s="71" customFormat="1" x14ac:dyDescent="0.2">
      <c r="A83" s="148" t="s">
        <v>25</v>
      </c>
      <c r="B83" s="748">
        <f ca="1">IF(AND(B102=B103,B98=B100),1-B90-B85,0)</f>
        <v>0.52961617277245543</v>
      </c>
      <c r="C83" s="149">
        <f ca="1">$C$92*B83</f>
        <v>862564.14633141446</v>
      </c>
      <c r="D83" s="749">
        <f ca="1">IF(B83&gt;0,(1-$D$89)-$D$85,0)</f>
        <v>0.15000000000000002</v>
      </c>
      <c r="E83" s="153">
        <f ca="1">$E$92*D83</f>
        <v>135193.20947092687</v>
      </c>
      <c r="F83" s="749">
        <f ca="1">G83/$G$92</f>
        <v>1</v>
      </c>
      <c r="G83" s="742">
        <f t="shared" ref="G83:G86" ca="1" si="5">C83-E83</f>
        <v>727370.93686048756</v>
      </c>
    </row>
    <row r="84" spans="1:44" s="71" customFormat="1" x14ac:dyDescent="0.2">
      <c r="A84" s="152" t="s">
        <v>26</v>
      </c>
      <c r="B84" s="750">
        <f>IF(AND(B102=B104,B98=B100),1-B90-B85,0)</f>
        <v>0</v>
      </c>
      <c r="C84" s="149">
        <f>$C$92*B84</f>
        <v>0</v>
      </c>
      <c r="D84" s="749">
        <f>IF(B84&gt;0,(1-$D$89)-$D$85,0)</f>
        <v>0</v>
      </c>
      <c r="E84" s="153">
        <f ca="1">$E$92*D84</f>
        <v>0</v>
      </c>
      <c r="F84" s="749">
        <f ca="1">G84/$G$92</f>
        <v>0</v>
      </c>
      <c r="G84" s="742">
        <f t="shared" ca="1" si="5"/>
        <v>0</v>
      </c>
    </row>
    <row r="85" spans="1:44" s="71" customFormat="1" x14ac:dyDescent="0.2">
      <c r="A85" s="152" t="s">
        <v>27</v>
      </c>
      <c r="B85" s="801">
        <f>C85/C92</f>
        <v>0</v>
      </c>
      <c r="C85" s="800"/>
      <c r="D85" s="749">
        <f ca="1">E85/E92</f>
        <v>0</v>
      </c>
      <c r="E85" s="153">
        <f ca="1">IF(E92*(1-D90)&gt;C85,C85,E92*(1-D90))</f>
        <v>0</v>
      </c>
      <c r="F85" s="749">
        <f ca="1">G85/$G$92</f>
        <v>0</v>
      </c>
      <c r="G85" s="742">
        <f t="shared" ca="1" si="5"/>
        <v>0</v>
      </c>
    </row>
    <row r="86" spans="1:44" s="71" customFormat="1" x14ac:dyDescent="0.2">
      <c r="A86" s="92" t="s">
        <v>28</v>
      </c>
      <c r="B86" s="801">
        <f>IF(AND(B102=B103,B98=B99),1-B90-B85,0)</f>
        <v>0</v>
      </c>
      <c r="C86" s="149">
        <f>$C$92*B86</f>
        <v>0</v>
      </c>
      <c r="D86" s="749">
        <f>IF(B86&gt;0,(1-$D$89)-$D$85,0)</f>
        <v>0</v>
      </c>
      <c r="E86" s="153">
        <f ca="1">$E$92*D86</f>
        <v>0</v>
      </c>
      <c r="F86" s="749">
        <f ca="1">G86/$G$92</f>
        <v>0</v>
      </c>
      <c r="G86" s="742">
        <f t="shared" ca="1" si="5"/>
        <v>0</v>
      </c>
    </row>
    <row r="87" spans="1:44" s="71" customFormat="1" x14ac:dyDescent="0.2">
      <c r="A87" s="92" t="s">
        <v>29</v>
      </c>
      <c r="B87" s="801">
        <f>IF(AND(B102=B104,B98=B99),1-B90-B85,0)</f>
        <v>0</v>
      </c>
      <c r="C87" s="149">
        <f>$C$92*B87</f>
        <v>0</v>
      </c>
      <c r="D87" s="749">
        <f>IF(B87&gt;0,(1-$D$89)-$D$85,0)</f>
        <v>0</v>
      </c>
      <c r="E87" s="153">
        <f ca="1">$E$92*D87</f>
        <v>0</v>
      </c>
      <c r="F87" s="749">
        <f ca="1">G87/$G$92</f>
        <v>0</v>
      </c>
      <c r="G87" s="742">
        <f ca="1">C87-E87</f>
        <v>0</v>
      </c>
    </row>
    <row r="88" spans="1:44" s="71" customFormat="1" x14ac:dyDescent="0.2">
      <c r="A88" s="84" t="s">
        <v>30</v>
      </c>
      <c r="B88" s="801">
        <v>0</v>
      </c>
      <c r="C88" s="149">
        <f ca="1">Līdzfinansējums!$E$51</f>
        <v>0</v>
      </c>
      <c r="D88" s="802">
        <v>0</v>
      </c>
      <c r="E88" s="821">
        <f ca="1">$E$92*D88</f>
        <v>0</v>
      </c>
      <c r="F88" s="156"/>
      <c r="G88" s="156"/>
    </row>
    <row r="89" spans="1:44" s="71" customFormat="1" x14ac:dyDescent="0.2">
      <c r="A89" s="84" t="s">
        <v>498</v>
      </c>
      <c r="B89" s="802">
        <f ca="1">Līdzfinansējums!F40</f>
        <v>0.47038382722754457</v>
      </c>
      <c r="C89" s="149">
        <f ca="1">C91</f>
        <v>766094.85366858554</v>
      </c>
      <c r="D89" s="803">
        <f ca="1">E89/E92</f>
        <v>0.85</v>
      </c>
      <c r="E89" s="155">
        <f ca="1">C89</f>
        <v>766094.85366858554</v>
      </c>
      <c r="F89" s="156"/>
      <c r="G89" s="156"/>
    </row>
    <row r="90" spans="1:44" s="71" customFormat="1" x14ac:dyDescent="0.2">
      <c r="A90" s="92" t="s">
        <v>368</v>
      </c>
      <c r="B90" s="802">
        <f ca="1">B89+B88</f>
        <v>0.47038382722754457</v>
      </c>
      <c r="C90" s="149">
        <f ca="1">C89+C88</f>
        <v>766094.85366858554</v>
      </c>
      <c r="D90" s="741">
        <f ca="1">D88+D89</f>
        <v>0.85</v>
      </c>
      <c r="E90" s="155">
        <f ca="1">E89+E88</f>
        <v>766094.85366858554</v>
      </c>
      <c r="F90" s="156"/>
      <c r="G90" s="156"/>
    </row>
    <row r="91" spans="1:44" s="71" customFormat="1" ht="17.25" customHeight="1" x14ac:dyDescent="0.2">
      <c r="A91" s="92" t="s">
        <v>367</v>
      </c>
      <c r="B91" s="802">
        <v>0.85</v>
      </c>
      <c r="C91" s="149">
        <f ca="1">Līdzfinansējums!G38</f>
        <v>766094.85366858554</v>
      </c>
      <c r="D91" s="741">
        <v>0.85</v>
      </c>
      <c r="F91" s="156"/>
      <c r="G91" s="156"/>
    </row>
    <row r="92" spans="1:44" s="71" customFormat="1" ht="20.25" customHeight="1" x14ac:dyDescent="0.2">
      <c r="A92" s="92" t="s">
        <v>31</v>
      </c>
      <c r="B92" s="822">
        <f ca="1">SUM(B83:B89)</f>
        <v>1</v>
      </c>
      <c r="C92" s="157">
        <f>SUM(B63:G68,B71:G76)</f>
        <v>1628659</v>
      </c>
      <c r="D92" s="823">
        <f ca="1">SUM(D83:D89)</f>
        <v>1</v>
      </c>
      <c r="E92" s="154">
        <f ca="1">Līdzfinansējums!E38</f>
        <v>901288.06313951244</v>
      </c>
      <c r="F92" s="823">
        <f ca="1">SUM(F83:F87)</f>
        <v>1</v>
      </c>
      <c r="G92" s="154">
        <f ca="1">SUM(G83:G87)</f>
        <v>727370.93686048756</v>
      </c>
    </row>
    <row r="93" spans="1:44" s="71" customFormat="1" x14ac:dyDescent="0.2">
      <c r="A93" s="84" t="s">
        <v>32</v>
      </c>
      <c r="B93" s="158">
        <v>1.349E-2</v>
      </c>
      <c r="C93" s="652" t="s">
        <v>422</v>
      </c>
      <c r="D93" s="159"/>
      <c r="E93" s="151"/>
      <c r="F93" s="151"/>
      <c r="G93" s="151"/>
    </row>
    <row r="94" spans="1:44" s="71" customFormat="1" x14ac:dyDescent="0.2">
      <c r="A94" s="84" t="s">
        <v>33</v>
      </c>
      <c r="B94" s="158">
        <v>0.02</v>
      </c>
      <c r="C94" s="160"/>
      <c r="D94" s="151"/>
      <c r="E94" s="151"/>
      <c r="F94" s="151"/>
      <c r="G94" s="151"/>
    </row>
    <row r="95" spans="1:44" s="71" customFormat="1" x14ac:dyDescent="0.2">
      <c r="A95" s="152" t="s">
        <v>34</v>
      </c>
      <c r="B95" s="161">
        <v>25</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row>
    <row r="96" spans="1:44" s="71" customFormat="1" x14ac:dyDescent="0.2">
      <c r="A96" s="152" t="s">
        <v>35</v>
      </c>
      <c r="B96" s="161">
        <v>25</v>
      </c>
      <c r="C96" s="829"/>
      <c r="D96" s="75"/>
      <c r="E96" s="735"/>
      <c r="F96" s="75"/>
      <c r="G96" s="162"/>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row>
    <row r="97" spans="1:44" s="71" customFormat="1" x14ac:dyDescent="0.2">
      <c r="A97" s="75"/>
      <c r="B97" s="75"/>
      <c r="C97" s="162"/>
      <c r="D97" s="75"/>
      <c r="E97" s="735"/>
      <c r="F97" s="75"/>
      <c r="G97" s="162"/>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row>
    <row r="98" spans="1:44" s="71" customFormat="1" ht="38.25" x14ac:dyDescent="0.2">
      <c r="A98" s="74" t="s">
        <v>36</v>
      </c>
      <c r="B98" s="751" t="s">
        <v>38</v>
      </c>
      <c r="C98" s="653" t="s">
        <v>477</v>
      </c>
      <c r="D98" s="75"/>
      <c r="E98" s="75"/>
      <c r="F98" s="75"/>
    </row>
    <row r="99" spans="1:44" s="71" customFormat="1" hidden="1" outlineLevel="1" x14ac:dyDescent="0.2">
      <c r="B99" s="76" t="s">
        <v>37</v>
      </c>
      <c r="E99" s="75"/>
      <c r="F99" s="75"/>
    </row>
    <row r="100" spans="1:44" s="71" customFormat="1" hidden="1" outlineLevel="1" x14ac:dyDescent="0.2">
      <c r="B100" s="76" t="s">
        <v>38</v>
      </c>
      <c r="E100" s="75"/>
      <c r="F100" s="75"/>
    </row>
    <row r="101" spans="1:44" s="71" customFormat="1" collapsed="1" x14ac:dyDescent="0.2">
      <c r="E101" s="75"/>
      <c r="F101" s="75"/>
    </row>
    <row r="102" spans="1:44" s="71" customFormat="1" ht="63.75" x14ac:dyDescent="0.2">
      <c r="A102" s="74" t="s">
        <v>3</v>
      </c>
      <c r="B102" s="752" t="s">
        <v>486</v>
      </c>
      <c r="C102" s="653" t="s">
        <v>477</v>
      </c>
      <c r="E102" s="75"/>
      <c r="F102" s="75"/>
    </row>
    <row r="103" spans="1:44" s="71" customFormat="1" ht="57" hidden="1" customHeight="1" outlineLevel="1" x14ac:dyDescent="0.2">
      <c r="B103" s="76" t="s">
        <v>486</v>
      </c>
      <c r="E103" s="75"/>
      <c r="F103" s="75"/>
    </row>
    <row r="104" spans="1:44" s="71" customFormat="1" ht="25.5" hidden="1" outlineLevel="1" x14ac:dyDescent="0.2">
      <c r="B104" s="76" t="s">
        <v>4</v>
      </c>
      <c r="E104" s="75"/>
      <c r="F104" s="75"/>
    </row>
    <row r="105" spans="1:44" s="163" customFormat="1" collapsed="1" x14ac:dyDescent="0.2">
      <c r="B105" s="164"/>
      <c r="E105" s="165"/>
      <c r="F105" s="165"/>
    </row>
    <row r="106" spans="1:44" s="71" customFormat="1" ht="15" customHeight="1" x14ac:dyDescent="0.2">
      <c r="A106" s="147" t="s">
        <v>318</v>
      </c>
      <c r="B106" s="166">
        <f>B32</f>
        <v>2014</v>
      </c>
      <c r="C106" s="166">
        <f>B106+1</f>
        <v>2015</v>
      </c>
      <c r="D106" s="166">
        <f>C106+1</f>
        <v>2016</v>
      </c>
      <c r="E106" s="166">
        <f>D106+1</f>
        <v>2017</v>
      </c>
      <c r="F106" s="166">
        <f>E106+1</f>
        <v>2018</v>
      </c>
      <c r="G106" s="166">
        <f>F106+1</f>
        <v>2019</v>
      </c>
    </row>
    <row r="107" spans="1:44" s="71" customFormat="1" x14ac:dyDescent="0.2">
      <c r="A107" s="167" t="s">
        <v>279</v>
      </c>
      <c r="B107" s="169">
        <f t="shared" ref="B107:G107" si="6">SUM(B108:B110)</f>
        <v>0</v>
      </c>
      <c r="C107" s="169">
        <f t="shared" si="6"/>
        <v>0</v>
      </c>
      <c r="D107" s="169">
        <f t="shared" si="6"/>
        <v>661215.39</v>
      </c>
      <c r="E107" s="169">
        <f t="shared" si="6"/>
        <v>1309462</v>
      </c>
      <c r="F107" s="169">
        <f t="shared" si="6"/>
        <v>0</v>
      </c>
      <c r="G107" s="169">
        <f t="shared" si="6"/>
        <v>0</v>
      </c>
      <c r="H107" s="283"/>
    </row>
    <row r="108" spans="1:44" s="71" customFormat="1" x14ac:dyDescent="0.2">
      <c r="A108" s="170" t="s">
        <v>522</v>
      </c>
      <c r="B108" s="171">
        <f t="shared" ref="B108:G108" si="7">B69+B77</f>
        <v>0</v>
      </c>
      <c r="C108" s="171">
        <f t="shared" si="7"/>
        <v>0</v>
      </c>
      <c r="D108" s="171">
        <f t="shared" si="7"/>
        <v>114756.39</v>
      </c>
      <c r="E108" s="171">
        <f t="shared" si="7"/>
        <v>227262</v>
      </c>
      <c r="F108" s="171">
        <f t="shared" si="7"/>
        <v>0</v>
      </c>
      <c r="G108" s="171">
        <f t="shared" si="7"/>
        <v>0</v>
      </c>
    </row>
    <row r="109" spans="1:44" s="71" customFormat="1" x14ac:dyDescent="0.2">
      <c r="A109" s="170" t="s">
        <v>576</v>
      </c>
      <c r="B109" s="171">
        <f t="shared" ref="B109:G109" si="8">B77/($D$77+$E$77+$F$77+$G$77)*IF(SUM($D$73:$G$75)/SUM($D$71:$G$72)&gt;7%,SUM($D$73:$G$75)-7%*SUM($D$71:$G$72),0)+SUM(B63:B68)</f>
        <v>0</v>
      </c>
      <c r="C109" s="171">
        <f t="shared" si="8"/>
        <v>0</v>
      </c>
      <c r="D109" s="171">
        <f t="shared" si="8"/>
        <v>199175.42749089791</v>
      </c>
      <c r="E109" s="171">
        <f t="shared" si="8"/>
        <v>368979.82250910212</v>
      </c>
      <c r="F109" s="171">
        <f t="shared" si="8"/>
        <v>0</v>
      </c>
      <c r="G109" s="171">
        <f t="shared" si="8"/>
        <v>0</v>
      </c>
    </row>
    <row r="110" spans="1:44" s="71" customFormat="1" x14ac:dyDescent="0.2">
      <c r="A110" s="170" t="s">
        <v>280</v>
      </c>
      <c r="B110" s="169">
        <f t="shared" ref="B110:G110" si="9">SUM(B71:B76)-(B77/($D$77+$E$77+$F$77+$G$77)*IF(SUM($D$73:$G$75)/SUM($D$71:$G$72)&gt;7%,SUM($D$73:$G$75)-7%*SUM($D$71:$G$72),0))</f>
        <v>0</v>
      </c>
      <c r="C110" s="169">
        <f t="shared" si="9"/>
        <v>0</v>
      </c>
      <c r="D110" s="169">
        <f t="shared" si="9"/>
        <v>347283.57250910212</v>
      </c>
      <c r="E110" s="169">
        <f t="shared" si="9"/>
        <v>713220.17749089794</v>
      </c>
      <c r="F110" s="169">
        <f t="shared" si="9"/>
        <v>0</v>
      </c>
      <c r="G110" s="169">
        <f t="shared" si="9"/>
        <v>0</v>
      </c>
      <c r="I110" s="74"/>
    </row>
    <row r="111" spans="1:44" s="71" customFormat="1" x14ac:dyDescent="0.2">
      <c r="A111" s="170" t="s">
        <v>599</v>
      </c>
      <c r="B111" s="171">
        <f ca="1">ROUND('Datu ievade'!$B$83*B$110,2)</f>
        <v>0</v>
      </c>
      <c r="C111" s="171">
        <f ca="1">ROUND('Datu ievade'!$B$83*(C$110+C$109),2)</f>
        <v>0</v>
      </c>
      <c r="D111" s="171">
        <f ca="1">ROUND('Datu ievade'!$B$83*(D$110+D$109),2)</f>
        <v>289413.52</v>
      </c>
      <c r="E111" s="171">
        <f ca="1">ROUND('Datu ievade'!$B$83*(E$110+E$109),2)</f>
        <v>573150.62</v>
      </c>
      <c r="F111" s="171">
        <f ca="1">ROUND('Datu ievade'!$B$83*(F$110+F$109),2)</f>
        <v>0</v>
      </c>
      <c r="G111" s="171">
        <f ca="1">ROUND('Datu ievade'!$B$83*(G$110+G$109),2)</f>
        <v>0</v>
      </c>
    </row>
    <row r="112" spans="1:44" s="71" customFormat="1" ht="25.5" x14ac:dyDescent="0.2">
      <c r="A112" s="170" t="s">
        <v>557</v>
      </c>
      <c r="B112" s="171">
        <f ca="1">ROUND('Datu ievade'!$F$83*B$108,2)</f>
        <v>0</v>
      </c>
      <c r="C112" s="171">
        <f ca="1">ROUND('Datu ievade'!$F$83*C$108,2)</f>
        <v>0</v>
      </c>
      <c r="D112" s="171">
        <f ca="1">ROUND('Datu ievade'!$F$83*D$108,2)</f>
        <v>114756.39</v>
      </c>
      <c r="E112" s="171">
        <f ca="1">ROUND('Datu ievade'!$F$83*E$108,2)</f>
        <v>227262</v>
      </c>
      <c r="F112" s="171">
        <f ca="1">ROUND('Datu ievade'!$F$83*F$108,2)</f>
        <v>0</v>
      </c>
      <c r="G112" s="171">
        <f ca="1">ROUND('Datu ievade'!$F$83*G$108,2)</f>
        <v>0</v>
      </c>
    </row>
    <row r="113" spans="1:9" s="71" customFormat="1" x14ac:dyDescent="0.2">
      <c r="A113" s="170" t="s">
        <v>577</v>
      </c>
      <c r="B113" s="171">
        <f t="shared" ref="B113:G113" si="10">$B$86*(B$110+B$109)</f>
        <v>0</v>
      </c>
      <c r="C113" s="171">
        <f t="shared" si="10"/>
        <v>0</v>
      </c>
      <c r="D113" s="171">
        <f t="shared" si="10"/>
        <v>0</v>
      </c>
      <c r="E113" s="171">
        <f t="shared" si="10"/>
        <v>0</v>
      </c>
      <c r="F113" s="171">
        <f t="shared" si="10"/>
        <v>0</v>
      </c>
      <c r="G113" s="171">
        <f t="shared" si="10"/>
        <v>0</v>
      </c>
    </row>
    <row r="114" spans="1:9" s="71" customFormat="1" x14ac:dyDescent="0.2">
      <c r="A114" s="170" t="s">
        <v>523</v>
      </c>
      <c r="B114" s="171">
        <f ca="1">ROUND('Datu ievade'!$F$86*B$108,2)</f>
        <v>0</v>
      </c>
      <c r="C114" s="171">
        <f ca="1">ROUND('Datu ievade'!$F$86*C$108,2)</f>
        <v>0</v>
      </c>
      <c r="D114" s="171">
        <f ca="1">ROUND('Datu ievade'!$F$86*D$108,2)</f>
        <v>0</v>
      </c>
      <c r="E114" s="171">
        <f ca="1">ROUND('Datu ievade'!$F$86*E$108,2)</f>
        <v>0</v>
      </c>
      <c r="F114" s="171">
        <f ca="1">ROUND('Datu ievade'!$F$86*F$108,2)</f>
        <v>0</v>
      </c>
      <c r="G114" s="171">
        <f ca="1">ROUND('Datu ievade'!$F$86*G$108,2)</f>
        <v>0</v>
      </c>
    </row>
    <row r="115" spans="1:9" s="71" customFormat="1" ht="25.5" x14ac:dyDescent="0.2">
      <c r="A115" s="170" t="s">
        <v>578</v>
      </c>
      <c r="B115" s="171">
        <f>ROUND('Datu ievade'!$B$84*B$110,2)</f>
        <v>0</v>
      </c>
      <c r="C115" s="171">
        <f>ROUND('Datu ievade'!$B$84*(C$110+C$109),2)</f>
        <v>0</v>
      </c>
      <c r="D115" s="171">
        <f>ROUND('Datu ievade'!$B$84*(D$110+D$109),2)</f>
        <v>0</v>
      </c>
      <c r="E115" s="171">
        <f>ROUND('Datu ievade'!$B$84*(E$110+E$109),2)</f>
        <v>0</v>
      </c>
      <c r="F115" s="171">
        <f>ROUND('Datu ievade'!$B$84*(F$110+F$109),2)</f>
        <v>0</v>
      </c>
      <c r="G115" s="171">
        <f>ROUND('Datu ievade'!$B$84*(G$110+G$109),2)</f>
        <v>0</v>
      </c>
    </row>
    <row r="116" spans="1:9" s="71" customFormat="1" ht="25.5" x14ac:dyDescent="0.2">
      <c r="A116" s="170" t="s">
        <v>556</v>
      </c>
      <c r="B116" s="171">
        <f ca="1">ROUND('Datu ievade'!$F$84*B$108,2)</f>
        <v>0</v>
      </c>
      <c r="C116" s="171">
        <f ca="1">ROUND('Datu ievade'!$F$84*C$108,2)</f>
        <v>0</v>
      </c>
      <c r="D116" s="171">
        <f ca="1">ROUND('Datu ievade'!$F$84*D$108,2)</f>
        <v>0</v>
      </c>
      <c r="E116" s="171">
        <f ca="1">ROUND('Datu ievade'!$F$84*E$108,2)</f>
        <v>0</v>
      </c>
      <c r="F116" s="171">
        <f ca="1">ROUND('Datu ievade'!$F$84*F$108,2)</f>
        <v>0</v>
      </c>
      <c r="G116" s="171">
        <f ca="1">ROUND('Datu ievade'!$F$84*G$108,2)</f>
        <v>0</v>
      </c>
    </row>
    <row r="117" spans="1:9" s="71" customFormat="1" ht="25.5" x14ac:dyDescent="0.2">
      <c r="A117" s="170" t="s">
        <v>579</v>
      </c>
      <c r="B117" s="171">
        <f>IF($B$98="Jā",'Datu ievade'!$B$87*B$110,0)</f>
        <v>0</v>
      </c>
      <c r="C117" s="171">
        <f>ROUND('Datu ievade'!$B$87*(C$110+C$109),2)</f>
        <v>0</v>
      </c>
      <c r="D117" s="171">
        <f>ROUND('Datu ievade'!$B$87*(D$110+D$109),2)</f>
        <v>0</v>
      </c>
      <c r="E117" s="171">
        <f>ROUND('Datu ievade'!$B$87*(E$110+E$109),2)</f>
        <v>0</v>
      </c>
      <c r="F117" s="171">
        <f>ROUND('Datu ievade'!$B$87*(F$110+F$109),2)</f>
        <v>0</v>
      </c>
      <c r="G117" s="171">
        <f>ROUND('Datu ievade'!$B$87*(G$110+G$109),2)</f>
        <v>0</v>
      </c>
    </row>
    <row r="118" spans="1:9" s="71" customFormat="1" ht="25.5" x14ac:dyDescent="0.2">
      <c r="A118" s="170" t="s">
        <v>555</v>
      </c>
      <c r="B118" s="171">
        <f ca="1">ROUND('Datu ievade'!$F$87*B$108,2)</f>
        <v>0</v>
      </c>
      <c r="C118" s="171">
        <f ca="1">ROUND('Datu ievade'!$F$87*C$108,2)</f>
        <v>0</v>
      </c>
      <c r="D118" s="171">
        <f ca="1">ROUND('Datu ievade'!$F$87*D$108,2)</f>
        <v>0</v>
      </c>
      <c r="E118" s="171">
        <f ca="1">ROUND('Datu ievade'!$F$87*E$108,2)</f>
        <v>0</v>
      </c>
      <c r="F118" s="171">
        <f ca="1">ROUND('Datu ievade'!$F$87*F$108,2)</f>
        <v>0</v>
      </c>
      <c r="G118" s="171">
        <f ca="1">ROUND('Datu ievade'!$F$87*G$108,2)</f>
        <v>0</v>
      </c>
    </row>
    <row r="119" spans="1:9" s="71" customFormat="1" x14ac:dyDescent="0.2">
      <c r="A119" s="170" t="s">
        <v>30</v>
      </c>
      <c r="B119" s="171">
        <f>ROUND('Datu ievade'!$B$88*B$110,2)</f>
        <v>0</v>
      </c>
      <c r="C119" s="171">
        <f>ROUND('Datu ievade'!$B$88*C$110,2)</f>
        <v>0</v>
      </c>
      <c r="D119" s="171">
        <f>ROUND('Datu ievade'!$B$88*D$110,2)</f>
        <v>0</v>
      </c>
      <c r="E119" s="171">
        <f>ROUND('Datu ievade'!$B$88*E$110,2)</f>
        <v>0</v>
      </c>
      <c r="F119" s="171">
        <f>ROUND('Datu ievade'!$B$88*F$110,2)</f>
        <v>0</v>
      </c>
      <c r="G119" s="171">
        <f>ROUND('Datu ievade'!$B$88*G$110,2)</f>
        <v>0</v>
      </c>
    </row>
    <row r="120" spans="1:9" s="71" customFormat="1" x14ac:dyDescent="0.2">
      <c r="A120" s="170" t="s">
        <v>581</v>
      </c>
      <c r="B120" s="171">
        <f>ROUND('Datu ievade'!$B$85*B$110,2)</f>
        <v>0</v>
      </c>
      <c r="C120" s="171">
        <f>ROUND('Datu ievade'!$B$85*(C$110+C$109),2)</f>
        <v>0</v>
      </c>
      <c r="D120" s="171">
        <f>ROUND('Datu ievade'!$B$85*(D$110+D$109),2)</f>
        <v>0</v>
      </c>
      <c r="E120" s="171">
        <f>ROUND('Datu ievade'!$B$85*(E$110+E$109),2)</f>
        <v>0</v>
      </c>
      <c r="F120" s="171">
        <f>ROUND('Datu ievade'!$B$85*(F$110+F$109),2)</f>
        <v>0</v>
      </c>
      <c r="G120" s="171">
        <f>ROUND('Datu ievade'!$B$85*(G$110+G$109),2)</f>
        <v>0</v>
      </c>
    </row>
    <row r="121" spans="1:9" s="71" customFormat="1" x14ac:dyDescent="0.2">
      <c r="A121" s="170" t="s">
        <v>580</v>
      </c>
      <c r="B121" s="171">
        <f ca="1">ROUND('Datu ievade'!$F$85*B$108,2)</f>
        <v>0</v>
      </c>
      <c r="C121" s="171">
        <f ca="1">ROUND('Datu ievade'!$F$85*C$108,2)</f>
        <v>0</v>
      </c>
      <c r="D121" s="171">
        <f ca="1">ROUND('Datu ievade'!$F$85*D$108,2)</f>
        <v>0</v>
      </c>
      <c r="E121" s="171">
        <f ca="1">ROUND('Datu ievade'!$F$85*E$108,2)</f>
        <v>0</v>
      </c>
      <c r="F121" s="171">
        <f ca="1">ROUND('Datu ievade'!$F$85*F$108,2)</f>
        <v>0</v>
      </c>
      <c r="G121" s="171">
        <f ca="1">ROUND('Datu ievade'!$F$85*G$108,2)</f>
        <v>0</v>
      </c>
    </row>
    <row r="122" spans="1:9" s="71" customFormat="1" x14ac:dyDescent="0.2">
      <c r="A122" s="170" t="s">
        <v>366</v>
      </c>
      <c r="B122" s="171">
        <f t="shared" ref="B122:G122" ca="1" si="11">B138</f>
        <v>0</v>
      </c>
      <c r="C122" s="171">
        <f t="shared" ca="1" si="11"/>
        <v>0</v>
      </c>
      <c r="D122" s="171">
        <f t="shared" ca="1" si="11"/>
        <v>250873.37754615597</v>
      </c>
      <c r="E122" s="171">
        <f t="shared" ca="1" si="11"/>
        <v>515221.47612242959</v>
      </c>
      <c r="F122" s="171">
        <f t="shared" ca="1" si="11"/>
        <v>0</v>
      </c>
      <c r="G122" s="171">
        <f t="shared" ca="1" si="11"/>
        <v>0</v>
      </c>
    </row>
    <row r="123" spans="1:9" s="71" customFormat="1" x14ac:dyDescent="0.2">
      <c r="A123" s="173"/>
      <c r="B123" s="168"/>
      <c r="C123" s="168"/>
      <c r="D123" s="168"/>
      <c r="E123" s="168"/>
      <c r="F123" s="168"/>
      <c r="G123" s="174"/>
    </row>
    <row r="124" spans="1:9" s="71" customFormat="1" x14ac:dyDescent="0.2">
      <c r="A124" s="175"/>
      <c r="B124" s="168"/>
      <c r="C124" s="168"/>
      <c r="D124" s="168"/>
      <c r="E124" s="168"/>
      <c r="F124" s="168"/>
      <c r="G124" s="174"/>
    </row>
    <row r="125" spans="1:9" s="151" customFormat="1" x14ac:dyDescent="0.2">
      <c r="A125" s="176" t="s">
        <v>319</v>
      </c>
      <c r="B125" s="743">
        <f>B106</f>
        <v>2014</v>
      </c>
      <c r="C125" s="743">
        <f>B125+1</f>
        <v>2015</v>
      </c>
      <c r="D125" s="743">
        <f>C125+1</f>
        <v>2016</v>
      </c>
      <c r="E125" s="743">
        <f>D125+1</f>
        <v>2017</v>
      </c>
      <c r="F125" s="743">
        <f>E125+1</f>
        <v>2018</v>
      </c>
      <c r="G125" s="743">
        <f>F125+1</f>
        <v>2019</v>
      </c>
    </row>
    <row r="126" spans="1:9" s="151" customFormat="1" x14ac:dyDescent="0.2">
      <c r="A126" s="177" t="s">
        <v>279</v>
      </c>
      <c r="B126" s="744">
        <f>B107</f>
        <v>0</v>
      </c>
      <c r="C126" s="744">
        <f t="shared" ref="C126:G127" si="12">C107</f>
        <v>0</v>
      </c>
      <c r="D126" s="744">
        <f t="shared" si="12"/>
        <v>661215.39</v>
      </c>
      <c r="E126" s="744">
        <f t="shared" si="12"/>
        <v>1309462</v>
      </c>
      <c r="F126" s="744">
        <f t="shared" si="12"/>
        <v>0</v>
      </c>
      <c r="G126" s="744">
        <f t="shared" si="12"/>
        <v>0</v>
      </c>
      <c r="H126" s="737"/>
      <c r="I126" s="736"/>
    </row>
    <row r="127" spans="1:9" s="151" customFormat="1" x14ac:dyDescent="0.2">
      <c r="A127" s="177" t="s">
        <v>327</v>
      </c>
      <c r="B127" s="745">
        <f>B108</f>
        <v>0</v>
      </c>
      <c r="C127" s="745">
        <f t="shared" si="12"/>
        <v>0</v>
      </c>
      <c r="D127" s="745">
        <f t="shared" si="12"/>
        <v>114756.39</v>
      </c>
      <c r="E127" s="745">
        <f t="shared" si="12"/>
        <v>227262</v>
      </c>
      <c r="F127" s="745">
        <f t="shared" si="12"/>
        <v>0</v>
      </c>
      <c r="G127" s="745">
        <f t="shared" si="12"/>
        <v>0</v>
      </c>
      <c r="H127" s="737"/>
      <c r="I127" s="737"/>
    </row>
    <row r="128" spans="1:9" s="151" customFormat="1" x14ac:dyDescent="0.2">
      <c r="A128" s="170" t="s">
        <v>576</v>
      </c>
      <c r="B128" s="745">
        <f>B109</f>
        <v>0</v>
      </c>
      <c r="C128" s="745">
        <f>C109</f>
        <v>0</v>
      </c>
      <c r="D128" s="745">
        <f>D109</f>
        <v>199175.42749089791</v>
      </c>
      <c r="E128" s="745">
        <f>E109</f>
        <v>368979.82250910212</v>
      </c>
      <c r="F128" s="745">
        <f>F109</f>
        <v>0</v>
      </c>
      <c r="G128" s="745">
        <f>G109</f>
        <v>0</v>
      </c>
      <c r="H128" s="737"/>
      <c r="I128" s="737"/>
    </row>
    <row r="129" spans="1:9" s="151" customFormat="1" x14ac:dyDescent="0.2">
      <c r="A129" s="804" t="s">
        <v>330</v>
      </c>
      <c r="B129" s="745">
        <f t="shared" ref="B129:G129" ca="1" si="13">B110-B131</f>
        <v>0</v>
      </c>
      <c r="C129" s="745">
        <f ca="1">C110-C131</f>
        <v>0</v>
      </c>
      <c r="D129" s="745">
        <f ca="1">D110-D131</f>
        <v>52138.422454800981</v>
      </c>
      <c r="E129" s="745">
        <f ca="1">E110-E131</f>
        <v>107077.26440568664</v>
      </c>
      <c r="F129" s="745">
        <f t="shared" ca="1" si="13"/>
        <v>0</v>
      </c>
      <c r="G129" s="745">
        <f t="shared" ca="1" si="13"/>
        <v>0</v>
      </c>
      <c r="H129" s="737"/>
      <c r="I129" s="737"/>
    </row>
    <row r="130" spans="1:9" s="151" customFormat="1" x14ac:dyDescent="0.2">
      <c r="A130" s="804" t="s">
        <v>331</v>
      </c>
      <c r="B130" s="745">
        <f t="shared" ref="B130:G130" ca="1" si="14">SUM(B127:B129)</f>
        <v>0</v>
      </c>
      <c r="C130" s="745">
        <f t="shared" ca="1" si="14"/>
        <v>0</v>
      </c>
      <c r="D130" s="745">
        <f t="shared" ca="1" si="14"/>
        <v>366070.23994569888</v>
      </c>
      <c r="E130" s="745">
        <f t="shared" ca="1" si="14"/>
        <v>703319.0869147887</v>
      </c>
      <c r="F130" s="745">
        <f t="shared" ca="1" si="14"/>
        <v>0</v>
      </c>
      <c r="G130" s="745">
        <f t="shared" ca="1" si="14"/>
        <v>0</v>
      </c>
      <c r="H130" s="737"/>
      <c r="I130" s="179"/>
    </row>
    <row r="131" spans="1:9" s="151" customFormat="1" x14ac:dyDescent="0.2">
      <c r="A131" s="804" t="s">
        <v>320</v>
      </c>
      <c r="B131" s="744">
        <f ca="1">Līdzfinansējums!$E$45*'Datu ievade'!B110/SUM($B$110:$G$110)</f>
        <v>0</v>
      </c>
      <c r="C131" s="744">
        <f ca="1">Līdzfinansējums!$E$45*'Datu ievade'!C110/SUM($B$110:$G$110)</f>
        <v>0</v>
      </c>
      <c r="D131" s="744">
        <f ca="1">Līdzfinansējums!$E$45*'Datu ievade'!D110/SUM($B$110:$G$110)</f>
        <v>295145.15005430114</v>
      </c>
      <c r="E131" s="744">
        <f ca="1">Līdzfinansējums!$E$45*'Datu ievade'!E110/SUM($B$110:$G$110)</f>
        <v>606142.9130852113</v>
      </c>
      <c r="F131" s="744">
        <f ca="1">Līdzfinansējums!$E$45*'Datu ievade'!F110/SUM($B$110:$G$110)</f>
        <v>0</v>
      </c>
      <c r="G131" s="744">
        <f ca="1">Līdzfinansējums!$E$45*'Datu ievade'!G110/SUM($B$110:$G$110)</f>
        <v>0</v>
      </c>
      <c r="H131" s="178"/>
      <c r="I131" s="178"/>
    </row>
    <row r="132" spans="1:9" s="151" customFormat="1" x14ac:dyDescent="0.2">
      <c r="A132" s="805" t="s">
        <v>328</v>
      </c>
      <c r="B132" s="745">
        <f t="shared" ref="B132:G132" ca="1" si="15">IF($B$98="Nē",$C$83*B131/SUM($B$131:$G$131),0)</f>
        <v>0</v>
      </c>
      <c r="C132" s="745">
        <f t="shared" ca="1" si="15"/>
        <v>0</v>
      </c>
      <c r="D132" s="745">
        <f t="shared" ca="1" si="15"/>
        <v>282464.21406453068</v>
      </c>
      <c r="E132" s="745">
        <f t="shared" ca="1" si="15"/>
        <v>580099.93226688378</v>
      </c>
      <c r="F132" s="745">
        <f t="shared" ca="1" si="15"/>
        <v>0</v>
      </c>
      <c r="G132" s="745">
        <f t="shared" ca="1" si="15"/>
        <v>0</v>
      </c>
      <c r="H132" s="178"/>
      <c r="I132" s="178"/>
    </row>
    <row r="133" spans="1:9" s="151" customFormat="1" x14ac:dyDescent="0.2">
      <c r="A133" s="170" t="s">
        <v>329</v>
      </c>
      <c r="B133" s="171">
        <f t="shared" ref="B133:G133" si="16">IF($B$98=$B$99,IF($B$102=$B$103,$C$86*B131/SUM($B$131:$G$131),0),0)</f>
        <v>0</v>
      </c>
      <c r="C133" s="171">
        <f t="shared" si="16"/>
        <v>0</v>
      </c>
      <c r="D133" s="171">
        <f t="shared" si="16"/>
        <v>0</v>
      </c>
      <c r="E133" s="171">
        <f t="shared" si="16"/>
        <v>0</v>
      </c>
      <c r="F133" s="171">
        <f t="shared" si="16"/>
        <v>0</v>
      </c>
      <c r="G133" s="171">
        <f t="shared" si="16"/>
        <v>0</v>
      </c>
      <c r="H133" s="180"/>
    </row>
    <row r="134" spans="1:9" s="151" customFormat="1" x14ac:dyDescent="0.2">
      <c r="A134" s="181" t="s">
        <v>343</v>
      </c>
      <c r="B134" s="171">
        <f t="shared" ref="B134:G134" ca="1" si="17">IF($B$98="Nē",$C$84*B131/SUM($B$131:$G$131),0)</f>
        <v>0</v>
      </c>
      <c r="C134" s="171">
        <f t="shared" ca="1" si="17"/>
        <v>0</v>
      </c>
      <c r="D134" s="171">
        <f t="shared" ca="1" si="17"/>
        <v>0</v>
      </c>
      <c r="E134" s="171">
        <f t="shared" ca="1" si="17"/>
        <v>0</v>
      </c>
      <c r="F134" s="171">
        <f t="shared" ca="1" si="17"/>
        <v>0</v>
      </c>
      <c r="G134" s="171">
        <f t="shared" ca="1" si="17"/>
        <v>0</v>
      </c>
    </row>
    <row r="135" spans="1:9" s="151" customFormat="1" x14ac:dyDescent="0.2">
      <c r="A135" s="177" t="s">
        <v>344</v>
      </c>
      <c r="B135" s="171">
        <f t="shared" ref="B135:G135" si="18">IF($B$98=$B$99,IF($B$102=$B$104,$C$87*B131/SUM($B$131:$G$131),0),0)</f>
        <v>0</v>
      </c>
      <c r="C135" s="171">
        <f t="shared" si="18"/>
        <v>0</v>
      </c>
      <c r="D135" s="171">
        <f t="shared" si="18"/>
        <v>0</v>
      </c>
      <c r="E135" s="171">
        <f t="shared" si="18"/>
        <v>0</v>
      </c>
      <c r="F135" s="171">
        <f t="shared" si="18"/>
        <v>0</v>
      </c>
      <c r="G135" s="171">
        <f t="shared" si="18"/>
        <v>0</v>
      </c>
      <c r="I135" s="178"/>
    </row>
    <row r="136" spans="1:9" s="151" customFormat="1" x14ac:dyDescent="0.2">
      <c r="A136" s="177" t="s">
        <v>30</v>
      </c>
      <c r="B136" s="182">
        <f t="shared" ref="B136:G136" ca="1" si="19">$B$141*B131/SUM($B$131:$G$131)</f>
        <v>0</v>
      </c>
      <c r="C136" s="182">
        <f t="shared" ca="1" si="19"/>
        <v>0</v>
      </c>
      <c r="D136" s="182">
        <f t="shared" ca="1" si="19"/>
        <v>0</v>
      </c>
      <c r="E136" s="182">
        <f t="shared" ca="1" si="19"/>
        <v>0</v>
      </c>
      <c r="F136" s="182">
        <f t="shared" ca="1" si="19"/>
        <v>0</v>
      </c>
      <c r="G136" s="182">
        <f t="shared" ca="1" si="19"/>
        <v>0</v>
      </c>
    </row>
    <row r="137" spans="1:9" s="151" customFormat="1" x14ac:dyDescent="0.2">
      <c r="A137" s="177" t="s">
        <v>569</v>
      </c>
      <c r="B137" s="182">
        <f t="shared" ref="B137:G137" ca="1" si="20">$B$144*B131/SUM($B$131:$G$131)</f>
        <v>0</v>
      </c>
      <c r="C137" s="182">
        <f t="shared" ca="1" si="20"/>
        <v>0</v>
      </c>
      <c r="D137" s="182">
        <f t="shared" ca="1" si="20"/>
        <v>0</v>
      </c>
      <c r="E137" s="182">
        <f t="shared" ca="1" si="20"/>
        <v>0</v>
      </c>
      <c r="F137" s="182">
        <f t="shared" ca="1" si="20"/>
        <v>0</v>
      </c>
      <c r="G137" s="182">
        <f t="shared" ca="1" si="20"/>
        <v>0</v>
      </c>
    </row>
    <row r="138" spans="1:9" s="151" customFormat="1" x14ac:dyDescent="0.2">
      <c r="A138" s="177" t="s">
        <v>366</v>
      </c>
      <c r="B138" s="182">
        <f t="shared" ref="B138:G138" ca="1" si="21">$B$140*B131/SUM($B$131:$G$131)</f>
        <v>0</v>
      </c>
      <c r="C138" s="182">
        <f t="shared" ca="1" si="21"/>
        <v>0</v>
      </c>
      <c r="D138" s="182">
        <f t="shared" ca="1" si="21"/>
        <v>250873.37754615597</v>
      </c>
      <c r="E138" s="182">
        <f t="shared" ca="1" si="21"/>
        <v>515221.47612242959</v>
      </c>
      <c r="F138" s="182">
        <f t="shared" ca="1" si="21"/>
        <v>0</v>
      </c>
      <c r="G138" s="182">
        <f t="shared" ca="1" si="21"/>
        <v>0</v>
      </c>
    </row>
    <row r="139" spans="1:9" s="151" customFormat="1" x14ac:dyDescent="0.2"/>
    <row r="140" spans="1:9" s="151" customFormat="1" x14ac:dyDescent="0.2">
      <c r="A140" s="183" t="s">
        <v>371</v>
      </c>
      <c r="B140" s="168">
        <f ca="1">E89</f>
        <v>766094.85366858554</v>
      </c>
      <c r="C140" s="757"/>
      <c r="D140" s="757"/>
      <c r="E140" s="757"/>
      <c r="F140" s="758"/>
      <c r="G140" s="759"/>
    </row>
    <row r="141" spans="1:9" s="151" customFormat="1" x14ac:dyDescent="0.2">
      <c r="A141" s="183" t="s">
        <v>321</v>
      </c>
      <c r="B141" s="778">
        <f ca="1">E88</f>
        <v>0</v>
      </c>
      <c r="C141" s="760"/>
      <c r="D141" s="760"/>
      <c r="E141" s="760"/>
      <c r="F141" s="760"/>
      <c r="G141" s="759"/>
    </row>
    <row r="142" spans="1:9" s="151" customFormat="1" x14ac:dyDescent="0.2">
      <c r="A142" s="183" t="s">
        <v>322</v>
      </c>
      <c r="B142" s="778">
        <f ca="1">IF(B102=B103,SUM(C86,C83),0)</f>
        <v>862564.14633141446</v>
      </c>
      <c r="C142" s="760"/>
      <c r="D142" s="760"/>
      <c r="E142" s="760"/>
      <c r="F142" s="760"/>
      <c r="G142" s="759"/>
    </row>
    <row r="143" spans="1:9" s="151" customFormat="1" x14ac:dyDescent="0.2">
      <c r="A143" s="183" t="s">
        <v>530</v>
      </c>
      <c r="B143" s="778">
        <f>IF(B102=B104,SUM(C84,C87),0)</f>
        <v>0</v>
      </c>
      <c r="C143" s="760"/>
      <c r="D143" s="760"/>
      <c r="E143" s="760"/>
      <c r="F143" s="760"/>
      <c r="G143" s="759"/>
    </row>
    <row r="144" spans="1:9" s="151" customFormat="1" x14ac:dyDescent="0.2">
      <c r="A144" s="183" t="s">
        <v>570</v>
      </c>
      <c r="B144" s="778">
        <f>C85</f>
        <v>0</v>
      </c>
      <c r="C144" s="760"/>
      <c r="D144" s="760"/>
      <c r="E144" s="760"/>
      <c r="F144" s="760"/>
      <c r="G144" s="759"/>
    </row>
    <row r="145" spans="1:35" s="151" customFormat="1" hidden="1" x14ac:dyDescent="0.2">
      <c r="A145" s="183" t="s">
        <v>553</v>
      </c>
      <c r="B145" s="778">
        <f ca="1">IF(B102=B103,SUM(E86,E83),0)</f>
        <v>135193.20947092687</v>
      </c>
      <c r="C145" s="760"/>
      <c r="D145" s="760"/>
      <c r="E145" s="760"/>
      <c r="F145" s="760"/>
      <c r="G145" s="759"/>
    </row>
    <row r="146" spans="1:35" s="151" customFormat="1" ht="25.5" hidden="1" x14ac:dyDescent="0.2">
      <c r="A146" s="183" t="s">
        <v>554</v>
      </c>
      <c r="B146" s="778">
        <f>IF(B102=B104,SUM(E84,E87),0)</f>
        <v>0</v>
      </c>
      <c r="C146" s="760"/>
      <c r="D146" s="746" t="s">
        <v>547</v>
      </c>
      <c r="E146" s="746">
        <f ca="1">SUM(B140:B144,B148)-'pagaidu lapa'!C8</f>
        <v>0</v>
      </c>
      <c r="F146" s="760"/>
      <c r="G146" s="759"/>
    </row>
    <row r="147" spans="1:35" s="151" customFormat="1" hidden="1" x14ac:dyDescent="0.2">
      <c r="A147" s="183" t="s">
        <v>571</v>
      </c>
      <c r="B147" s="778">
        <f ca="1">E85</f>
        <v>0</v>
      </c>
      <c r="C147" s="760"/>
      <c r="D147" s="746"/>
      <c r="E147" s="172"/>
      <c r="F147" s="760"/>
      <c r="G147" s="759"/>
    </row>
    <row r="148" spans="1:35" s="151" customFormat="1" x14ac:dyDescent="0.2">
      <c r="A148" s="183" t="s">
        <v>41</v>
      </c>
      <c r="B148" s="778">
        <f>SUM(B77:G77,B69:G69)</f>
        <v>342018.39</v>
      </c>
      <c r="C148" s="746"/>
      <c r="F148" s="746"/>
      <c r="G148" s="747"/>
    </row>
    <row r="149" spans="1:35" s="71" customFormat="1" ht="36" x14ac:dyDescent="0.2">
      <c r="A149" s="184" t="s">
        <v>42</v>
      </c>
      <c r="B149" s="185"/>
      <c r="C149" s="719"/>
      <c r="D149" s="719"/>
      <c r="E149" s="389"/>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row>
    <row r="150" spans="1:35" s="71" customFormat="1" ht="12.75" customHeight="1" x14ac:dyDescent="0.2">
      <c r="A150" s="75"/>
      <c r="B150" s="75"/>
      <c r="C150" s="389"/>
      <c r="D150" s="389"/>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row>
    <row r="151" spans="1:35" s="71" customFormat="1" ht="31.5" x14ac:dyDescent="0.2">
      <c r="A151" s="186" t="s">
        <v>424</v>
      </c>
      <c r="B151" s="187"/>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row>
    <row r="152" spans="1:35" s="71" customFormat="1" x14ac:dyDescent="0.2">
      <c r="A152" s="84"/>
      <c r="B152" s="188">
        <f>B32</f>
        <v>2014</v>
      </c>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row>
    <row r="153" spans="1:35" s="71" customFormat="1" ht="15" x14ac:dyDescent="0.2">
      <c r="A153" s="189" t="s">
        <v>43</v>
      </c>
      <c r="B153" s="190"/>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row>
    <row r="154" spans="1:35" s="193" customFormat="1" ht="25.5" x14ac:dyDescent="0.2">
      <c r="A154" s="191" t="s">
        <v>500</v>
      </c>
      <c r="B154" s="192"/>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row>
    <row r="155" spans="1:35" s="71" customFormat="1" x14ac:dyDescent="0.2">
      <c r="A155" s="92" t="s">
        <v>10</v>
      </c>
      <c r="B155" s="194">
        <v>550000</v>
      </c>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row>
    <row r="156" spans="1:35" s="71" customFormat="1" x14ac:dyDescent="0.2">
      <c r="A156" s="92" t="s">
        <v>11</v>
      </c>
      <c r="B156" s="194">
        <v>76000</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row>
    <row r="157" spans="1:35" s="71" customFormat="1" x14ac:dyDescent="0.2">
      <c r="A157" s="92" t="s">
        <v>12</v>
      </c>
      <c r="B157" s="194">
        <v>0</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row>
    <row r="158" spans="1:35" s="71" customFormat="1" x14ac:dyDescent="0.2">
      <c r="A158" s="92" t="s">
        <v>519</v>
      </c>
      <c r="B158" s="194"/>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row>
    <row r="159" spans="1:35" s="193" customFormat="1" ht="25.5" x14ac:dyDescent="0.2">
      <c r="A159" s="191" t="s">
        <v>501</v>
      </c>
      <c r="B159" s="19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row>
    <row r="160" spans="1:35" s="71" customFormat="1" x14ac:dyDescent="0.2">
      <c r="A160" s="84" t="s">
        <v>10</v>
      </c>
      <c r="B160" s="194">
        <v>464000</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row>
    <row r="161" spans="1:36" s="71" customFormat="1" x14ac:dyDescent="0.2">
      <c r="A161" s="84" t="s">
        <v>11</v>
      </c>
      <c r="B161" s="194">
        <v>46000</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row>
    <row r="162" spans="1:36" s="71" customFormat="1" x14ac:dyDescent="0.2">
      <c r="A162" s="84" t="s">
        <v>12</v>
      </c>
      <c r="B162" s="194">
        <v>0</v>
      </c>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row>
    <row r="163" spans="1:36" s="71" customFormat="1" x14ac:dyDescent="0.2">
      <c r="A163" s="92" t="s">
        <v>519</v>
      </c>
      <c r="B163" s="194"/>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row>
    <row r="164" spans="1:36" s="71" customFormat="1" ht="15" x14ac:dyDescent="0.2">
      <c r="A164" s="196" t="s">
        <v>45</v>
      </c>
      <c r="B164" s="197">
        <f>SUM(B155:B163)</f>
        <v>1136000</v>
      </c>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row>
    <row r="165" spans="1:36" s="193" customFormat="1" ht="25.5" x14ac:dyDescent="0.2">
      <c r="A165" s="191" t="s">
        <v>46</v>
      </c>
      <c r="B165" s="19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row>
    <row r="166" spans="1:36" s="71" customFormat="1" x14ac:dyDescent="0.2">
      <c r="A166" s="92" t="s">
        <v>10</v>
      </c>
      <c r="B166" s="194">
        <v>11000</v>
      </c>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row>
    <row r="167" spans="1:36" s="71" customFormat="1" x14ac:dyDescent="0.2">
      <c r="A167" s="92" t="s">
        <v>11</v>
      </c>
      <c r="B167" s="194">
        <v>5066</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row>
    <row r="168" spans="1:36" s="71" customFormat="1" x14ac:dyDescent="0.2">
      <c r="A168" s="92" t="s">
        <v>12</v>
      </c>
      <c r="B168" s="194">
        <v>0</v>
      </c>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row>
    <row r="169" spans="1:36" s="71" customFormat="1" x14ac:dyDescent="0.2">
      <c r="A169" s="92" t="s">
        <v>519</v>
      </c>
      <c r="B169" s="194">
        <v>0</v>
      </c>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row>
    <row r="170" spans="1:36" s="193" customFormat="1" ht="25.5" x14ac:dyDescent="0.2">
      <c r="A170" s="191" t="s">
        <v>47</v>
      </c>
      <c r="B170" s="19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row>
    <row r="171" spans="1:36" s="71" customFormat="1" x14ac:dyDescent="0.2">
      <c r="A171" s="84" t="s">
        <v>10</v>
      </c>
      <c r="B171" s="194">
        <v>9300</v>
      </c>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row>
    <row r="172" spans="1:36" s="71" customFormat="1" x14ac:dyDescent="0.2">
      <c r="A172" s="84" t="s">
        <v>11</v>
      </c>
      <c r="B172" s="194">
        <v>3066</v>
      </c>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row>
    <row r="173" spans="1:36" s="71" customFormat="1" x14ac:dyDescent="0.2">
      <c r="A173" s="84" t="s">
        <v>12</v>
      </c>
      <c r="B173" s="194">
        <v>0</v>
      </c>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row>
    <row r="174" spans="1:36" s="71" customFormat="1" x14ac:dyDescent="0.2">
      <c r="A174" s="92" t="s">
        <v>519</v>
      </c>
      <c r="B174" s="194">
        <v>0</v>
      </c>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row>
    <row r="175" spans="1:36" x14ac:dyDescent="0.2">
      <c r="AI175" s="75"/>
      <c r="AJ175" s="71"/>
    </row>
    <row r="176" spans="1:36" s="71" customFormat="1" ht="15.75" x14ac:dyDescent="0.2">
      <c r="A176" s="198" t="s">
        <v>304</v>
      </c>
      <c r="B176" s="63"/>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row>
    <row r="177" spans="1:35" s="71" customFormat="1" x14ac:dyDescent="0.2">
      <c r="A177" s="84"/>
      <c r="B177" s="199">
        <f>B32</f>
        <v>2014</v>
      </c>
      <c r="C177" s="200">
        <f>B177+1</f>
        <v>2015</v>
      </c>
      <c r="D177" s="200">
        <f t="shared" ref="D177:AG177" si="22">C177+1</f>
        <v>2016</v>
      </c>
      <c r="E177" s="200">
        <f t="shared" si="22"/>
        <v>2017</v>
      </c>
      <c r="F177" s="200">
        <f t="shared" si="22"/>
        <v>2018</v>
      </c>
      <c r="G177" s="200">
        <f t="shared" si="22"/>
        <v>2019</v>
      </c>
      <c r="H177" s="200">
        <f t="shared" si="22"/>
        <v>2020</v>
      </c>
      <c r="I177" s="200">
        <f t="shared" si="22"/>
        <v>2021</v>
      </c>
      <c r="J177" s="200">
        <f t="shared" si="22"/>
        <v>2022</v>
      </c>
      <c r="K177" s="200">
        <f t="shared" si="22"/>
        <v>2023</v>
      </c>
      <c r="L177" s="200">
        <f t="shared" si="22"/>
        <v>2024</v>
      </c>
      <c r="M177" s="200">
        <f t="shared" si="22"/>
        <v>2025</v>
      </c>
      <c r="N177" s="200">
        <f t="shared" si="22"/>
        <v>2026</v>
      </c>
      <c r="O177" s="200">
        <f t="shared" si="22"/>
        <v>2027</v>
      </c>
      <c r="P177" s="200">
        <f t="shared" si="22"/>
        <v>2028</v>
      </c>
      <c r="Q177" s="200">
        <f t="shared" si="22"/>
        <v>2029</v>
      </c>
      <c r="R177" s="200">
        <f t="shared" si="22"/>
        <v>2030</v>
      </c>
      <c r="S177" s="200">
        <f t="shared" si="22"/>
        <v>2031</v>
      </c>
      <c r="T177" s="200">
        <f t="shared" si="22"/>
        <v>2032</v>
      </c>
      <c r="U177" s="200">
        <f t="shared" si="22"/>
        <v>2033</v>
      </c>
      <c r="V177" s="200">
        <f t="shared" si="22"/>
        <v>2034</v>
      </c>
      <c r="W177" s="200">
        <f t="shared" si="22"/>
        <v>2035</v>
      </c>
      <c r="X177" s="200">
        <f t="shared" si="22"/>
        <v>2036</v>
      </c>
      <c r="Y177" s="200">
        <f t="shared" si="22"/>
        <v>2037</v>
      </c>
      <c r="Z177" s="200">
        <f t="shared" si="22"/>
        <v>2038</v>
      </c>
      <c r="AA177" s="200">
        <f t="shared" si="22"/>
        <v>2039</v>
      </c>
      <c r="AB177" s="200">
        <f t="shared" si="22"/>
        <v>2040</v>
      </c>
      <c r="AC177" s="200">
        <f t="shared" si="22"/>
        <v>2041</v>
      </c>
      <c r="AD177" s="200">
        <f t="shared" si="22"/>
        <v>2042</v>
      </c>
      <c r="AE177" s="200">
        <f t="shared" si="22"/>
        <v>2043</v>
      </c>
      <c r="AF177" s="200">
        <f t="shared" si="22"/>
        <v>2044</v>
      </c>
      <c r="AG177" s="200">
        <f t="shared" si="22"/>
        <v>2045</v>
      </c>
      <c r="AH177" s="200">
        <f>AG177+1</f>
        <v>2046</v>
      </c>
      <c r="AI177" s="75"/>
    </row>
    <row r="178" spans="1:35" s="71" customFormat="1" ht="15" x14ac:dyDescent="0.2">
      <c r="A178" s="80" t="s">
        <v>48</v>
      </c>
      <c r="B178" s="201"/>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202"/>
      <c r="AH178" s="202"/>
      <c r="AI178" s="75"/>
    </row>
    <row r="179" spans="1:35" s="71" customFormat="1" x14ac:dyDescent="0.2">
      <c r="A179" s="203" t="s">
        <v>49</v>
      </c>
      <c r="B179" s="204"/>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2"/>
      <c r="AH179" s="202"/>
      <c r="AI179" s="75"/>
    </row>
    <row r="180" spans="1:35" s="71" customFormat="1" x14ac:dyDescent="0.2">
      <c r="A180" s="92" t="s">
        <v>50</v>
      </c>
      <c r="B180" s="113"/>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2"/>
      <c r="AH180" s="202"/>
      <c r="AI180" s="75"/>
    </row>
    <row r="181" spans="1:35" s="71" customFormat="1" x14ac:dyDescent="0.2">
      <c r="A181" s="92" t="s">
        <v>51</v>
      </c>
      <c r="B181" s="206">
        <v>38650</v>
      </c>
      <c r="C181" s="207">
        <f t="shared" ref="C181:AF181" si="23">$B181*HLOOKUP(C$177,$C$436:$AG$441,4)</f>
        <v>40196</v>
      </c>
      <c r="D181" s="207">
        <f t="shared" si="23"/>
        <v>41355.5</v>
      </c>
      <c r="E181" s="207">
        <f t="shared" si="23"/>
        <v>42515</v>
      </c>
      <c r="F181" s="207">
        <f t="shared" si="23"/>
        <v>43288.000000000007</v>
      </c>
      <c r="G181" s="207">
        <f t="shared" si="23"/>
        <v>44060.999999999993</v>
      </c>
      <c r="H181" s="207">
        <f t="shared" si="23"/>
        <v>44834</v>
      </c>
      <c r="I181" s="207">
        <f t="shared" si="23"/>
        <v>45607</v>
      </c>
      <c r="J181" s="207">
        <f t="shared" si="23"/>
        <v>46380</v>
      </c>
      <c r="K181" s="207">
        <f t="shared" si="23"/>
        <v>47153</v>
      </c>
      <c r="L181" s="207">
        <f t="shared" si="23"/>
        <v>47926</v>
      </c>
      <c r="M181" s="207">
        <f t="shared" si="23"/>
        <v>48699</v>
      </c>
      <c r="N181" s="207">
        <f t="shared" si="23"/>
        <v>49858.5</v>
      </c>
      <c r="O181" s="207">
        <f t="shared" si="23"/>
        <v>51018</v>
      </c>
      <c r="P181" s="207">
        <f t="shared" si="23"/>
        <v>52177.5</v>
      </c>
      <c r="Q181" s="207">
        <f t="shared" si="23"/>
        <v>53336.999999999993</v>
      </c>
      <c r="R181" s="207">
        <f t="shared" si="23"/>
        <v>54496.5</v>
      </c>
      <c r="S181" s="207">
        <f t="shared" si="23"/>
        <v>55656</v>
      </c>
      <c r="T181" s="207">
        <f t="shared" si="23"/>
        <v>56815.5</v>
      </c>
      <c r="U181" s="207">
        <f t="shared" si="23"/>
        <v>57975</v>
      </c>
      <c r="V181" s="207">
        <f t="shared" si="23"/>
        <v>59134.5</v>
      </c>
      <c r="W181" s="207">
        <f t="shared" si="23"/>
        <v>60294</v>
      </c>
      <c r="X181" s="207">
        <f t="shared" si="23"/>
        <v>61453.5</v>
      </c>
      <c r="Y181" s="207">
        <f t="shared" si="23"/>
        <v>62613.000000000007</v>
      </c>
      <c r="Z181" s="207">
        <f t="shared" si="23"/>
        <v>63772.5</v>
      </c>
      <c r="AA181" s="207">
        <f t="shared" si="23"/>
        <v>64932</v>
      </c>
      <c r="AB181" s="207">
        <f t="shared" si="23"/>
        <v>66091.5</v>
      </c>
      <c r="AC181" s="207">
        <f t="shared" si="23"/>
        <v>67251</v>
      </c>
      <c r="AD181" s="207">
        <f t="shared" si="23"/>
        <v>68410.5</v>
      </c>
      <c r="AE181" s="207">
        <f t="shared" si="23"/>
        <v>69956.5</v>
      </c>
      <c r="AF181" s="207">
        <f t="shared" si="23"/>
        <v>71502.5</v>
      </c>
      <c r="AG181" s="208">
        <f t="shared" ref="AG181:AG199" si="24">AF181+1</f>
        <v>71503.5</v>
      </c>
      <c r="AH181" s="208">
        <f t="shared" ref="AH181:AH199" si="25">AG181+1</f>
        <v>71504.5</v>
      </c>
      <c r="AI181" s="75"/>
    </row>
    <row r="182" spans="1:35" s="71" customFormat="1" x14ac:dyDescent="0.2">
      <c r="A182" s="92" t="s">
        <v>52</v>
      </c>
      <c r="B182" s="206">
        <v>52650</v>
      </c>
      <c r="C182" s="207">
        <f>$B182*HLOOKUP(C$177,'Datu ievade'!$C$436:$AG$441,4)</f>
        <v>54756</v>
      </c>
      <c r="D182" s="207">
        <f>$B182*HLOOKUP(D$177,'Datu ievade'!$C$436:$AG$441,4)</f>
        <v>56335.5</v>
      </c>
      <c r="E182" s="207">
        <f>$B182*HLOOKUP(E$177,'Datu ievade'!$C$436:$AG$441,4)</f>
        <v>57915.000000000007</v>
      </c>
      <c r="F182" s="207">
        <f>$B182*HLOOKUP(F$177,'Datu ievade'!$C$436:$AG$441,4)</f>
        <v>58968.000000000007</v>
      </c>
      <c r="G182" s="207">
        <f>$B182*HLOOKUP(G$177,'Datu ievade'!$C$436:$AG$441,4)</f>
        <v>60020.999999999993</v>
      </c>
      <c r="H182" s="207">
        <f>$B182*HLOOKUP(H$177,'Datu ievade'!$C$436:$AG$441,4)</f>
        <v>61073.999999999993</v>
      </c>
      <c r="I182" s="207">
        <f>$B182*HLOOKUP(I$177,'Datu ievade'!$C$436:$AG$441,4)</f>
        <v>62127</v>
      </c>
      <c r="J182" s="207">
        <f>$B182*HLOOKUP(J$177,'Datu ievade'!$C$436:$AG$441,4)</f>
        <v>63180</v>
      </c>
      <c r="K182" s="207">
        <f>$B182*HLOOKUP(K$177,'Datu ievade'!$C$436:$AG$441,4)</f>
        <v>64233</v>
      </c>
      <c r="L182" s="207">
        <f>$B182*HLOOKUP(L$177,'Datu ievade'!$C$436:$AG$441,4)</f>
        <v>65286</v>
      </c>
      <c r="M182" s="207">
        <f>$B182*HLOOKUP(M$177,'Datu ievade'!$C$436:$AG$441,4)</f>
        <v>66339</v>
      </c>
      <c r="N182" s="207">
        <f>$B182*HLOOKUP(N$177,'Datu ievade'!$C$436:$AG$441,4)</f>
        <v>67918.5</v>
      </c>
      <c r="O182" s="207">
        <f>$B182*HLOOKUP(O$177,'Datu ievade'!$C$436:$AG$441,4)</f>
        <v>69498</v>
      </c>
      <c r="P182" s="207">
        <f>$B182*HLOOKUP(P$177,'Datu ievade'!$C$436:$AG$441,4)</f>
        <v>71077.5</v>
      </c>
      <c r="Q182" s="207">
        <f>$B182*HLOOKUP(Q$177,'Datu ievade'!$C$436:$AG$441,4)</f>
        <v>72657</v>
      </c>
      <c r="R182" s="207">
        <f>$B182*HLOOKUP(R$177,'Datu ievade'!$C$436:$AG$441,4)</f>
        <v>74236.5</v>
      </c>
      <c r="S182" s="207">
        <f>$B182*HLOOKUP(S$177,'Datu ievade'!$C$436:$AG$441,4)</f>
        <v>75816</v>
      </c>
      <c r="T182" s="207">
        <f>$B182*HLOOKUP(T$177,'Datu ievade'!$C$436:$AG$441,4)</f>
        <v>77395.5</v>
      </c>
      <c r="U182" s="207">
        <f>$B182*HLOOKUP(U$177,'Datu ievade'!$C$436:$AG$441,4)</f>
        <v>78975</v>
      </c>
      <c r="V182" s="207">
        <f>$B182*HLOOKUP(V$177,'Datu ievade'!$C$436:$AG$441,4)</f>
        <v>80554.5</v>
      </c>
      <c r="W182" s="207">
        <f>$B182*HLOOKUP(W$177,'Datu ievade'!$C$436:$AG$441,4)</f>
        <v>82134</v>
      </c>
      <c r="X182" s="207">
        <f>$B182*HLOOKUP(X$177,'Datu ievade'!$C$436:$AG$441,4)</f>
        <v>83713.5</v>
      </c>
      <c r="Y182" s="207">
        <f>$B182*HLOOKUP(Y$177,'Datu ievade'!$C$436:$AG$441,4)</f>
        <v>85293</v>
      </c>
      <c r="Z182" s="207">
        <f>$B182*HLOOKUP(Z$177,'Datu ievade'!$C$436:$AG$441,4)</f>
        <v>86872.5</v>
      </c>
      <c r="AA182" s="207">
        <f>$B182*HLOOKUP(AA$177,'Datu ievade'!$C$436:$AG$441,4)</f>
        <v>88452</v>
      </c>
      <c r="AB182" s="207">
        <f>$B182*HLOOKUP(AB$177,'Datu ievade'!$C$436:$AG$441,4)</f>
        <v>90031.5</v>
      </c>
      <c r="AC182" s="207">
        <f>$B182*HLOOKUP(AC$177,'Datu ievade'!$C$436:$AG$441,4)</f>
        <v>91611</v>
      </c>
      <c r="AD182" s="207">
        <f>$B182*HLOOKUP(AD$177,'Datu ievade'!$C$436:$AG$441,4)</f>
        <v>93190.5</v>
      </c>
      <c r="AE182" s="207">
        <f>$B182*HLOOKUP(AE$177,'Datu ievade'!$C$436:$AG$441,4)</f>
        <v>95296.5</v>
      </c>
      <c r="AF182" s="207">
        <f>$B182*HLOOKUP(AF$177,'Datu ievade'!$C$436:$AG$441,4)</f>
        <v>97402.5</v>
      </c>
      <c r="AG182" s="208">
        <f t="shared" si="24"/>
        <v>97403.5</v>
      </c>
      <c r="AH182" s="208">
        <f t="shared" si="25"/>
        <v>97404.5</v>
      </c>
      <c r="AI182" s="75"/>
    </row>
    <row r="183" spans="1:35" s="71" customFormat="1" x14ac:dyDescent="0.2">
      <c r="A183" s="92" t="s">
        <v>53</v>
      </c>
      <c r="B183" s="206">
        <v>10155</v>
      </c>
      <c r="C183" s="207">
        <f>$B183*HLOOKUP(C$177,'Datu ievade'!$C$436:$AG$441,4)</f>
        <v>10561.2</v>
      </c>
      <c r="D183" s="207">
        <f>$B183*HLOOKUP(D$177,'Datu ievade'!$C$436:$AG$441,4)</f>
        <v>10865.85</v>
      </c>
      <c r="E183" s="207">
        <f>$B183*HLOOKUP(E$177,'Datu ievade'!$C$436:$AG$441,4)</f>
        <v>11170.5</v>
      </c>
      <c r="F183" s="207">
        <f>$B183*HLOOKUP(F$177,'Datu ievade'!$C$436:$AG$441,4)</f>
        <v>11373.6</v>
      </c>
      <c r="G183" s="207">
        <f>$B183*HLOOKUP(G$177,'Datu ievade'!$C$436:$AG$441,4)</f>
        <v>11576.699999999999</v>
      </c>
      <c r="H183" s="207">
        <f>$B183*HLOOKUP(H$177,'Datu ievade'!$C$436:$AG$441,4)</f>
        <v>11779.8</v>
      </c>
      <c r="I183" s="207">
        <f>$B183*HLOOKUP(I$177,'Datu ievade'!$C$436:$AG$441,4)</f>
        <v>11982.9</v>
      </c>
      <c r="J183" s="207">
        <f>$B183*HLOOKUP(J$177,'Datu ievade'!$C$436:$AG$441,4)</f>
        <v>12186</v>
      </c>
      <c r="K183" s="207">
        <f>$B183*HLOOKUP(K$177,'Datu ievade'!$C$436:$AG$441,4)</f>
        <v>12389.1</v>
      </c>
      <c r="L183" s="207">
        <f>$B183*HLOOKUP(L$177,'Datu ievade'!$C$436:$AG$441,4)</f>
        <v>12592.2</v>
      </c>
      <c r="M183" s="207">
        <f>$B183*HLOOKUP(M$177,'Datu ievade'!$C$436:$AG$441,4)</f>
        <v>12795.3</v>
      </c>
      <c r="N183" s="207">
        <f>$B183*HLOOKUP(N$177,'Datu ievade'!$C$436:$AG$441,4)</f>
        <v>13099.95</v>
      </c>
      <c r="O183" s="207">
        <f>$B183*HLOOKUP(O$177,'Datu ievade'!$C$436:$AG$441,4)</f>
        <v>13404.6</v>
      </c>
      <c r="P183" s="207">
        <f>$B183*HLOOKUP(P$177,'Datu ievade'!$C$436:$AG$441,4)</f>
        <v>13709.25</v>
      </c>
      <c r="Q183" s="207">
        <f>$B183*HLOOKUP(Q$177,'Datu ievade'!$C$436:$AG$441,4)</f>
        <v>14013.9</v>
      </c>
      <c r="R183" s="207">
        <f>$B183*HLOOKUP(R$177,'Datu ievade'!$C$436:$AG$441,4)</f>
        <v>14318.55</v>
      </c>
      <c r="S183" s="207">
        <f>$B183*HLOOKUP(S$177,'Datu ievade'!$C$436:$AG$441,4)</f>
        <v>14623.199999999999</v>
      </c>
      <c r="T183" s="207">
        <f>$B183*HLOOKUP(T$177,'Datu ievade'!$C$436:$AG$441,4)</f>
        <v>14927.85</v>
      </c>
      <c r="U183" s="207">
        <f>$B183*HLOOKUP(U$177,'Datu ievade'!$C$436:$AG$441,4)</f>
        <v>15232.5</v>
      </c>
      <c r="V183" s="207">
        <f>$B183*HLOOKUP(V$177,'Datu ievade'!$C$436:$AG$441,4)</f>
        <v>15537.15</v>
      </c>
      <c r="W183" s="207">
        <f>$B183*HLOOKUP(W$177,'Datu ievade'!$C$436:$AG$441,4)</f>
        <v>15841.800000000001</v>
      </c>
      <c r="X183" s="207">
        <f>$B183*HLOOKUP(X$177,'Datu ievade'!$C$436:$AG$441,4)</f>
        <v>16146.45</v>
      </c>
      <c r="Y183" s="207">
        <f>$B183*HLOOKUP(Y$177,'Datu ievade'!$C$436:$AG$441,4)</f>
        <v>16451.100000000002</v>
      </c>
      <c r="Z183" s="207">
        <f>$B183*HLOOKUP(Z$177,'Datu ievade'!$C$436:$AG$441,4)</f>
        <v>16755.75</v>
      </c>
      <c r="AA183" s="207">
        <f>$B183*HLOOKUP(AA$177,'Datu ievade'!$C$436:$AG$441,4)</f>
        <v>17060.399999999998</v>
      </c>
      <c r="AB183" s="207">
        <f>$B183*HLOOKUP(AB$177,'Datu ievade'!$C$436:$AG$441,4)</f>
        <v>17365.05</v>
      </c>
      <c r="AC183" s="207">
        <f>$B183*HLOOKUP(AC$177,'Datu ievade'!$C$436:$AG$441,4)</f>
        <v>17669.7</v>
      </c>
      <c r="AD183" s="207">
        <f>$B183*HLOOKUP(AD$177,'Datu ievade'!$C$436:$AG$441,4)</f>
        <v>17974.349999999999</v>
      </c>
      <c r="AE183" s="207">
        <f>$B183*HLOOKUP(AE$177,'Datu ievade'!$C$436:$AG$441,4)</f>
        <v>18380.55</v>
      </c>
      <c r="AF183" s="207">
        <f>$B183*HLOOKUP(AF$177,'Datu ievade'!$C$436:$AG$441,4)</f>
        <v>18786.75</v>
      </c>
      <c r="AG183" s="208">
        <f t="shared" si="24"/>
        <v>18787.75</v>
      </c>
      <c r="AH183" s="208">
        <f t="shared" si="25"/>
        <v>18788.75</v>
      </c>
      <c r="AI183" s="75"/>
    </row>
    <row r="184" spans="1:35" s="71" customFormat="1" x14ac:dyDescent="0.2">
      <c r="A184" s="92" t="s">
        <v>54</v>
      </c>
      <c r="B184" s="206">
        <v>32758</v>
      </c>
      <c r="C184" s="207">
        <f>$B184*HLOOKUP(C$177,'Datu ievade'!$C$436:$AG$441,4)</f>
        <v>34068.32</v>
      </c>
      <c r="D184" s="207">
        <f>$B184*HLOOKUP(D$177,'Datu ievade'!$C$436:$AG$441,4)</f>
        <v>35051.060000000005</v>
      </c>
      <c r="E184" s="207">
        <f>$B184*HLOOKUP(E$177,'Datu ievade'!$C$436:$AG$441,4)</f>
        <v>36033.800000000003</v>
      </c>
      <c r="F184" s="207">
        <f>$B184*HLOOKUP(F$177,'Datu ievade'!$C$436:$AG$441,4)</f>
        <v>36688.960000000006</v>
      </c>
      <c r="G184" s="207">
        <f>$B184*HLOOKUP(G$177,'Datu ievade'!$C$436:$AG$441,4)</f>
        <v>37344.119999999995</v>
      </c>
      <c r="H184" s="207">
        <f>$B184*HLOOKUP(H$177,'Datu ievade'!$C$436:$AG$441,4)</f>
        <v>37999.279999999999</v>
      </c>
      <c r="I184" s="207">
        <f>$B184*HLOOKUP(I$177,'Datu ievade'!$C$436:$AG$441,4)</f>
        <v>38654.439999999995</v>
      </c>
      <c r="J184" s="207">
        <f>$B184*HLOOKUP(J$177,'Datu ievade'!$C$436:$AG$441,4)</f>
        <v>39309.599999999999</v>
      </c>
      <c r="K184" s="207">
        <f>$B184*HLOOKUP(K$177,'Datu ievade'!$C$436:$AG$441,4)</f>
        <v>39964.76</v>
      </c>
      <c r="L184" s="207">
        <f>$B184*HLOOKUP(L$177,'Datu ievade'!$C$436:$AG$441,4)</f>
        <v>40619.919999999998</v>
      </c>
      <c r="M184" s="207">
        <f>$B184*HLOOKUP(M$177,'Datu ievade'!$C$436:$AG$441,4)</f>
        <v>41275.08</v>
      </c>
      <c r="N184" s="207">
        <f>$B184*HLOOKUP(N$177,'Datu ievade'!$C$436:$AG$441,4)</f>
        <v>42257.82</v>
      </c>
      <c r="O184" s="207">
        <f>$B184*HLOOKUP(O$177,'Datu ievade'!$C$436:$AG$441,4)</f>
        <v>43240.560000000005</v>
      </c>
      <c r="P184" s="207">
        <f>$B184*HLOOKUP(P$177,'Datu ievade'!$C$436:$AG$441,4)</f>
        <v>44223.3</v>
      </c>
      <c r="Q184" s="207">
        <f>$B184*HLOOKUP(Q$177,'Datu ievade'!$C$436:$AG$441,4)</f>
        <v>45206.039999999994</v>
      </c>
      <c r="R184" s="207">
        <f>$B184*HLOOKUP(R$177,'Datu ievade'!$C$436:$AG$441,4)</f>
        <v>46188.78</v>
      </c>
      <c r="S184" s="207">
        <f>$B184*HLOOKUP(S$177,'Datu ievade'!$C$436:$AG$441,4)</f>
        <v>47171.519999999997</v>
      </c>
      <c r="T184" s="207">
        <f>$B184*HLOOKUP(T$177,'Datu ievade'!$C$436:$AG$441,4)</f>
        <v>48154.26</v>
      </c>
      <c r="U184" s="207">
        <f>$B184*HLOOKUP(U$177,'Datu ievade'!$C$436:$AG$441,4)</f>
        <v>49137</v>
      </c>
      <c r="V184" s="207">
        <f>$B184*HLOOKUP(V$177,'Datu ievade'!$C$436:$AG$441,4)</f>
        <v>50119.74</v>
      </c>
      <c r="W184" s="207">
        <f>$B184*HLOOKUP(W$177,'Datu ievade'!$C$436:$AG$441,4)</f>
        <v>51102.48</v>
      </c>
      <c r="X184" s="207">
        <f>$B184*HLOOKUP(X$177,'Datu ievade'!$C$436:$AG$441,4)</f>
        <v>52085.22</v>
      </c>
      <c r="Y184" s="207">
        <f>$B184*HLOOKUP(Y$177,'Datu ievade'!$C$436:$AG$441,4)</f>
        <v>53067.960000000006</v>
      </c>
      <c r="Z184" s="207">
        <f>$B184*HLOOKUP(Z$177,'Datu ievade'!$C$436:$AG$441,4)</f>
        <v>54050.7</v>
      </c>
      <c r="AA184" s="207">
        <f>$B184*HLOOKUP(AA$177,'Datu ievade'!$C$436:$AG$441,4)</f>
        <v>55033.439999999995</v>
      </c>
      <c r="AB184" s="207">
        <f>$B184*HLOOKUP(AB$177,'Datu ievade'!$C$436:$AG$441,4)</f>
        <v>56016.18</v>
      </c>
      <c r="AC184" s="207">
        <f>$B184*HLOOKUP(AC$177,'Datu ievade'!$C$436:$AG$441,4)</f>
        <v>56998.92</v>
      </c>
      <c r="AD184" s="207">
        <f>$B184*HLOOKUP(AD$177,'Datu ievade'!$C$436:$AG$441,4)</f>
        <v>57981.66</v>
      </c>
      <c r="AE184" s="207">
        <f>$B184*HLOOKUP(AE$177,'Datu ievade'!$C$436:$AG$441,4)</f>
        <v>59291.98</v>
      </c>
      <c r="AF184" s="207">
        <f>$B184*HLOOKUP(AF$177,'Datu ievade'!$C$436:$AG$441,4)</f>
        <v>60602.3</v>
      </c>
      <c r="AG184" s="208">
        <f t="shared" si="24"/>
        <v>60603.3</v>
      </c>
      <c r="AH184" s="208">
        <f t="shared" si="25"/>
        <v>60604.3</v>
      </c>
      <c r="AI184" s="75"/>
    </row>
    <row r="185" spans="1:35" s="71" customFormat="1" ht="25.5" x14ac:dyDescent="0.2">
      <c r="A185" s="92" t="s">
        <v>559</v>
      </c>
      <c r="B185" s="206">
        <v>0</v>
      </c>
      <c r="C185" s="207">
        <f>$B185*HLOOKUP(C$177,'Datu ievade'!$C$436:$AG$441,4)</f>
        <v>0</v>
      </c>
      <c r="D185" s="207">
        <f>$B185*HLOOKUP(D$177,'Datu ievade'!$C$436:$AG$441,4)</f>
        <v>0</v>
      </c>
      <c r="E185" s="207">
        <f>$B185*HLOOKUP(E$177,'Datu ievade'!$C$436:$AG$441,4)</f>
        <v>0</v>
      </c>
      <c r="F185" s="207">
        <f>$B185*HLOOKUP(F$177,'Datu ievade'!$C$436:$AG$441,4)</f>
        <v>0</v>
      </c>
      <c r="G185" s="207">
        <f>$B185*HLOOKUP(G$177,'Datu ievade'!$C$436:$AG$441,4)</f>
        <v>0</v>
      </c>
      <c r="H185" s="207">
        <f>$B185*HLOOKUP(H$177,'Datu ievade'!$C$436:$AG$441,4)</f>
        <v>0</v>
      </c>
      <c r="I185" s="207">
        <f>$B185*HLOOKUP(I$177,'Datu ievade'!$C$436:$AG$441,4)</f>
        <v>0</v>
      </c>
      <c r="J185" s="207">
        <f>$B185*HLOOKUP(J$177,'Datu ievade'!$C$436:$AG$441,4)</f>
        <v>0</v>
      </c>
      <c r="K185" s="207">
        <f>$B185*HLOOKUP(K$177,'Datu ievade'!$C$436:$AG$441,4)</f>
        <v>0</v>
      </c>
      <c r="L185" s="207">
        <f>$B185*HLOOKUP(L$177,'Datu ievade'!$C$436:$AG$441,4)</f>
        <v>0</v>
      </c>
      <c r="M185" s="207">
        <f>$B185*HLOOKUP(M$177,'Datu ievade'!$C$436:$AG$441,4)</f>
        <v>0</v>
      </c>
      <c r="N185" s="207">
        <f>$B185*HLOOKUP(N$177,'Datu ievade'!$C$436:$AG$441,4)</f>
        <v>0</v>
      </c>
      <c r="O185" s="207">
        <f>$B185*HLOOKUP(O$177,'Datu ievade'!$C$436:$AG$441,4)</f>
        <v>0</v>
      </c>
      <c r="P185" s="207">
        <f>$B185*HLOOKUP(P$177,'Datu ievade'!$C$436:$AG$441,4)</f>
        <v>0</v>
      </c>
      <c r="Q185" s="207">
        <f>$B185*HLOOKUP(Q$177,'Datu ievade'!$C$436:$AG$441,4)</f>
        <v>0</v>
      </c>
      <c r="R185" s="207">
        <f>$B185*HLOOKUP(R$177,'Datu ievade'!$C$436:$AG$441,4)</f>
        <v>0</v>
      </c>
      <c r="S185" s="207">
        <f>$B185*HLOOKUP(S$177,'Datu ievade'!$C$436:$AG$441,4)</f>
        <v>0</v>
      </c>
      <c r="T185" s="207">
        <f>$B185*HLOOKUP(T$177,'Datu ievade'!$C$436:$AG$441,4)</f>
        <v>0</v>
      </c>
      <c r="U185" s="207">
        <f>$B185*HLOOKUP(U$177,'Datu ievade'!$C$436:$AG$441,4)</f>
        <v>0</v>
      </c>
      <c r="V185" s="207">
        <f>$B185*HLOOKUP(V$177,'Datu ievade'!$C$436:$AG$441,4)</f>
        <v>0</v>
      </c>
      <c r="W185" s="207">
        <f>$B185*HLOOKUP(W$177,'Datu ievade'!$C$436:$AG$441,4)</f>
        <v>0</v>
      </c>
      <c r="X185" s="207">
        <f>$B185*HLOOKUP(X$177,'Datu ievade'!$C$436:$AG$441,4)</f>
        <v>0</v>
      </c>
      <c r="Y185" s="207">
        <f>$B185*HLOOKUP(Y$177,'Datu ievade'!$C$436:$AG$441,4)</f>
        <v>0</v>
      </c>
      <c r="Z185" s="207">
        <f>$B185*HLOOKUP(Z$177,'Datu ievade'!$C$436:$AG$441,4)</f>
        <v>0</v>
      </c>
      <c r="AA185" s="207">
        <f>$B185*HLOOKUP(AA$177,'Datu ievade'!$C$436:$AG$441,4)</f>
        <v>0</v>
      </c>
      <c r="AB185" s="207">
        <f>$B185*HLOOKUP(AB$177,'Datu ievade'!$C$436:$AG$441,4)</f>
        <v>0</v>
      </c>
      <c r="AC185" s="207">
        <f>$B185*HLOOKUP(AC$177,'Datu ievade'!$C$436:$AG$441,4)</f>
        <v>0</v>
      </c>
      <c r="AD185" s="207">
        <f>$B185*HLOOKUP(AD$177,'Datu ievade'!$C$436:$AG$441,4)</f>
        <v>0</v>
      </c>
      <c r="AE185" s="207">
        <f>$B185*HLOOKUP(AE$177,'Datu ievade'!$C$436:$AG$441,4)</f>
        <v>0</v>
      </c>
      <c r="AF185" s="207">
        <f>$B185*HLOOKUP(AF$177,'Datu ievade'!$C$436:$AG$441,4)</f>
        <v>0</v>
      </c>
      <c r="AG185" s="207">
        <f>$B185*HLOOKUP(AG$177,'Datu ievade'!$C$436:$AG$441,4)</f>
        <v>0</v>
      </c>
      <c r="AH185" s="207">
        <f>$B185*HLOOKUP(AH$177,'Datu ievade'!$C$436:$AG$441,4)</f>
        <v>0</v>
      </c>
      <c r="AI185" s="75"/>
    </row>
    <row r="186" spans="1:35" s="71" customFormat="1" x14ac:dyDescent="0.2">
      <c r="A186" s="92" t="s">
        <v>55</v>
      </c>
      <c r="B186" s="209"/>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183"/>
      <c r="AH186" s="183"/>
      <c r="AI186" s="75"/>
    </row>
    <row r="187" spans="1:35" s="71" customFormat="1" x14ac:dyDescent="0.2">
      <c r="A187" s="92" t="s">
        <v>56</v>
      </c>
      <c r="B187" s="206">
        <v>53400</v>
      </c>
      <c r="C187" s="134">
        <f>$B187*HLOOKUP(C$177,'Datu ievade'!$C$436:$AG$441,6)</f>
        <v>57138</v>
      </c>
      <c r="D187" s="134">
        <f>$B187*HLOOKUP(D$177,'Datu ievade'!$C$436:$AG$441,6)</f>
        <v>58740.000000000007</v>
      </c>
      <c r="E187" s="134">
        <f>$B187*HLOOKUP(E$177,'Datu ievade'!$C$436:$AG$441,6)</f>
        <v>60341.999999999993</v>
      </c>
      <c r="F187" s="134">
        <f>$B187*HLOOKUP(F$177,'Datu ievade'!$C$436:$AG$441,6)</f>
        <v>61409.999999999993</v>
      </c>
      <c r="G187" s="134">
        <f>$B187*HLOOKUP(G$177,'Datu ievade'!$C$436:$AG$441,6)</f>
        <v>62477.999999999993</v>
      </c>
      <c r="H187" s="134">
        <f>$B187*HLOOKUP(H$177,'Datu ievade'!$C$436:$AG$441,6)</f>
        <v>63546</v>
      </c>
      <c r="I187" s="134">
        <f>$B187*HLOOKUP(I$177,'Datu ievade'!$C$436:$AG$441,6)</f>
        <v>64614</v>
      </c>
      <c r="J187" s="134">
        <f>$B187*HLOOKUP(J$177,'Datu ievade'!$C$436:$AG$441,6)</f>
        <v>65682</v>
      </c>
      <c r="K187" s="134">
        <f>$B187*HLOOKUP(K$177,'Datu ievade'!$C$436:$AG$441,6)</f>
        <v>66750</v>
      </c>
      <c r="L187" s="134">
        <f>$B187*HLOOKUP(L$177,'Datu ievade'!$C$436:$AG$441,6)</f>
        <v>67818</v>
      </c>
      <c r="M187" s="134">
        <f>$B187*HLOOKUP(M$177,'Datu ievade'!$C$436:$AG$441,6)</f>
        <v>68886</v>
      </c>
      <c r="N187" s="134">
        <f>$B187*HLOOKUP(N$177,'Datu ievade'!$C$436:$AG$441,6)</f>
        <v>69954</v>
      </c>
      <c r="O187" s="134">
        <f>$B187*HLOOKUP(O$177,'Datu ievade'!$C$436:$AG$441,6)</f>
        <v>71022</v>
      </c>
      <c r="P187" s="134">
        <f>$B187*HLOOKUP(P$177,'Datu ievade'!$C$436:$AG$441,6)</f>
        <v>72624</v>
      </c>
      <c r="Q187" s="134">
        <f>$B187*HLOOKUP(Q$177,'Datu ievade'!$C$436:$AG$441,6)</f>
        <v>74226</v>
      </c>
      <c r="R187" s="134">
        <f>$B187*HLOOKUP(R$177,'Datu ievade'!$C$436:$AG$441,6)</f>
        <v>75828</v>
      </c>
      <c r="S187" s="134">
        <f>$B187*HLOOKUP(S$177,'Datu ievade'!$C$436:$AG$441,6)</f>
        <v>77430</v>
      </c>
      <c r="T187" s="134">
        <f>$B187*HLOOKUP(T$177,'Datu ievade'!$C$436:$AG$441,6)</f>
        <v>79032</v>
      </c>
      <c r="U187" s="134">
        <f>$B187*HLOOKUP(U$177,'Datu ievade'!$C$436:$AG$441,6)</f>
        <v>80634</v>
      </c>
      <c r="V187" s="134">
        <f>$B187*HLOOKUP(V$177,'Datu ievade'!$C$436:$AG$441,6)</f>
        <v>82236</v>
      </c>
      <c r="W187" s="134">
        <f>$B187*HLOOKUP(W$177,'Datu ievade'!$C$436:$AG$441,6)</f>
        <v>83838</v>
      </c>
      <c r="X187" s="134">
        <f>$B187*HLOOKUP(X$177,'Datu ievade'!$C$436:$AG$441,6)</f>
        <v>85440</v>
      </c>
      <c r="Y187" s="134">
        <f>$B187*HLOOKUP(Y$177,'Datu ievade'!$C$436:$AG$441,6)</f>
        <v>87042</v>
      </c>
      <c r="Z187" s="134">
        <f>$B187*HLOOKUP(Z$177,'Datu ievade'!$C$436:$AG$441,6)</f>
        <v>88644</v>
      </c>
      <c r="AA187" s="134">
        <f>$B187*HLOOKUP(AA$177,'Datu ievade'!$C$436:$AG$441,6)</f>
        <v>90246</v>
      </c>
      <c r="AB187" s="134">
        <f>$B187*HLOOKUP(AB$177,'Datu ievade'!$C$436:$AG$441,6)</f>
        <v>91848</v>
      </c>
      <c r="AC187" s="134">
        <f>$B187*HLOOKUP(AC$177,'Datu ievade'!$C$436:$AG$441,6)</f>
        <v>93450</v>
      </c>
      <c r="AD187" s="134">
        <f>$B187*HLOOKUP(AD$177,'Datu ievade'!$C$436:$AG$441,6)</f>
        <v>95052</v>
      </c>
      <c r="AE187" s="134">
        <f>$B187*HLOOKUP(AE$177,'Datu ievade'!$C$436:$AG$441,6)</f>
        <v>96654</v>
      </c>
      <c r="AF187" s="134">
        <f>$B187*HLOOKUP(AF$177,'Datu ievade'!$C$436:$AG$441,6)</f>
        <v>98256</v>
      </c>
      <c r="AG187" s="208">
        <f t="shared" si="24"/>
        <v>98257</v>
      </c>
      <c r="AH187" s="208">
        <f t="shared" si="25"/>
        <v>98258</v>
      </c>
      <c r="AI187" s="75"/>
    </row>
    <row r="188" spans="1:35" s="71" customFormat="1" x14ac:dyDescent="0.2">
      <c r="A188" s="92" t="s">
        <v>57</v>
      </c>
      <c r="B188" s="210">
        <f t="shared" ref="B188:AF188" si="26">B187*0.2359</f>
        <v>12597.06</v>
      </c>
      <c r="C188" s="134">
        <f t="shared" si="26"/>
        <v>13478.8542</v>
      </c>
      <c r="D188" s="134">
        <f t="shared" si="26"/>
        <v>13856.766000000001</v>
      </c>
      <c r="E188" s="134">
        <f t="shared" si="26"/>
        <v>14234.677799999998</v>
      </c>
      <c r="F188" s="134">
        <f t="shared" si="26"/>
        <v>14486.618999999999</v>
      </c>
      <c r="G188" s="134">
        <f t="shared" si="26"/>
        <v>14738.560199999998</v>
      </c>
      <c r="H188" s="134">
        <f t="shared" si="26"/>
        <v>14990.501399999999</v>
      </c>
      <c r="I188" s="134">
        <f t="shared" si="26"/>
        <v>15242.4426</v>
      </c>
      <c r="J188" s="134">
        <f t="shared" si="26"/>
        <v>15494.3838</v>
      </c>
      <c r="K188" s="134">
        <f t="shared" si="26"/>
        <v>15746.325000000001</v>
      </c>
      <c r="L188" s="134">
        <f t="shared" si="26"/>
        <v>15998.2662</v>
      </c>
      <c r="M188" s="134">
        <f t="shared" si="26"/>
        <v>16250.207399999999</v>
      </c>
      <c r="N188" s="134">
        <f t="shared" si="26"/>
        <v>16502.1486</v>
      </c>
      <c r="O188" s="134">
        <f t="shared" si="26"/>
        <v>16754.089800000002</v>
      </c>
      <c r="P188" s="134">
        <f t="shared" si="26"/>
        <v>17132.0016</v>
      </c>
      <c r="Q188" s="134">
        <f t="shared" si="26"/>
        <v>17509.913400000001</v>
      </c>
      <c r="R188" s="134">
        <f t="shared" si="26"/>
        <v>17887.825199999999</v>
      </c>
      <c r="S188" s="134">
        <f t="shared" si="26"/>
        <v>18265.737000000001</v>
      </c>
      <c r="T188" s="134">
        <f t="shared" si="26"/>
        <v>18643.648799999999</v>
      </c>
      <c r="U188" s="134">
        <f t="shared" si="26"/>
        <v>19021.560600000001</v>
      </c>
      <c r="V188" s="134">
        <f t="shared" si="26"/>
        <v>19399.472399999999</v>
      </c>
      <c r="W188" s="134">
        <f t="shared" si="26"/>
        <v>19777.3842</v>
      </c>
      <c r="X188" s="134">
        <f t="shared" si="26"/>
        <v>20155.295999999998</v>
      </c>
      <c r="Y188" s="134">
        <f t="shared" si="26"/>
        <v>20533.2078</v>
      </c>
      <c r="Z188" s="134">
        <f t="shared" si="26"/>
        <v>20911.119599999998</v>
      </c>
      <c r="AA188" s="134">
        <f t="shared" si="26"/>
        <v>21289.0314</v>
      </c>
      <c r="AB188" s="134">
        <f t="shared" si="26"/>
        <v>21666.943200000002</v>
      </c>
      <c r="AC188" s="134">
        <f t="shared" si="26"/>
        <v>22044.855</v>
      </c>
      <c r="AD188" s="134">
        <f t="shared" si="26"/>
        <v>22422.766800000001</v>
      </c>
      <c r="AE188" s="134">
        <f t="shared" si="26"/>
        <v>22800.678599999999</v>
      </c>
      <c r="AF188" s="134">
        <f t="shared" si="26"/>
        <v>23178.590400000001</v>
      </c>
      <c r="AG188" s="208">
        <f t="shared" si="24"/>
        <v>23179.590400000001</v>
      </c>
      <c r="AH188" s="208">
        <f t="shared" si="25"/>
        <v>23180.590400000001</v>
      </c>
      <c r="AI188" s="75"/>
    </row>
    <row r="189" spans="1:35" s="71" customFormat="1" x14ac:dyDescent="0.2">
      <c r="A189" s="92" t="s">
        <v>58</v>
      </c>
      <c r="B189" s="206">
        <v>0</v>
      </c>
      <c r="C189" s="134">
        <f>$B189*HLOOKUP(C$177,'Datu ievade'!$C$436:$AG$441,4)</f>
        <v>0</v>
      </c>
      <c r="D189" s="134">
        <f>$B189*HLOOKUP(D$177,'Datu ievade'!$C$436:$AG$441,4)</f>
        <v>0</v>
      </c>
      <c r="E189" s="134">
        <f>$B189*HLOOKUP(E$177,'Datu ievade'!$C$436:$AG$441,4)</f>
        <v>0</v>
      </c>
      <c r="F189" s="134">
        <f>$B189*HLOOKUP(F$177,'Datu ievade'!$C$436:$AG$441,4)</f>
        <v>0</v>
      </c>
      <c r="G189" s="134">
        <f>$B189*HLOOKUP(G$177,'Datu ievade'!$C$436:$AG$441,4)</f>
        <v>0</v>
      </c>
      <c r="H189" s="134">
        <f>$B189*HLOOKUP(H$177,'Datu ievade'!$C$436:$AG$441,4)</f>
        <v>0</v>
      </c>
      <c r="I189" s="134">
        <f>$B189*HLOOKUP(I$177,'Datu ievade'!$C$436:$AG$441,4)</f>
        <v>0</v>
      </c>
      <c r="J189" s="134">
        <f>$B189*HLOOKUP(J$177,'Datu ievade'!$C$436:$AG$441,4)</f>
        <v>0</v>
      </c>
      <c r="K189" s="134">
        <f>$B189*HLOOKUP(K$177,'Datu ievade'!$C$436:$AG$441,4)</f>
        <v>0</v>
      </c>
      <c r="L189" s="134">
        <f>$B189*HLOOKUP(L$177,'Datu ievade'!$C$436:$AG$441,4)</f>
        <v>0</v>
      </c>
      <c r="M189" s="134">
        <f>$B189*HLOOKUP(M$177,'Datu ievade'!$C$436:$AG$441,4)</f>
        <v>0</v>
      </c>
      <c r="N189" s="134">
        <f>$B189*HLOOKUP(N$177,'Datu ievade'!$C$436:$AG$441,4)</f>
        <v>0</v>
      </c>
      <c r="O189" s="134">
        <f>$B189*HLOOKUP(O$177,'Datu ievade'!$C$436:$AG$441,4)</f>
        <v>0</v>
      </c>
      <c r="P189" s="134">
        <f>$B189*HLOOKUP(P$177,'Datu ievade'!$C$436:$AG$441,4)</f>
        <v>0</v>
      </c>
      <c r="Q189" s="134">
        <f>$B189*HLOOKUP(Q$177,'Datu ievade'!$C$436:$AG$441,4)</f>
        <v>0</v>
      </c>
      <c r="R189" s="134">
        <f>$B189*HLOOKUP(R$177,'Datu ievade'!$C$436:$AG$441,4)</f>
        <v>0</v>
      </c>
      <c r="S189" s="134">
        <f>$B189*HLOOKUP(S$177,'Datu ievade'!$C$436:$AG$441,4)</f>
        <v>0</v>
      </c>
      <c r="T189" s="134">
        <f>$B189*HLOOKUP(T$177,'Datu ievade'!$C$436:$AG$441,4)</f>
        <v>0</v>
      </c>
      <c r="U189" s="134">
        <f>$B189*HLOOKUP(U$177,'Datu ievade'!$C$436:$AG$441,4)</f>
        <v>0</v>
      </c>
      <c r="V189" s="134">
        <f>$B189*HLOOKUP(V$177,'Datu ievade'!$C$436:$AG$441,4)</f>
        <v>0</v>
      </c>
      <c r="W189" s="134">
        <f>$B189*HLOOKUP(W$177,'Datu ievade'!$C$436:$AG$441,4)</f>
        <v>0</v>
      </c>
      <c r="X189" s="134">
        <f>$B189*HLOOKUP(X$177,'Datu ievade'!$C$436:$AG$441,4)</f>
        <v>0</v>
      </c>
      <c r="Y189" s="134">
        <f>$B189*HLOOKUP(Y$177,'Datu ievade'!$C$436:$AG$441,4)</f>
        <v>0</v>
      </c>
      <c r="Z189" s="134">
        <f>$B189*HLOOKUP(Z$177,'Datu ievade'!$C$436:$AG$441,4)</f>
        <v>0</v>
      </c>
      <c r="AA189" s="134">
        <f>$B189*HLOOKUP(AA$177,'Datu ievade'!$C$436:$AG$441,4)</f>
        <v>0</v>
      </c>
      <c r="AB189" s="134">
        <f>$B189*HLOOKUP(AB$177,'Datu ievade'!$C$436:$AG$441,4)</f>
        <v>0</v>
      </c>
      <c r="AC189" s="134">
        <f>$B189*HLOOKUP(AC$177,'Datu ievade'!$C$436:$AG$441,4)</f>
        <v>0</v>
      </c>
      <c r="AD189" s="134">
        <f>$B189*HLOOKUP(AD$177,'Datu ievade'!$C$436:$AG$441,4)</f>
        <v>0</v>
      </c>
      <c r="AE189" s="134">
        <f>$B189*HLOOKUP(AE$177,'Datu ievade'!$C$436:$AG$441,4)</f>
        <v>0</v>
      </c>
      <c r="AF189" s="134">
        <f>$B189*HLOOKUP(AF$177,'Datu ievade'!$C$436:$AG$441,4)</f>
        <v>0</v>
      </c>
      <c r="AG189" s="134">
        <f>$B189*HLOOKUP(AG$177,'Datu ievade'!$C$436:$AG$441,4)</f>
        <v>0</v>
      </c>
      <c r="AH189" s="134">
        <f>$B189*HLOOKUP(AH$177,'Datu ievade'!$C$436:$AG$441,4)</f>
        <v>0</v>
      </c>
      <c r="AI189" s="75"/>
    </row>
    <row r="190" spans="1:35" s="71" customFormat="1" x14ac:dyDescent="0.2">
      <c r="A190" s="211" t="s">
        <v>59</v>
      </c>
      <c r="B190" s="212"/>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183"/>
      <c r="AH190" s="183"/>
      <c r="AI190" s="75"/>
    </row>
    <row r="191" spans="1:35" s="71" customFormat="1" x14ac:dyDescent="0.2">
      <c r="A191" s="92" t="s">
        <v>50</v>
      </c>
      <c r="B191" s="209"/>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183"/>
      <c r="AH191" s="183"/>
      <c r="AI191" s="75"/>
    </row>
    <row r="192" spans="1:35" s="71" customFormat="1" x14ac:dyDescent="0.2">
      <c r="A192" s="92" t="s">
        <v>51</v>
      </c>
      <c r="B192" s="206">
        <v>26000</v>
      </c>
      <c r="C192" s="134">
        <f>$B192*HLOOKUP(C$177,'Datu ievade'!$C$436:$AG$441,4)</f>
        <v>27040</v>
      </c>
      <c r="D192" s="134">
        <f>$B192*HLOOKUP(D$177,'Datu ievade'!$C$436:$AG$441,4)</f>
        <v>27820</v>
      </c>
      <c r="E192" s="134">
        <f>$B192*HLOOKUP(E$177,'Datu ievade'!$C$436:$AG$441,4)</f>
        <v>28600.000000000004</v>
      </c>
      <c r="F192" s="134">
        <f>$B192*HLOOKUP(F$177,'Datu ievade'!$C$436:$AG$441,4)</f>
        <v>29120.000000000004</v>
      </c>
      <c r="G192" s="134">
        <f>$B192*HLOOKUP(G$177,'Datu ievade'!$C$436:$AG$441,4)</f>
        <v>29639.999999999996</v>
      </c>
      <c r="H192" s="134">
        <f>$B192*HLOOKUP(H$177,'Datu ievade'!$C$436:$AG$441,4)</f>
        <v>30159.999999999996</v>
      </c>
      <c r="I192" s="134">
        <f>$B192*HLOOKUP(I$177,'Datu ievade'!$C$436:$AG$441,4)</f>
        <v>30680</v>
      </c>
      <c r="J192" s="134">
        <f>$B192*HLOOKUP(J$177,'Datu ievade'!$C$436:$AG$441,4)</f>
        <v>31200</v>
      </c>
      <c r="K192" s="134">
        <f>$B192*HLOOKUP(K$177,'Datu ievade'!$C$436:$AG$441,4)</f>
        <v>31720</v>
      </c>
      <c r="L192" s="134">
        <f>$B192*HLOOKUP(L$177,'Datu ievade'!$C$436:$AG$441,4)</f>
        <v>32240</v>
      </c>
      <c r="M192" s="134">
        <f>$B192*HLOOKUP(M$177,'Datu ievade'!$C$436:$AG$441,4)</f>
        <v>32760</v>
      </c>
      <c r="N192" s="134">
        <f>$B192*HLOOKUP(N$177,'Datu ievade'!$C$436:$AG$441,4)</f>
        <v>33540</v>
      </c>
      <c r="O192" s="134">
        <f>$B192*HLOOKUP(O$177,'Datu ievade'!$C$436:$AG$441,4)</f>
        <v>34320</v>
      </c>
      <c r="P192" s="134">
        <f>$B192*HLOOKUP(P$177,'Datu ievade'!$C$436:$AG$441,4)</f>
        <v>35100</v>
      </c>
      <c r="Q192" s="134">
        <f>$B192*HLOOKUP(Q$177,'Datu ievade'!$C$436:$AG$441,4)</f>
        <v>35880</v>
      </c>
      <c r="R192" s="134">
        <f>$B192*HLOOKUP(R$177,'Datu ievade'!$C$436:$AG$441,4)</f>
        <v>36660</v>
      </c>
      <c r="S192" s="134">
        <f>$B192*HLOOKUP(S$177,'Datu ievade'!$C$436:$AG$441,4)</f>
        <v>37440</v>
      </c>
      <c r="T192" s="134">
        <f>$B192*HLOOKUP(T$177,'Datu ievade'!$C$436:$AG$441,4)</f>
        <v>38220</v>
      </c>
      <c r="U192" s="134">
        <f>$B192*HLOOKUP(U$177,'Datu ievade'!$C$436:$AG$441,4)</f>
        <v>39000</v>
      </c>
      <c r="V192" s="134">
        <f>$B192*HLOOKUP(V$177,'Datu ievade'!$C$436:$AG$441,4)</f>
        <v>39780</v>
      </c>
      <c r="W192" s="134">
        <f>$B192*HLOOKUP(W$177,'Datu ievade'!$C$436:$AG$441,4)</f>
        <v>40560</v>
      </c>
      <c r="X192" s="134">
        <f>$B192*HLOOKUP(X$177,'Datu ievade'!$C$436:$AG$441,4)</f>
        <v>41340</v>
      </c>
      <c r="Y192" s="134">
        <f>$B192*HLOOKUP(Y$177,'Datu ievade'!$C$436:$AG$441,4)</f>
        <v>42120</v>
      </c>
      <c r="Z192" s="134">
        <f>$B192*HLOOKUP(Z$177,'Datu ievade'!$C$436:$AG$441,4)</f>
        <v>42900</v>
      </c>
      <c r="AA192" s="134">
        <f>$B192*HLOOKUP(AA$177,'Datu ievade'!$C$436:$AG$441,4)</f>
        <v>43680</v>
      </c>
      <c r="AB192" s="134">
        <f>$B192*HLOOKUP(AB$177,'Datu ievade'!$C$436:$AG$441,4)</f>
        <v>44460</v>
      </c>
      <c r="AC192" s="134">
        <f>$B192*HLOOKUP(AC$177,'Datu ievade'!$C$436:$AG$441,4)</f>
        <v>45240</v>
      </c>
      <c r="AD192" s="134">
        <f>$B192*HLOOKUP(AD$177,'Datu ievade'!$C$436:$AG$441,4)</f>
        <v>46020</v>
      </c>
      <c r="AE192" s="134">
        <f>$B192*HLOOKUP(AE$177,'Datu ievade'!$C$436:$AG$441,4)</f>
        <v>47060</v>
      </c>
      <c r="AF192" s="134">
        <f>$B192*HLOOKUP(AF$177,'Datu ievade'!$C$436:$AG$441,4)</f>
        <v>48100</v>
      </c>
      <c r="AG192" s="208">
        <f t="shared" si="24"/>
        <v>48101</v>
      </c>
      <c r="AH192" s="208">
        <f t="shared" si="25"/>
        <v>48102</v>
      </c>
      <c r="AI192" s="75"/>
    </row>
    <row r="193" spans="1:35" s="71" customFormat="1" x14ac:dyDescent="0.2">
      <c r="A193" s="92" t="s">
        <v>52</v>
      </c>
      <c r="B193" s="206">
        <v>42486</v>
      </c>
      <c r="C193" s="134">
        <f>$B193*HLOOKUP(C$177,'Datu ievade'!$C$436:$AG$441,4)</f>
        <v>44185.440000000002</v>
      </c>
      <c r="D193" s="134">
        <f>$B193*HLOOKUP(D$177,'Datu ievade'!$C$436:$AG$441,4)</f>
        <v>45460.020000000004</v>
      </c>
      <c r="E193" s="134">
        <f>$B193*HLOOKUP(E$177,'Datu ievade'!$C$436:$AG$441,4)</f>
        <v>46734.600000000006</v>
      </c>
      <c r="F193" s="134">
        <f>$B193*HLOOKUP(F$177,'Datu ievade'!$C$436:$AG$441,4)</f>
        <v>47584.320000000007</v>
      </c>
      <c r="G193" s="134">
        <f>$B193*HLOOKUP(G$177,'Datu ievade'!$C$436:$AG$441,4)</f>
        <v>48434.039999999994</v>
      </c>
      <c r="H193" s="134">
        <f>$B193*HLOOKUP(H$177,'Datu ievade'!$C$436:$AG$441,4)</f>
        <v>49283.759999999995</v>
      </c>
      <c r="I193" s="134">
        <f>$B193*HLOOKUP(I$177,'Datu ievade'!$C$436:$AG$441,4)</f>
        <v>50133.479999999996</v>
      </c>
      <c r="J193" s="134">
        <f>$B193*HLOOKUP(J$177,'Datu ievade'!$C$436:$AG$441,4)</f>
        <v>50983.199999999997</v>
      </c>
      <c r="K193" s="134">
        <f>$B193*HLOOKUP(K$177,'Datu ievade'!$C$436:$AG$441,4)</f>
        <v>51832.92</v>
      </c>
      <c r="L193" s="134">
        <f>$B193*HLOOKUP(L$177,'Datu ievade'!$C$436:$AG$441,4)</f>
        <v>52682.64</v>
      </c>
      <c r="M193" s="134">
        <f>$B193*HLOOKUP(M$177,'Datu ievade'!$C$436:$AG$441,4)</f>
        <v>53532.36</v>
      </c>
      <c r="N193" s="134">
        <f>$B193*HLOOKUP(N$177,'Datu ievade'!$C$436:$AG$441,4)</f>
        <v>54806.94</v>
      </c>
      <c r="O193" s="134">
        <f>$B193*HLOOKUP(O$177,'Datu ievade'!$C$436:$AG$441,4)</f>
        <v>56081.520000000004</v>
      </c>
      <c r="P193" s="134">
        <f>$B193*HLOOKUP(P$177,'Datu ievade'!$C$436:$AG$441,4)</f>
        <v>57356.100000000006</v>
      </c>
      <c r="Q193" s="134">
        <f>$B193*HLOOKUP(Q$177,'Datu ievade'!$C$436:$AG$441,4)</f>
        <v>58630.679999999993</v>
      </c>
      <c r="R193" s="134">
        <f>$B193*HLOOKUP(R$177,'Datu ievade'!$C$436:$AG$441,4)</f>
        <v>59905.259999999995</v>
      </c>
      <c r="S193" s="134">
        <f>$B193*HLOOKUP(S$177,'Datu ievade'!$C$436:$AG$441,4)</f>
        <v>61179.839999999997</v>
      </c>
      <c r="T193" s="134">
        <f>$B193*HLOOKUP(T$177,'Datu ievade'!$C$436:$AG$441,4)</f>
        <v>62454.42</v>
      </c>
      <c r="U193" s="134">
        <f>$B193*HLOOKUP(U$177,'Datu ievade'!$C$436:$AG$441,4)</f>
        <v>63729</v>
      </c>
      <c r="V193" s="134">
        <f>$B193*HLOOKUP(V$177,'Datu ievade'!$C$436:$AG$441,4)</f>
        <v>65003.58</v>
      </c>
      <c r="W193" s="134">
        <f>$B193*HLOOKUP(W$177,'Datu ievade'!$C$436:$AG$441,4)</f>
        <v>66278.16</v>
      </c>
      <c r="X193" s="134">
        <f>$B193*HLOOKUP(X$177,'Datu ievade'!$C$436:$AG$441,4)</f>
        <v>67552.740000000005</v>
      </c>
      <c r="Y193" s="134">
        <f>$B193*HLOOKUP(Y$177,'Datu ievade'!$C$436:$AG$441,4)</f>
        <v>68827.320000000007</v>
      </c>
      <c r="Z193" s="134">
        <f>$B193*HLOOKUP(Z$177,'Datu ievade'!$C$436:$AG$441,4)</f>
        <v>70101.899999999994</v>
      </c>
      <c r="AA193" s="134">
        <f>$B193*HLOOKUP(AA$177,'Datu ievade'!$C$436:$AG$441,4)</f>
        <v>71376.479999999996</v>
      </c>
      <c r="AB193" s="134">
        <f>$B193*HLOOKUP(AB$177,'Datu ievade'!$C$436:$AG$441,4)</f>
        <v>72651.06</v>
      </c>
      <c r="AC193" s="134">
        <f>$B193*HLOOKUP(AC$177,'Datu ievade'!$C$436:$AG$441,4)</f>
        <v>73925.64</v>
      </c>
      <c r="AD193" s="134">
        <f>$B193*HLOOKUP(AD$177,'Datu ievade'!$C$436:$AG$441,4)</f>
        <v>75200.22</v>
      </c>
      <c r="AE193" s="134">
        <f>$B193*HLOOKUP(AE$177,'Datu ievade'!$C$436:$AG$441,4)</f>
        <v>76899.66</v>
      </c>
      <c r="AF193" s="134">
        <f>$B193*HLOOKUP(AF$177,'Datu ievade'!$C$436:$AG$441,4)</f>
        <v>78599.100000000006</v>
      </c>
      <c r="AG193" s="208">
        <f t="shared" si="24"/>
        <v>78600.100000000006</v>
      </c>
      <c r="AH193" s="208">
        <f t="shared" si="25"/>
        <v>78601.100000000006</v>
      </c>
      <c r="AI193" s="75"/>
    </row>
    <row r="194" spans="1:35" s="71" customFormat="1" x14ac:dyDescent="0.2">
      <c r="A194" s="92" t="s">
        <v>53</v>
      </c>
      <c r="B194" s="206">
        <v>9750</v>
      </c>
      <c r="C194" s="134">
        <f>$B194*HLOOKUP(C$177,'Datu ievade'!$C$436:$AG$441,4)</f>
        <v>10140</v>
      </c>
      <c r="D194" s="134">
        <f>$B194*HLOOKUP(D$177,'Datu ievade'!$C$436:$AG$441,4)</f>
        <v>10432.5</v>
      </c>
      <c r="E194" s="134">
        <f>$B194*HLOOKUP(E$177,'Datu ievade'!$C$436:$AG$441,4)</f>
        <v>10725</v>
      </c>
      <c r="F194" s="134">
        <f>$B194*HLOOKUP(F$177,'Datu ievade'!$C$436:$AG$441,4)</f>
        <v>10920.000000000002</v>
      </c>
      <c r="G194" s="134">
        <f>$B194*HLOOKUP(G$177,'Datu ievade'!$C$436:$AG$441,4)</f>
        <v>11114.999999999998</v>
      </c>
      <c r="H194" s="134">
        <f>$B194*HLOOKUP(H$177,'Datu ievade'!$C$436:$AG$441,4)</f>
        <v>11310</v>
      </c>
      <c r="I194" s="134">
        <f>$B194*HLOOKUP(I$177,'Datu ievade'!$C$436:$AG$441,4)</f>
        <v>11505</v>
      </c>
      <c r="J194" s="134">
        <f>$B194*HLOOKUP(J$177,'Datu ievade'!$C$436:$AG$441,4)</f>
        <v>11700</v>
      </c>
      <c r="K194" s="134">
        <f>$B194*HLOOKUP(K$177,'Datu ievade'!$C$436:$AG$441,4)</f>
        <v>11895</v>
      </c>
      <c r="L194" s="134">
        <f>$B194*HLOOKUP(L$177,'Datu ievade'!$C$436:$AG$441,4)</f>
        <v>12090</v>
      </c>
      <c r="M194" s="134">
        <f>$B194*HLOOKUP(M$177,'Datu ievade'!$C$436:$AG$441,4)</f>
        <v>12285</v>
      </c>
      <c r="N194" s="134">
        <f>$B194*HLOOKUP(N$177,'Datu ievade'!$C$436:$AG$441,4)</f>
        <v>12577.5</v>
      </c>
      <c r="O194" s="134">
        <f>$B194*HLOOKUP(O$177,'Datu ievade'!$C$436:$AG$441,4)</f>
        <v>12870</v>
      </c>
      <c r="P194" s="134">
        <f>$B194*HLOOKUP(P$177,'Datu ievade'!$C$436:$AG$441,4)</f>
        <v>13162.5</v>
      </c>
      <c r="Q194" s="134">
        <f>$B194*HLOOKUP(Q$177,'Datu ievade'!$C$436:$AG$441,4)</f>
        <v>13454.999999999998</v>
      </c>
      <c r="R194" s="134">
        <f>$B194*HLOOKUP(R$177,'Datu ievade'!$C$436:$AG$441,4)</f>
        <v>13747.5</v>
      </c>
      <c r="S194" s="134">
        <f>$B194*HLOOKUP(S$177,'Datu ievade'!$C$436:$AG$441,4)</f>
        <v>14040</v>
      </c>
      <c r="T194" s="134">
        <f>$B194*HLOOKUP(T$177,'Datu ievade'!$C$436:$AG$441,4)</f>
        <v>14332.5</v>
      </c>
      <c r="U194" s="134">
        <f>$B194*HLOOKUP(U$177,'Datu ievade'!$C$436:$AG$441,4)</f>
        <v>14625</v>
      </c>
      <c r="V194" s="134">
        <f>$B194*HLOOKUP(V$177,'Datu ievade'!$C$436:$AG$441,4)</f>
        <v>14917.5</v>
      </c>
      <c r="W194" s="134">
        <f>$B194*HLOOKUP(W$177,'Datu ievade'!$C$436:$AG$441,4)</f>
        <v>15210</v>
      </c>
      <c r="X194" s="134">
        <f>$B194*HLOOKUP(X$177,'Datu ievade'!$C$436:$AG$441,4)</f>
        <v>15502.5</v>
      </c>
      <c r="Y194" s="134">
        <f>$B194*HLOOKUP(Y$177,'Datu ievade'!$C$436:$AG$441,4)</f>
        <v>15795.000000000002</v>
      </c>
      <c r="Z194" s="134">
        <f>$B194*HLOOKUP(Z$177,'Datu ievade'!$C$436:$AG$441,4)</f>
        <v>16087.5</v>
      </c>
      <c r="AA194" s="134">
        <f>$B194*HLOOKUP(AA$177,'Datu ievade'!$C$436:$AG$441,4)</f>
        <v>16380</v>
      </c>
      <c r="AB194" s="134">
        <f>$B194*HLOOKUP(AB$177,'Datu ievade'!$C$436:$AG$441,4)</f>
        <v>16672.5</v>
      </c>
      <c r="AC194" s="134">
        <f>$B194*HLOOKUP(AC$177,'Datu ievade'!$C$436:$AG$441,4)</f>
        <v>16965</v>
      </c>
      <c r="AD194" s="134">
        <f>$B194*HLOOKUP(AD$177,'Datu ievade'!$C$436:$AG$441,4)</f>
        <v>17257.5</v>
      </c>
      <c r="AE194" s="134">
        <f>$B194*HLOOKUP(AE$177,'Datu ievade'!$C$436:$AG$441,4)</f>
        <v>17647.5</v>
      </c>
      <c r="AF194" s="134">
        <f>$B194*HLOOKUP(AF$177,'Datu ievade'!$C$436:$AG$441,4)</f>
        <v>18037.5</v>
      </c>
      <c r="AG194" s="208">
        <f t="shared" si="24"/>
        <v>18038.5</v>
      </c>
      <c r="AH194" s="208">
        <f t="shared" si="25"/>
        <v>18039.5</v>
      </c>
      <c r="AI194" s="75"/>
    </row>
    <row r="195" spans="1:35" s="71" customFormat="1" x14ac:dyDescent="0.2">
      <c r="A195" s="92" t="s">
        <v>54</v>
      </c>
      <c r="B195" s="206">
        <v>12526</v>
      </c>
      <c r="C195" s="134">
        <f>$B195*HLOOKUP(C$177,'Datu ievade'!$C$436:$AG$441,4)</f>
        <v>13027.04</v>
      </c>
      <c r="D195" s="134">
        <f>$B195*HLOOKUP(D$177,'Datu ievade'!$C$436:$AG$441,4)</f>
        <v>13402.820000000002</v>
      </c>
      <c r="E195" s="134">
        <f>$B195*HLOOKUP(E$177,'Datu ievade'!$C$436:$AG$441,4)</f>
        <v>13778.6</v>
      </c>
      <c r="F195" s="134">
        <f>$B195*HLOOKUP(F$177,'Datu ievade'!$C$436:$AG$441,4)</f>
        <v>14029.12</v>
      </c>
      <c r="G195" s="134">
        <f>$B195*HLOOKUP(G$177,'Datu ievade'!$C$436:$AG$441,4)</f>
        <v>14279.64</v>
      </c>
      <c r="H195" s="134">
        <f>$B195*HLOOKUP(H$177,'Datu ievade'!$C$436:$AG$441,4)</f>
        <v>14530.16</v>
      </c>
      <c r="I195" s="134">
        <f>$B195*HLOOKUP(I$177,'Datu ievade'!$C$436:$AG$441,4)</f>
        <v>14780.679999999998</v>
      </c>
      <c r="J195" s="134">
        <f>$B195*HLOOKUP(J$177,'Datu ievade'!$C$436:$AG$441,4)</f>
        <v>15031.199999999999</v>
      </c>
      <c r="K195" s="134">
        <f>$B195*HLOOKUP(K$177,'Datu ievade'!$C$436:$AG$441,4)</f>
        <v>15281.72</v>
      </c>
      <c r="L195" s="134">
        <f>$B195*HLOOKUP(L$177,'Datu ievade'!$C$436:$AG$441,4)</f>
        <v>15532.24</v>
      </c>
      <c r="M195" s="134">
        <f>$B195*HLOOKUP(M$177,'Datu ievade'!$C$436:$AG$441,4)</f>
        <v>15782.76</v>
      </c>
      <c r="N195" s="134">
        <f>$B195*HLOOKUP(N$177,'Datu ievade'!$C$436:$AG$441,4)</f>
        <v>16158.54</v>
      </c>
      <c r="O195" s="134">
        <f>$B195*HLOOKUP(O$177,'Datu ievade'!$C$436:$AG$441,4)</f>
        <v>16534.32</v>
      </c>
      <c r="P195" s="134">
        <f>$B195*HLOOKUP(P$177,'Datu ievade'!$C$436:$AG$441,4)</f>
        <v>16910.100000000002</v>
      </c>
      <c r="Q195" s="134">
        <f>$B195*HLOOKUP(Q$177,'Datu ievade'!$C$436:$AG$441,4)</f>
        <v>17285.879999999997</v>
      </c>
      <c r="R195" s="134">
        <f>$B195*HLOOKUP(R$177,'Datu ievade'!$C$436:$AG$441,4)</f>
        <v>17661.66</v>
      </c>
      <c r="S195" s="134">
        <f>$B195*HLOOKUP(S$177,'Datu ievade'!$C$436:$AG$441,4)</f>
        <v>18037.439999999999</v>
      </c>
      <c r="T195" s="134">
        <f>$B195*HLOOKUP(T$177,'Datu ievade'!$C$436:$AG$441,4)</f>
        <v>18413.22</v>
      </c>
      <c r="U195" s="134">
        <f>$B195*HLOOKUP(U$177,'Datu ievade'!$C$436:$AG$441,4)</f>
        <v>18789</v>
      </c>
      <c r="V195" s="134">
        <f>$B195*HLOOKUP(V$177,'Datu ievade'!$C$436:$AG$441,4)</f>
        <v>19164.78</v>
      </c>
      <c r="W195" s="134">
        <f>$B195*HLOOKUP(W$177,'Datu ievade'!$C$436:$AG$441,4)</f>
        <v>19540.560000000001</v>
      </c>
      <c r="X195" s="134">
        <f>$B195*HLOOKUP(X$177,'Datu ievade'!$C$436:$AG$441,4)</f>
        <v>19916.34</v>
      </c>
      <c r="Y195" s="134">
        <f>$B195*HLOOKUP(Y$177,'Datu ievade'!$C$436:$AG$441,4)</f>
        <v>20292.120000000003</v>
      </c>
      <c r="Z195" s="134">
        <f>$B195*HLOOKUP(Z$177,'Datu ievade'!$C$436:$AG$441,4)</f>
        <v>20667.899999999998</v>
      </c>
      <c r="AA195" s="134">
        <f>$B195*HLOOKUP(AA$177,'Datu ievade'!$C$436:$AG$441,4)</f>
        <v>21043.68</v>
      </c>
      <c r="AB195" s="134">
        <f>$B195*HLOOKUP(AB$177,'Datu ievade'!$C$436:$AG$441,4)</f>
        <v>21419.46</v>
      </c>
      <c r="AC195" s="134">
        <f>$B195*HLOOKUP(AC$177,'Datu ievade'!$C$436:$AG$441,4)</f>
        <v>21795.24</v>
      </c>
      <c r="AD195" s="134">
        <f>$B195*HLOOKUP(AD$177,'Datu ievade'!$C$436:$AG$441,4)</f>
        <v>22171.02</v>
      </c>
      <c r="AE195" s="134">
        <f>$B195*HLOOKUP(AE$177,'Datu ievade'!$C$436:$AG$441,4)</f>
        <v>22672.06</v>
      </c>
      <c r="AF195" s="134">
        <f>$B195*HLOOKUP(AF$177,'Datu ievade'!$C$436:$AG$441,4)</f>
        <v>23173.100000000002</v>
      </c>
      <c r="AG195" s="208">
        <f t="shared" si="24"/>
        <v>23174.100000000002</v>
      </c>
      <c r="AH195" s="208">
        <f t="shared" si="25"/>
        <v>23175.100000000002</v>
      </c>
      <c r="AI195" s="75"/>
    </row>
    <row r="196" spans="1:35" s="71" customFormat="1" ht="25.5" x14ac:dyDescent="0.2">
      <c r="A196" s="92" t="s">
        <v>559</v>
      </c>
      <c r="B196" s="206">
        <v>9450</v>
      </c>
      <c r="C196" s="134">
        <f>$B196*HLOOKUP(C$177,'Datu ievade'!$C$436:$AG$441,4)</f>
        <v>9828</v>
      </c>
      <c r="D196" s="134">
        <f>$B196*HLOOKUP(D$177,'Datu ievade'!$C$436:$AG$441,4)</f>
        <v>10111.5</v>
      </c>
      <c r="E196" s="134">
        <f>$B196*HLOOKUP(E$177,'Datu ievade'!$C$436:$AG$441,4)</f>
        <v>10395</v>
      </c>
      <c r="F196" s="134">
        <f>$B196*HLOOKUP(F$177,'Datu ievade'!$C$436:$AG$441,4)</f>
        <v>10584.000000000002</v>
      </c>
      <c r="G196" s="134">
        <f>$B196*HLOOKUP(G$177,'Datu ievade'!$C$436:$AG$441,4)</f>
        <v>10772.999999999998</v>
      </c>
      <c r="H196" s="134">
        <f>$B196*HLOOKUP(H$177,'Datu ievade'!$C$436:$AG$441,4)</f>
        <v>10962</v>
      </c>
      <c r="I196" s="134">
        <f>$B196*HLOOKUP(I$177,'Datu ievade'!$C$436:$AG$441,4)</f>
        <v>11151</v>
      </c>
      <c r="J196" s="134">
        <f>$B196*HLOOKUP(J$177,'Datu ievade'!$C$436:$AG$441,4)</f>
        <v>11340</v>
      </c>
      <c r="K196" s="134">
        <f>$B196*HLOOKUP(K$177,'Datu ievade'!$C$436:$AG$441,4)</f>
        <v>11529</v>
      </c>
      <c r="L196" s="134">
        <f>$B196*HLOOKUP(L$177,'Datu ievade'!$C$436:$AG$441,4)</f>
        <v>11718</v>
      </c>
      <c r="M196" s="134">
        <f>$B196*HLOOKUP(M$177,'Datu ievade'!$C$436:$AG$441,4)</f>
        <v>11907</v>
      </c>
      <c r="N196" s="134">
        <f>$B196*HLOOKUP(N$177,'Datu ievade'!$C$436:$AG$441,4)</f>
        <v>12190.5</v>
      </c>
      <c r="O196" s="134">
        <f>$B196*HLOOKUP(O$177,'Datu ievade'!$C$436:$AG$441,4)</f>
        <v>12474</v>
      </c>
      <c r="P196" s="134">
        <f>$B196*HLOOKUP(P$177,'Datu ievade'!$C$436:$AG$441,4)</f>
        <v>12757.5</v>
      </c>
      <c r="Q196" s="134">
        <f>$B196*HLOOKUP(Q$177,'Datu ievade'!$C$436:$AG$441,4)</f>
        <v>13040.999999999998</v>
      </c>
      <c r="R196" s="134">
        <f>$B196*HLOOKUP(R$177,'Datu ievade'!$C$436:$AG$441,4)</f>
        <v>13324.5</v>
      </c>
      <c r="S196" s="134">
        <f>$B196*HLOOKUP(S$177,'Datu ievade'!$C$436:$AG$441,4)</f>
        <v>13608</v>
      </c>
      <c r="T196" s="134">
        <f>$B196*HLOOKUP(T$177,'Datu ievade'!$C$436:$AG$441,4)</f>
        <v>13891.5</v>
      </c>
      <c r="U196" s="134">
        <f>$B196*HLOOKUP(U$177,'Datu ievade'!$C$436:$AG$441,4)</f>
        <v>14175</v>
      </c>
      <c r="V196" s="134">
        <f>$B196*HLOOKUP(V$177,'Datu ievade'!$C$436:$AG$441,4)</f>
        <v>14458.5</v>
      </c>
      <c r="W196" s="134">
        <f>$B196*HLOOKUP(W$177,'Datu ievade'!$C$436:$AG$441,4)</f>
        <v>14742</v>
      </c>
      <c r="X196" s="134">
        <f>$B196*HLOOKUP(X$177,'Datu ievade'!$C$436:$AG$441,4)</f>
        <v>15025.5</v>
      </c>
      <c r="Y196" s="134">
        <f>$B196*HLOOKUP(Y$177,'Datu ievade'!$C$436:$AG$441,4)</f>
        <v>15309.000000000002</v>
      </c>
      <c r="Z196" s="134">
        <f>$B196*HLOOKUP(Z$177,'Datu ievade'!$C$436:$AG$441,4)</f>
        <v>15592.5</v>
      </c>
      <c r="AA196" s="134">
        <f>$B196*HLOOKUP(AA$177,'Datu ievade'!$C$436:$AG$441,4)</f>
        <v>15876</v>
      </c>
      <c r="AB196" s="134">
        <f>$B196*HLOOKUP(AB$177,'Datu ievade'!$C$436:$AG$441,4)</f>
        <v>16159.5</v>
      </c>
      <c r="AC196" s="134">
        <f>$B196*HLOOKUP(AC$177,'Datu ievade'!$C$436:$AG$441,4)</f>
        <v>16443</v>
      </c>
      <c r="AD196" s="134">
        <f>$B196*HLOOKUP(AD$177,'Datu ievade'!$C$436:$AG$441,4)</f>
        <v>16726.5</v>
      </c>
      <c r="AE196" s="134">
        <f>$B196*HLOOKUP(AE$177,'Datu ievade'!$C$436:$AG$441,4)</f>
        <v>17104.5</v>
      </c>
      <c r="AF196" s="134">
        <f>$B196*HLOOKUP(AF$177,'Datu ievade'!$C$436:$AG$441,4)</f>
        <v>17482.5</v>
      </c>
      <c r="AG196" s="134">
        <f>$B196*HLOOKUP(AG$177,'Datu ievade'!$C$436:$AG$441,4)</f>
        <v>17482.5</v>
      </c>
      <c r="AH196" s="134">
        <f>$B196*HLOOKUP(AH$177,'Datu ievade'!$C$436:$AG$441,4)</f>
        <v>17482.5</v>
      </c>
      <c r="AI196" s="75"/>
    </row>
    <row r="197" spans="1:35" s="71" customFormat="1" x14ac:dyDescent="0.2">
      <c r="A197" s="92" t="s">
        <v>55</v>
      </c>
      <c r="B197" s="209"/>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183"/>
      <c r="AH197" s="183"/>
      <c r="AI197" s="75"/>
    </row>
    <row r="198" spans="1:35" s="71" customFormat="1" x14ac:dyDescent="0.2">
      <c r="A198" s="92" t="s">
        <v>56</v>
      </c>
      <c r="B198" s="206">
        <v>45569</v>
      </c>
      <c r="C198" s="134">
        <f>$B198*HLOOKUP(C$177,'Datu ievade'!$C$436:$AG$441,6)</f>
        <v>48758.83</v>
      </c>
      <c r="D198" s="134">
        <f>$B198*HLOOKUP(D$177,'Datu ievade'!$C$436:$AG$441,6)</f>
        <v>50125.9</v>
      </c>
      <c r="E198" s="134">
        <f>$B198*HLOOKUP(E$177,'Datu ievade'!$C$436:$AG$441,6)</f>
        <v>51492.969999999994</v>
      </c>
      <c r="F198" s="134">
        <f>$B198*HLOOKUP(F$177,'Datu ievade'!$C$436:$AG$441,6)</f>
        <v>52404.35</v>
      </c>
      <c r="G198" s="134">
        <f>$B198*HLOOKUP(G$177,'Datu ievade'!$C$436:$AG$441,6)</f>
        <v>53315.729999999996</v>
      </c>
      <c r="H198" s="134">
        <f>$B198*HLOOKUP(H$177,'Datu ievade'!$C$436:$AG$441,6)</f>
        <v>54227.11</v>
      </c>
      <c r="I198" s="134">
        <f>$B198*HLOOKUP(I$177,'Datu ievade'!$C$436:$AG$441,6)</f>
        <v>55138.49</v>
      </c>
      <c r="J198" s="134">
        <f>$B198*HLOOKUP(J$177,'Datu ievade'!$C$436:$AG$441,6)</f>
        <v>56049.87</v>
      </c>
      <c r="K198" s="134">
        <f>$B198*HLOOKUP(K$177,'Datu ievade'!$C$436:$AG$441,6)</f>
        <v>56961.25</v>
      </c>
      <c r="L198" s="134">
        <f>$B198*HLOOKUP(L$177,'Datu ievade'!$C$436:$AG$441,6)</f>
        <v>57872.63</v>
      </c>
      <c r="M198" s="134">
        <f>$B198*HLOOKUP(M$177,'Datu ievade'!$C$436:$AG$441,6)</f>
        <v>58784.01</v>
      </c>
      <c r="N198" s="134">
        <f>$B198*HLOOKUP(N$177,'Datu ievade'!$C$436:$AG$441,6)</f>
        <v>59695.39</v>
      </c>
      <c r="O198" s="134">
        <f>$B198*HLOOKUP(O$177,'Datu ievade'!$C$436:$AG$441,6)</f>
        <v>60606.770000000004</v>
      </c>
      <c r="P198" s="134">
        <f>$B198*HLOOKUP(P$177,'Datu ievade'!$C$436:$AG$441,6)</f>
        <v>61973.840000000004</v>
      </c>
      <c r="Q198" s="134">
        <f>$B198*HLOOKUP(Q$177,'Datu ievade'!$C$436:$AG$441,6)</f>
        <v>63340.909999999996</v>
      </c>
      <c r="R198" s="134">
        <f>$B198*HLOOKUP(R$177,'Datu ievade'!$C$436:$AG$441,6)</f>
        <v>64707.979999999996</v>
      </c>
      <c r="S198" s="134">
        <f>$B198*HLOOKUP(S$177,'Datu ievade'!$C$436:$AG$441,6)</f>
        <v>66075.05</v>
      </c>
      <c r="T198" s="134">
        <f>$B198*HLOOKUP(T$177,'Datu ievade'!$C$436:$AG$441,6)</f>
        <v>67442.12</v>
      </c>
      <c r="U198" s="134">
        <f>$B198*HLOOKUP(U$177,'Datu ievade'!$C$436:$AG$441,6)</f>
        <v>68809.19</v>
      </c>
      <c r="V198" s="134">
        <f>$B198*HLOOKUP(V$177,'Datu ievade'!$C$436:$AG$441,6)</f>
        <v>70176.259999999995</v>
      </c>
      <c r="W198" s="134">
        <f>$B198*HLOOKUP(W$177,'Datu ievade'!$C$436:$AG$441,6)</f>
        <v>71543.33</v>
      </c>
      <c r="X198" s="134">
        <f>$B198*HLOOKUP(X$177,'Datu ievade'!$C$436:$AG$441,6)</f>
        <v>72910.400000000009</v>
      </c>
      <c r="Y198" s="134">
        <f>$B198*HLOOKUP(Y$177,'Datu ievade'!$C$436:$AG$441,6)</f>
        <v>74277.47</v>
      </c>
      <c r="Z198" s="134">
        <f>$B198*HLOOKUP(Z$177,'Datu ievade'!$C$436:$AG$441,6)</f>
        <v>75644.539999999994</v>
      </c>
      <c r="AA198" s="134">
        <f>$B198*HLOOKUP(AA$177,'Datu ievade'!$C$436:$AG$441,6)</f>
        <v>77011.61</v>
      </c>
      <c r="AB198" s="134">
        <f>$B198*HLOOKUP(AB$177,'Datu ievade'!$C$436:$AG$441,6)</f>
        <v>78378.679999999993</v>
      </c>
      <c r="AC198" s="134">
        <f>$B198*HLOOKUP(AC$177,'Datu ievade'!$C$436:$AG$441,6)</f>
        <v>79745.75</v>
      </c>
      <c r="AD198" s="134">
        <f>$B198*HLOOKUP(AD$177,'Datu ievade'!$C$436:$AG$441,6)</f>
        <v>81112.820000000007</v>
      </c>
      <c r="AE198" s="134">
        <f>$B198*HLOOKUP(AE$177,'Datu ievade'!$C$436:$AG$441,6)</f>
        <v>82479.89</v>
      </c>
      <c r="AF198" s="134">
        <f>$B198*HLOOKUP(AF$177,'Datu ievade'!$C$436:$AG$441,6)</f>
        <v>83846.960000000006</v>
      </c>
      <c r="AG198" s="208">
        <f t="shared" si="24"/>
        <v>83847.960000000006</v>
      </c>
      <c r="AH198" s="208">
        <f t="shared" si="25"/>
        <v>83848.960000000006</v>
      </c>
      <c r="AI198" s="75"/>
    </row>
    <row r="199" spans="1:35" s="71" customFormat="1" x14ac:dyDescent="0.2">
      <c r="A199" s="92" t="s">
        <v>57</v>
      </c>
      <c r="B199" s="210">
        <f t="shared" ref="B199:AF199" si="27">B198*0.2359</f>
        <v>10749.7271</v>
      </c>
      <c r="C199" s="134">
        <f t="shared" si="27"/>
        <v>11502.207997</v>
      </c>
      <c r="D199" s="134">
        <f t="shared" si="27"/>
        <v>11824.69981</v>
      </c>
      <c r="E199" s="134">
        <f t="shared" si="27"/>
        <v>12147.191622999999</v>
      </c>
      <c r="F199" s="134">
        <f t="shared" si="27"/>
        <v>12362.186164999999</v>
      </c>
      <c r="G199" s="134">
        <f t="shared" si="27"/>
        <v>12577.180707</v>
      </c>
      <c r="H199" s="134">
        <f t="shared" si="27"/>
        <v>12792.175249</v>
      </c>
      <c r="I199" s="134">
        <f t="shared" si="27"/>
        <v>13007.169791</v>
      </c>
      <c r="J199" s="134">
        <f t="shared" si="27"/>
        <v>13222.164333000001</v>
      </c>
      <c r="K199" s="134">
        <f t="shared" si="27"/>
        <v>13437.158874999999</v>
      </c>
      <c r="L199" s="134">
        <f t="shared" si="27"/>
        <v>13652.153417</v>
      </c>
      <c r="M199" s="134">
        <f t="shared" si="27"/>
        <v>13867.147959</v>
      </c>
      <c r="N199" s="134">
        <f t="shared" si="27"/>
        <v>14082.142501</v>
      </c>
      <c r="O199" s="134">
        <f t="shared" si="27"/>
        <v>14297.137043000001</v>
      </c>
      <c r="P199" s="134">
        <f t="shared" si="27"/>
        <v>14619.628856000001</v>
      </c>
      <c r="Q199" s="134">
        <f t="shared" si="27"/>
        <v>14942.120669</v>
      </c>
      <c r="R199" s="134">
        <f t="shared" si="27"/>
        <v>15264.612481999999</v>
      </c>
      <c r="S199" s="134">
        <f t="shared" si="27"/>
        <v>15587.104295000001</v>
      </c>
      <c r="T199" s="134">
        <f t="shared" si="27"/>
        <v>15909.596107999998</v>
      </c>
      <c r="U199" s="134">
        <f t="shared" si="27"/>
        <v>16232.087921</v>
      </c>
      <c r="V199" s="134">
        <f t="shared" si="27"/>
        <v>16554.579733999999</v>
      </c>
      <c r="W199" s="134">
        <f t="shared" si="27"/>
        <v>16877.071547</v>
      </c>
      <c r="X199" s="134">
        <f t="shared" si="27"/>
        <v>17199.563360000004</v>
      </c>
      <c r="Y199" s="134">
        <f t="shared" si="27"/>
        <v>17522.055173000001</v>
      </c>
      <c r="Z199" s="134">
        <f t="shared" si="27"/>
        <v>17844.546985999998</v>
      </c>
      <c r="AA199" s="134">
        <f t="shared" si="27"/>
        <v>18167.038799000002</v>
      </c>
      <c r="AB199" s="134">
        <f t="shared" si="27"/>
        <v>18489.530611999999</v>
      </c>
      <c r="AC199" s="134">
        <f t="shared" si="27"/>
        <v>18812.022424999999</v>
      </c>
      <c r="AD199" s="134">
        <f t="shared" si="27"/>
        <v>19134.514238</v>
      </c>
      <c r="AE199" s="134">
        <f t="shared" si="27"/>
        <v>19457.006051</v>
      </c>
      <c r="AF199" s="134">
        <f t="shared" si="27"/>
        <v>19779.497864000001</v>
      </c>
      <c r="AG199" s="208">
        <f t="shared" si="24"/>
        <v>19780.497864000001</v>
      </c>
      <c r="AH199" s="208">
        <f t="shared" si="25"/>
        <v>19781.497864000001</v>
      </c>
      <c r="AI199" s="75"/>
    </row>
    <row r="200" spans="1:35" s="71" customFormat="1" x14ac:dyDescent="0.2">
      <c r="A200" s="92" t="s">
        <v>58</v>
      </c>
      <c r="B200" s="206">
        <v>0</v>
      </c>
      <c r="C200" s="134">
        <f>$B200*HLOOKUP(C$177,'Datu ievade'!$C$436:$AG$441,4)</f>
        <v>0</v>
      </c>
      <c r="D200" s="134">
        <f>$B200*HLOOKUP(D$177,'Datu ievade'!$C$436:$AG$441,4)</f>
        <v>0</v>
      </c>
      <c r="E200" s="134">
        <f>$B200*HLOOKUP(E$177,'Datu ievade'!$C$436:$AG$441,4)</f>
        <v>0</v>
      </c>
      <c r="F200" s="134">
        <f>$B200*HLOOKUP(F$177,'Datu ievade'!$C$436:$AG$441,4)</f>
        <v>0</v>
      </c>
      <c r="G200" s="134">
        <f>$B200*HLOOKUP(G$177,'Datu ievade'!$C$436:$AG$441,4)</f>
        <v>0</v>
      </c>
      <c r="H200" s="134">
        <f>$B200*HLOOKUP(H$177,'Datu ievade'!$C$436:$AG$441,4)</f>
        <v>0</v>
      </c>
      <c r="I200" s="134">
        <f>$B200*HLOOKUP(I$177,'Datu ievade'!$C$436:$AG$441,4)</f>
        <v>0</v>
      </c>
      <c r="J200" s="134">
        <f>$B200*HLOOKUP(J$177,'Datu ievade'!$C$436:$AG$441,4)</f>
        <v>0</v>
      </c>
      <c r="K200" s="134">
        <f>$B200*HLOOKUP(K$177,'Datu ievade'!$C$436:$AG$441,4)</f>
        <v>0</v>
      </c>
      <c r="L200" s="134">
        <f>$B200*HLOOKUP(L$177,'Datu ievade'!$C$436:$AG$441,4)</f>
        <v>0</v>
      </c>
      <c r="M200" s="134">
        <f>$B200*HLOOKUP(M$177,'Datu ievade'!$C$436:$AG$441,4)</f>
        <v>0</v>
      </c>
      <c r="N200" s="134">
        <f>$B200*HLOOKUP(N$177,'Datu ievade'!$C$436:$AG$441,4)</f>
        <v>0</v>
      </c>
      <c r="O200" s="134">
        <f>$B200*HLOOKUP(O$177,'Datu ievade'!$C$436:$AG$441,4)</f>
        <v>0</v>
      </c>
      <c r="P200" s="134">
        <f>$B200*HLOOKUP(P$177,'Datu ievade'!$C$436:$AG$441,4)</f>
        <v>0</v>
      </c>
      <c r="Q200" s="134">
        <f>$B200*HLOOKUP(Q$177,'Datu ievade'!$C$436:$AG$441,4)</f>
        <v>0</v>
      </c>
      <c r="R200" s="134">
        <f>$B200*HLOOKUP(R$177,'Datu ievade'!$C$436:$AG$441,4)</f>
        <v>0</v>
      </c>
      <c r="S200" s="134">
        <f>$B200*HLOOKUP(S$177,'Datu ievade'!$C$436:$AG$441,4)</f>
        <v>0</v>
      </c>
      <c r="T200" s="134">
        <f>$B200*HLOOKUP(T$177,'Datu ievade'!$C$436:$AG$441,4)</f>
        <v>0</v>
      </c>
      <c r="U200" s="134">
        <f>$B200*HLOOKUP(U$177,'Datu ievade'!$C$436:$AG$441,4)</f>
        <v>0</v>
      </c>
      <c r="V200" s="134">
        <f>$B200*HLOOKUP(V$177,'Datu ievade'!$C$436:$AG$441,4)</f>
        <v>0</v>
      </c>
      <c r="W200" s="134">
        <f>$B200*HLOOKUP(W$177,'Datu ievade'!$C$436:$AG$441,4)</f>
        <v>0</v>
      </c>
      <c r="X200" s="134">
        <f>$B200*HLOOKUP(X$177,'Datu ievade'!$C$436:$AG$441,4)</f>
        <v>0</v>
      </c>
      <c r="Y200" s="134">
        <f>$B200*HLOOKUP(Y$177,'Datu ievade'!$C$436:$AG$441,4)</f>
        <v>0</v>
      </c>
      <c r="Z200" s="134">
        <f>$B200*HLOOKUP(Z$177,'Datu ievade'!$C$436:$AG$441,4)</f>
        <v>0</v>
      </c>
      <c r="AA200" s="134">
        <f>$B200*HLOOKUP(AA$177,'Datu ievade'!$C$436:$AG$441,4)</f>
        <v>0</v>
      </c>
      <c r="AB200" s="134">
        <f>$B200*HLOOKUP(AB$177,'Datu ievade'!$C$436:$AG$441,4)</f>
        <v>0</v>
      </c>
      <c r="AC200" s="134">
        <f>$B200*HLOOKUP(AC$177,'Datu ievade'!$C$436:$AG$441,4)</f>
        <v>0</v>
      </c>
      <c r="AD200" s="134">
        <f>$B200*HLOOKUP(AD$177,'Datu ievade'!$C$436:$AG$441,4)</f>
        <v>0</v>
      </c>
      <c r="AE200" s="134">
        <f>$B200*HLOOKUP(AE$177,'Datu ievade'!$C$436:$AG$441,4)</f>
        <v>0</v>
      </c>
      <c r="AF200" s="134">
        <f>$B200*HLOOKUP(AF$177,'Datu ievade'!$C$436:$AG$441,4)</f>
        <v>0</v>
      </c>
      <c r="AG200" s="134">
        <f>$B200*HLOOKUP(AG$177,'Datu ievade'!$C$436:$AG$441,4)</f>
        <v>0</v>
      </c>
      <c r="AH200" s="134">
        <f>$B200*HLOOKUP(AH$177,'Datu ievade'!$C$436:$AG$441,4)</f>
        <v>0</v>
      </c>
      <c r="AI200" s="75"/>
    </row>
    <row r="201" spans="1:35" s="71" customFormat="1" ht="30.75" customHeight="1" x14ac:dyDescent="0.2">
      <c r="A201" s="80" t="s">
        <v>423</v>
      </c>
      <c r="B201" s="213"/>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75"/>
      <c r="AI201" s="75"/>
    </row>
    <row r="202" spans="1:35" s="71" customFormat="1" x14ac:dyDescent="0.2">
      <c r="A202" s="203" t="s">
        <v>49</v>
      </c>
      <c r="B202" s="214"/>
      <c r="C202" s="205"/>
      <c r="D202" s="205"/>
      <c r="E202" s="205"/>
      <c r="F202" s="215"/>
      <c r="G202" s="205"/>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75"/>
      <c r="AI202" s="75"/>
    </row>
    <row r="203" spans="1:35" s="71" customFormat="1" x14ac:dyDescent="0.2">
      <c r="A203" s="92" t="s">
        <v>50</v>
      </c>
      <c r="B203" s="86"/>
      <c r="C203" s="216"/>
      <c r="D203" s="216"/>
      <c r="E203" s="216"/>
      <c r="F203" s="215"/>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75"/>
      <c r="AI203" s="75"/>
    </row>
    <row r="204" spans="1:35" s="71" customFormat="1" x14ac:dyDescent="0.2">
      <c r="A204" s="84" t="s">
        <v>51</v>
      </c>
      <c r="B204" s="217"/>
      <c r="C204" s="218"/>
      <c r="D204" s="219">
        <f>-10000/2</f>
        <v>-5000</v>
      </c>
      <c r="E204" s="219">
        <v>-10000</v>
      </c>
      <c r="F204" s="134">
        <f>$E204*'Datu ievade'!F$439</f>
        <v>-11000</v>
      </c>
      <c r="G204" s="134">
        <f>$E204*'Datu ievade'!G$439</f>
        <v>-11200.000000000002</v>
      </c>
      <c r="H204" s="134">
        <f>$F204*'Datu ievade'!H$439</f>
        <v>-12539.999999999998</v>
      </c>
      <c r="I204" s="134">
        <f>$F204*'Datu ievade'!I$439</f>
        <v>-12760</v>
      </c>
      <c r="J204" s="134">
        <f>$F204*'Datu ievade'!J$439</f>
        <v>-12980</v>
      </c>
      <c r="K204" s="134">
        <f>$F204*'Datu ievade'!K$439</f>
        <v>-13200</v>
      </c>
      <c r="L204" s="134">
        <f>$F204*'Datu ievade'!L$439</f>
        <v>-13420</v>
      </c>
      <c r="M204" s="134">
        <f>$F204*'Datu ievade'!M$439</f>
        <v>-13640</v>
      </c>
      <c r="N204" s="134">
        <f>$F204*'Datu ievade'!N$439</f>
        <v>-13860</v>
      </c>
      <c r="O204" s="134">
        <f>$F204*'Datu ievade'!O$439</f>
        <v>-14190</v>
      </c>
      <c r="P204" s="134">
        <f>$F204*'Datu ievade'!P$439</f>
        <v>-14520</v>
      </c>
      <c r="Q204" s="134">
        <f>$F204*'Datu ievade'!Q$439</f>
        <v>-14850.000000000002</v>
      </c>
      <c r="R204" s="134">
        <f>$F204*'Datu ievade'!R$439</f>
        <v>-15179.999999999998</v>
      </c>
      <c r="S204" s="134">
        <f>$F204*'Datu ievade'!S$439</f>
        <v>-15510</v>
      </c>
      <c r="T204" s="134">
        <f>$F204*'Datu ievade'!T$439</f>
        <v>-15840</v>
      </c>
      <c r="U204" s="134">
        <f>$F204*'Datu ievade'!U$439</f>
        <v>-16170</v>
      </c>
      <c r="V204" s="134">
        <f>$F204*'Datu ievade'!V$439</f>
        <v>-16500</v>
      </c>
      <c r="W204" s="134">
        <f>$F204*'Datu ievade'!W$439</f>
        <v>-16830</v>
      </c>
      <c r="X204" s="134">
        <f>$F204*'Datu ievade'!X$439</f>
        <v>-17160</v>
      </c>
      <c r="Y204" s="134">
        <f>$F204*'Datu ievade'!Y$439</f>
        <v>-17490</v>
      </c>
      <c r="Z204" s="134">
        <f>$F204*'Datu ievade'!Z$439</f>
        <v>-17820</v>
      </c>
      <c r="AA204" s="134">
        <f>$F204*'Datu ievade'!AA$439</f>
        <v>-18150</v>
      </c>
      <c r="AB204" s="134">
        <f>$F204*'Datu ievade'!AB$439</f>
        <v>-18480</v>
      </c>
      <c r="AC204" s="134">
        <f>$F204*'Datu ievade'!AC$439</f>
        <v>-18810</v>
      </c>
      <c r="AD204" s="134">
        <f>$F204*'Datu ievade'!AD$439</f>
        <v>-19140</v>
      </c>
      <c r="AE204" s="134">
        <f>$F204*'Datu ievade'!AE$439</f>
        <v>-19470</v>
      </c>
      <c r="AF204" s="134">
        <f>$F204*'Datu ievade'!AF$439</f>
        <v>-19910</v>
      </c>
      <c r="AG204" s="134">
        <f>$F204*'Datu ievade'!AG$439</f>
        <v>-20350</v>
      </c>
      <c r="AH204" s="134">
        <f>$F204*'Datu ievade'!AH$439</f>
        <v>-20790</v>
      </c>
      <c r="AI204" s="75"/>
    </row>
    <row r="205" spans="1:35" s="71" customFormat="1" x14ac:dyDescent="0.2">
      <c r="A205" s="84" t="s">
        <v>52</v>
      </c>
      <c r="B205" s="217"/>
      <c r="C205" s="218"/>
      <c r="D205" s="219">
        <f>12560/2</f>
        <v>6280</v>
      </c>
      <c r="E205" s="219">
        <v>12560</v>
      </c>
      <c r="F205" s="134">
        <f>$E205*HLOOKUP(F$177,'Datu ievade'!$C$436:$AG$441,4)</f>
        <v>14067.2</v>
      </c>
      <c r="G205" s="134">
        <f>$E205*HLOOKUP(G$177,'Datu ievade'!$C$436:$AG$441,4)</f>
        <v>14318.4</v>
      </c>
      <c r="H205" s="134">
        <f>$E205*HLOOKUP(H$177,'Datu ievade'!$C$436:$AG$441,4)</f>
        <v>14569.599999999999</v>
      </c>
      <c r="I205" s="134">
        <f>$F205*HLOOKUP(I$177,'Datu ievade'!$C$436:$AG$441,4)</f>
        <v>16599.295999999998</v>
      </c>
      <c r="J205" s="134">
        <f>$F205*HLOOKUP(J$177,'Datu ievade'!$C$436:$AG$441,4)</f>
        <v>16880.64</v>
      </c>
      <c r="K205" s="134">
        <f>$F205*HLOOKUP(K$177,'Datu ievade'!$C$436:$AG$441,4)</f>
        <v>17161.984</v>
      </c>
      <c r="L205" s="134">
        <f>$F205*HLOOKUP(L$177,'Datu ievade'!$C$436:$AG$441,4)</f>
        <v>17443.328000000001</v>
      </c>
      <c r="M205" s="134">
        <f>$F205*HLOOKUP(M$177,'Datu ievade'!$C$436:$AG$441,4)</f>
        <v>17724.672000000002</v>
      </c>
      <c r="N205" s="134">
        <f>$F205*HLOOKUP(N$177,'Datu ievade'!$C$436:$AG$441,4)</f>
        <v>18146.688000000002</v>
      </c>
      <c r="O205" s="134">
        <f>$F205*HLOOKUP(O$177,'Datu ievade'!$C$436:$AG$441,4)</f>
        <v>18568.704000000002</v>
      </c>
      <c r="P205" s="134">
        <f>$F205*HLOOKUP(P$177,'Datu ievade'!$C$436:$AG$441,4)</f>
        <v>18990.72</v>
      </c>
      <c r="Q205" s="134">
        <f>$F205*HLOOKUP(Q$177,'Datu ievade'!$C$436:$AG$441,4)</f>
        <v>19412.736000000001</v>
      </c>
      <c r="R205" s="134">
        <f>$F205*HLOOKUP(R$177,'Datu ievade'!$C$436:$AG$441,4)</f>
        <v>19834.752</v>
      </c>
      <c r="S205" s="134">
        <f>$F205*HLOOKUP(S$177,'Datu ievade'!$C$436:$AG$441,4)</f>
        <v>20256.768</v>
      </c>
      <c r="T205" s="134">
        <f>$F205*HLOOKUP(T$177,'Datu ievade'!$C$436:$AG$441,4)</f>
        <v>20678.784</v>
      </c>
      <c r="U205" s="134">
        <f>$F205*HLOOKUP(U$177,'Datu ievade'!$C$436:$AG$441,4)</f>
        <v>21100.800000000003</v>
      </c>
      <c r="V205" s="134">
        <f>$F205*HLOOKUP(V$177,'Datu ievade'!$C$436:$AG$441,4)</f>
        <v>21522.816000000003</v>
      </c>
      <c r="W205" s="134">
        <f>$F205*HLOOKUP(W$177,'Datu ievade'!$C$436:$AG$441,4)</f>
        <v>21944.832000000002</v>
      </c>
      <c r="X205" s="134">
        <f>$F205*HLOOKUP(X$177,'Datu ievade'!$C$436:$AG$441,4)</f>
        <v>22366.848000000002</v>
      </c>
      <c r="Y205" s="134">
        <f>$F205*HLOOKUP(Y$177,'Datu ievade'!$C$436:$AG$441,4)</f>
        <v>22788.864000000001</v>
      </c>
      <c r="Z205" s="134">
        <f>$F205*HLOOKUP(Z$177,'Datu ievade'!$C$436:$AG$441,4)</f>
        <v>23210.880000000001</v>
      </c>
      <c r="AA205" s="134">
        <f>$F205*HLOOKUP(AA$177,'Datu ievade'!$C$436:$AG$441,4)</f>
        <v>23632.896000000001</v>
      </c>
      <c r="AB205" s="134">
        <f>$F205*HLOOKUP(AB$177,'Datu ievade'!$C$436:$AG$441,4)</f>
        <v>24054.912</v>
      </c>
      <c r="AC205" s="134">
        <f>$F205*HLOOKUP(AC$177,'Datu ievade'!$C$436:$AG$441,4)</f>
        <v>24476.928</v>
      </c>
      <c r="AD205" s="134">
        <f>$F205*HLOOKUP(AD$177,'Datu ievade'!$C$436:$AG$441,4)</f>
        <v>24898.944000000003</v>
      </c>
      <c r="AE205" s="134">
        <f>$F205*HLOOKUP(AE$177,'Datu ievade'!$C$436:$AG$441,4)</f>
        <v>25461.632000000001</v>
      </c>
      <c r="AF205" s="134">
        <f>$F205*HLOOKUP(AF$177,'Datu ievade'!$C$436:$AG$441,4)</f>
        <v>26024.320000000003</v>
      </c>
      <c r="AG205" s="134">
        <f>$F205*HLOOKUP(AG$177,'Datu ievade'!$C$436:$AG$441,4)</f>
        <v>26024.320000000003</v>
      </c>
      <c r="AH205" s="134">
        <f>$F205*HLOOKUP(AH$177,'Datu ievade'!$C$436:$AG$441,4)</f>
        <v>26024.320000000003</v>
      </c>
      <c r="AI205" s="75"/>
    </row>
    <row r="206" spans="1:35" s="71" customFormat="1" x14ac:dyDescent="0.2">
      <c r="A206" s="84" t="s">
        <v>53</v>
      </c>
      <c r="B206" s="217"/>
      <c r="C206" s="218"/>
      <c r="D206" s="219">
        <f>1400/2</f>
        <v>700</v>
      </c>
      <c r="E206" s="219">
        <v>1400</v>
      </c>
      <c r="F206" s="134">
        <f>$E206*HLOOKUP(F$177,'Datu ievade'!$C$436:$AG$441,4)</f>
        <v>1568.0000000000002</v>
      </c>
      <c r="G206" s="134">
        <f>$E206*HLOOKUP(G$177,'Datu ievade'!$C$436:$AG$441,4)</f>
        <v>1595.9999999999998</v>
      </c>
      <c r="H206" s="134">
        <f>$F206*HLOOKUP(H$177,'Datu ievade'!$C$436:$AG$441,4)</f>
        <v>1818.88</v>
      </c>
      <c r="I206" s="134">
        <f>$F206*HLOOKUP(I$177,'Datu ievade'!$C$436:$AG$441,4)</f>
        <v>1850.2400000000002</v>
      </c>
      <c r="J206" s="134">
        <f>$F206*HLOOKUP(J$177,'Datu ievade'!$C$436:$AG$441,4)</f>
        <v>1881.6000000000001</v>
      </c>
      <c r="K206" s="134">
        <f>$F206*HLOOKUP(K$177,'Datu ievade'!$C$436:$AG$441,4)</f>
        <v>1912.9600000000003</v>
      </c>
      <c r="L206" s="134">
        <f>$F206*HLOOKUP(L$177,'Datu ievade'!$C$436:$AG$441,4)</f>
        <v>1944.3200000000002</v>
      </c>
      <c r="M206" s="134">
        <f>$F206*HLOOKUP(M$177,'Datu ievade'!$C$436:$AG$441,4)</f>
        <v>1975.6800000000003</v>
      </c>
      <c r="N206" s="134">
        <f>$F206*HLOOKUP(N$177,'Datu ievade'!$C$436:$AG$441,4)</f>
        <v>2022.7200000000003</v>
      </c>
      <c r="O206" s="134">
        <f>$F206*HLOOKUP(O$177,'Datu ievade'!$C$436:$AG$441,4)</f>
        <v>2069.7600000000002</v>
      </c>
      <c r="P206" s="134">
        <f>$F206*HLOOKUP(P$177,'Datu ievade'!$C$436:$AG$441,4)</f>
        <v>2116.8000000000006</v>
      </c>
      <c r="Q206" s="134">
        <f>$F206*HLOOKUP(Q$177,'Datu ievade'!$C$436:$AG$441,4)</f>
        <v>2163.84</v>
      </c>
      <c r="R206" s="134">
        <f>$F206*HLOOKUP(R$177,'Datu ievade'!$C$436:$AG$441,4)</f>
        <v>2210.88</v>
      </c>
      <c r="S206" s="134">
        <f>$F206*HLOOKUP(S$177,'Datu ievade'!$C$436:$AG$441,4)</f>
        <v>2257.92</v>
      </c>
      <c r="T206" s="134">
        <f>$F206*HLOOKUP(T$177,'Datu ievade'!$C$436:$AG$441,4)</f>
        <v>2304.9600000000005</v>
      </c>
      <c r="U206" s="134">
        <f>$F206*HLOOKUP(U$177,'Datu ievade'!$C$436:$AG$441,4)</f>
        <v>2352.0000000000005</v>
      </c>
      <c r="V206" s="134">
        <f>$F206*HLOOKUP(V$177,'Datu ievade'!$C$436:$AG$441,4)</f>
        <v>2399.0400000000004</v>
      </c>
      <c r="W206" s="134">
        <f>$F206*HLOOKUP(W$177,'Datu ievade'!$C$436:$AG$441,4)</f>
        <v>2446.0800000000004</v>
      </c>
      <c r="X206" s="134">
        <f>$F206*HLOOKUP(X$177,'Datu ievade'!$C$436:$AG$441,4)</f>
        <v>2493.1200000000003</v>
      </c>
      <c r="Y206" s="134">
        <f>$F206*HLOOKUP(Y$177,'Datu ievade'!$C$436:$AG$441,4)</f>
        <v>2540.1600000000003</v>
      </c>
      <c r="Z206" s="134">
        <f>$F206*HLOOKUP(Z$177,'Datu ievade'!$C$436:$AG$441,4)</f>
        <v>2587.2000000000003</v>
      </c>
      <c r="AA206" s="134">
        <f>$F206*HLOOKUP(AA$177,'Datu ievade'!$C$436:$AG$441,4)</f>
        <v>2634.2400000000002</v>
      </c>
      <c r="AB206" s="134">
        <f>$F206*HLOOKUP(AB$177,'Datu ievade'!$C$436:$AG$441,4)</f>
        <v>2681.28</v>
      </c>
      <c r="AC206" s="134">
        <f>$F206*HLOOKUP(AC$177,'Datu ievade'!$C$436:$AG$441,4)</f>
        <v>2728.32</v>
      </c>
      <c r="AD206" s="134">
        <f>$F206*HLOOKUP(AD$177,'Datu ievade'!$C$436:$AG$441,4)</f>
        <v>2775.3600000000006</v>
      </c>
      <c r="AE206" s="134">
        <f>$F206*HLOOKUP(AE$177,'Datu ievade'!$C$436:$AG$441,4)</f>
        <v>2838.0800000000004</v>
      </c>
      <c r="AF206" s="134">
        <f>$F206*HLOOKUP(AF$177,'Datu ievade'!$C$436:$AG$441,4)</f>
        <v>2900.8000000000006</v>
      </c>
      <c r="AG206" s="134">
        <f>$F206*HLOOKUP(AG$177,'Datu ievade'!$C$436:$AG$441,4)</f>
        <v>2900.8000000000006</v>
      </c>
      <c r="AH206" s="134">
        <f>$F206*HLOOKUP(AH$177,'Datu ievade'!$C$436:$AG$441,4)</f>
        <v>2900.8000000000006</v>
      </c>
      <c r="AI206" s="75"/>
    </row>
    <row r="207" spans="1:35" s="71" customFormat="1" x14ac:dyDescent="0.2">
      <c r="A207" s="84" t="s">
        <v>54</v>
      </c>
      <c r="B207" s="217"/>
      <c r="C207" s="218"/>
      <c r="D207" s="219">
        <f>15789/2</f>
        <v>7894.5</v>
      </c>
      <c r="E207" s="219">
        <v>15789</v>
      </c>
      <c r="F207" s="134">
        <f>$E207*HLOOKUP(F$177,'Datu ievade'!$C$436:$AG$441,4)</f>
        <v>17683.68</v>
      </c>
      <c r="G207" s="134">
        <f>$E207*HLOOKUP(G$177,'Datu ievade'!$C$436:$AG$441,4)</f>
        <v>17999.46</v>
      </c>
      <c r="H207" s="134">
        <f>$F207*HLOOKUP(H$177,'Datu ievade'!$C$436:$AG$441,4)</f>
        <v>20513.068799999997</v>
      </c>
      <c r="I207" s="134">
        <f>$F207*HLOOKUP(I$177,'Datu ievade'!$C$436:$AG$441,4)</f>
        <v>20866.742399999999</v>
      </c>
      <c r="J207" s="134">
        <f>$F207*HLOOKUP(J$177,'Datu ievade'!$C$436:$AG$441,4)</f>
        <v>21220.416000000001</v>
      </c>
      <c r="K207" s="134">
        <f>$F207*HLOOKUP(K$177,'Datu ievade'!$C$436:$AG$441,4)</f>
        <v>21574.089599999999</v>
      </c>
      <c r="L207" s="134">
        <f>$F207*HLOOKUP(L$177,'Datu ievade'!$C$436:$AG$441,4)</f>
        <v>21927.763200000001</v>
      </c>
      <c r="M207" s="134">
        <f>$F207*HLOOKUP(M$177,'Datu ievade'!$C$436:$AG$441,4)</f>
        <v>22281.436799999999</v>
      </c>
      <c r="N207" s="134">
        <f>$F207*HLOOKUP(N$177,'Datu ievade'!$C$436:$AG$441,4)</f>
        <v>22811.947200000002</v>
      </c>
      <c r="O207" s="134">
        <f>$F207*HLOOKUP(O$177,'Datu ievade'!$C$436:$AG$441,4)</f>
        <v>23342.457600000002</v>
      </c>
      <c r="P207" s="134">
        <f>$F207*HLOOKUP(P$177,'Datu ievade'!$C$436:$AG$441,4)</f>
        <v>23872.968000000001</v>
      </c>
      <c r="Q207" s="134">
        <f>$F207*HLOOKUP(Q$177,'Datu ievade'!$C$436:$AG$441,4)</f>
        <v>24403.4784</v>
      </c>
      <c r="R207" s="134">
        <f>$F207*HLOOKUP(R$177,'Datu ievade'!$C$436:$AG$441,4)</f>
        <v>24933.988799999999</v>
      </c>
      <c r="S207" s="134">
        <f>$F207*HLOOKUP(S$177,'Datu ievade'!$C$436:$AG$441,4)</f>
        <v>25464.499199999998</v>
      </c>
      <c r="T207" s="134">
        <f>$F207*HLOOKUP(T$177,'Datu ievade'!$C$436:$AG$441,4)</f>
        <v>25995.009600000001</v>
      </c>
      <c r="U207" s="134">
        <f>$F207*HLOOKUP(U$177,'Datu ievade'!$C$436:$AG$441,4)</f>
        <v>26525.52</v>
      </c>
      <c r="V207" s="134">
        <f>$F207*HLOOKUP(V$177,'Datu ievade'!$C$436:$AG$441,4)</f>
        <v>27056.0304</v>
      </c>
      <c r="W207" s="134">
        <f>$F207*HLOOKUP(W$177,'Datu ievade'!$C$436:$AG$441,4)</f>
        <v>27586.540800000002</v>
      </c>
      <c r="X207" s="134">
        <f>$F207*HLOOKUP(X$177,'Datu ievade'!$C$436:$AG$441,4)</f>
        <v>28117.051200000002</v>
      </c>
      <c r="Y207" s="134">
        <f>$F207*HLOOKUP(Y$177,'Datu ievade'!$C$436:$AG$441,4)</f>
        <v>28647.561600000001</v>
      </c>
      <c r="Z207" s="134">
        <f>$F207*HLOOKUP(Z$177,'Datu ievade'!$C$436:$AG$441,4)</f>
        <v>29178.072</v>
      </c>
      <c r="AA207" s="134">
        <f>$F207*HLOOKUP(AA$177,'Datu ievade'!$C$436:$AG$441,4)</f>
        <v>29708.582399999999</v>
      </c>
      <c r="AB207" s="134">
        <f>$F207*HLOOKUP(AB$177,'Datu ievade'!$C$436:$AG$441,4)</f>
        <v>30239.092799999999</v>
      </c>
      <c r="AC207" s="134">
        <f>$F207*HLOOKUP(AC$177,'Datu ievade'!$C$436:$AG$441,4)</f>
        <v>30769.603200000001</v>
      </c>
      <c r="AD207" s="134">
        <f>$F207*HLOOKUP(AD$177,'Datu ievade'!$C$436:$AG$441,4)</f>
        <v>31300.113600000001</v>
      </c>
      <c r="AE207" s="134">
        <f>$F207*HLOOKUP(AE$177,'Datu ievade'!$C$436:$AG$441,4)</f>
        <v>32007.460800000001</v>
      </c>
      <c r="AF207" s="134">
        <f>$F207*HLOOKUP(AF$177,'Datu ievade'!$C$436:$AG$441,4)</f>
        <v>32714.808000000001</v>
      </c>
      <c r="AG207" s="134">
        <f>$F207*HLOOKUP(AG$177,'Datu ievade'!$C$436:$AG$441,4)</f>
        <v>32714.808000000001</v>
      </c>
      <c r="AH207" s="134">
        <f>$F207*HLOOKUP(AH$177,'Datu ievade'!$C$436:$AG$441,4)</f>
        <v>32714.808000000001</v>
      </c>
      <c r="AI207" s="75"/>
    </row>
    <row r="208" spans="1:35" s="71" customFormat="1" ht="25.5" x14ac:dyDescent="0.2">
      <c r="A208" s="84" t="s">
        <v>559</v>
      </c>
      <c r="B208" s="217"/>
      <c r="C208" s="218"/>
      <c r="D208" s="219">
        <v>0</v>
      </c>
      <c r="E208" s="219">
        <v>0</v>
      </c>
      <c r="F208" s="134">
        <f>$E208*HLOOKUP(F$177,'Datu ievade'!$C$436:$AG$441,4)</f>
        <v>0</v>
      </c>
      <c r="G208" s="134">
        <f>$E208*HLOOKUP(G$177,'Datu ievade'!$C$436:$AG$441,4)</f>
        <v>0</v>
      </c>
      <c r="H208" s="134">
        <f>$F208*HLOOKUP(H$177,'Datu ievade'!$C$436:$AG$441,4)</f>
        <v>0</v>
      </c>
      <c r="I208" s="134">
        <f>$F208*HLOOKUP(I$177,'Datu ievade'!$C$436:$AG$441,4)</f>
        <v>0</v>
      </c>
      <c r="J208" s="134">
        <f>$F208*HLOOKUP(J$177,'Datu ievade'!$C$436:$AG$441,4)</f>
        <v>0</v>
      </c>
      <c r="K208" s="134">
        <f>$F208*HLOOKUP(K$177,'Datu ievade'!$C$436:$AG$441,4)</f>
        <v>0</v>
      </c>
      <c r="L208" s="134">
        <f>$F208*HLOOKUP(L$177,'Datu ievade'!$C$436:$AG$441,4)</f>
        <v>0</v>
      </c>
      <c r="M208" s="134">
        <f>$F208*HLOOKUP(M$177,'Datu ievade'!$C$436:$AG$441,4)</f>
        <v>0</v>
      </c>
      <c r="N208" s="134">
        <f>$F208*HLOOKUP(N$177,'Datu ievade'!$C$436:$AG$441,4)</f>
        <v>0</v>
      </c>
      <c r="O208" s="134">
        <f>$F208*HLOOKUP(O$177,'Datu ievade'!$C$436:$AG$441,4)</f>
        <v>0</v>
      </c>
      <c r="P208" s="134">
        <f>$F208*HLOOKUP(P$177,'Datu ievade'!$C$436:$AG$441,4)</f>
        <v>0</v>
      </c>
      <c r="Q208" s="134">
        <f>$F208*HLOOKUP(Q$177,'Datu ievade'!$C$436:$AG$441,4)</f>
        <v>0</v>
      </c>
      <c r="R208" s="134">
        <f>$F208*HLOOKUP(R$177,'Datu ievade'!$C$436:$AG$441,4)</f>
        <v>0</v>
      </c>
      <c r="S208" s="134">
        <f>$F208*HLOOKUP(S$177,'Datu ievade'!$C$436:$AG$441,4)</f>
        <v>0</v>
      </c>
      <c r="T208" s="134">
        <f>$F208*HLOOKUP(T$177,'Datu ievade'!$C$436:$AG$441,4)</f>
        <v>0</v>
      </c>
      <c r="U208" s="134">
        <f>$F208*HLOOKUP(U$177,'Datu ievade'!$C$436:$AG$441,4)</f>
        <v>0</v>
      </c>
      <c r="V208" s="134">
        <f>$F208*HLOOKUP(V$177,'Datu ievade'!$C$436:$AG$441,4)</f>
        <v>0</v>
      </c>
      <c r="W208" s="134">
        <f>$F208*HLOOKUP(W$177,'Datu ievade'!$C$436:$AG$441,4)</f>
        <v>0</v>
      </c>
      <c r="X208" s="134">
        <f>$F208*HLOOKUP(X$177,'Datu ievade'!$C$436:$AG$441,4)</f>
        <v>0</v>
      </c>
      <c r="Y208" s="134">
        <f>$F208*HLOOKUP(Y$177,'Datu ievade'!$C$436:$AG$441,4)</f>
        <v>0</v>
      </c>
      <c r="Z208" s="134">
        <f>$F208*HLOOKUP(Z$177,'Datu ievade'!$C$436:$AG$441,4)</f>
        <v>0</v>
      </c>
      <c r="AA208" s="134">
        <f>$F208*HLOOKUP(AA$177,'Datu ievade'!$C$436:$AG$441,4)</f>
        <v>0</v>
      </c>
      <c r="AB208" s="134">
        <f>$F208*HLOOKUP(AB$177,'Datu ievade'!$C$436:$AG$441,4)</f>
        <v>0</v>
      </c>
      <c r="AC208" s="134">
        <f>$F208*HLOOKUP(AC$177,'Datu ievade'!$C$436:$AG$441,4)</f>
        <v>0</v>
      </c>
      <c r="AD208" s="134">
        <f>$F208*HLOOKUP(AD$177,'Datu ievade'!$C$436:$AG$441,4)</f>
        <v>0</v>
      </c>
      <c r="AE208" s="134">
        <f>$F208*HLOOKUP(AE$177,'Datu ievade'!$C$436:$AG$441,4)</f>
        <v>0</v>
      </c>
      <c r="AF208" s="134">
        <f>$F208*HLOOKUP(AF$177,'Datu ievade'!$C$436:$AG$441,4)</f>
        <v>0</v>
      </c>
      <c r="AG208" s="134">
        <f>$F208*HLOOKUP(AG$177,'Datu ievade'!$C$436:$AG$441,4)</f>
        <v>0</v>
      </c>
      <c r="AH208" s="134">
        <f>$F208*HLOOKUP(AH$177,'Datu ievade'!$C$436:$AG$441,4)</f>
        <v>0</v>
      </c>
      <c r="AI208" s="75"/>
    </row>
    <row r="209" spans="1:35" s="71" customFormat="1" x14ac:dyDescent="0.2">
      <c r="A209" s="84" t="s">
        <v>55</v>
      </c>
      <c r="B209" s="217"/>
      <c r="C209" s="216"/>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row>
    <row r="210" spans="1:35" s="71" customFormat="1" x14ac:dyDescent="0.2">
      <c r="A210" s="84" t="s">
        <v>56</v>
      </c>
      <c r="B210" s="217"/>
      <c r="C210" s="218"/>
      <c r="D210" s="219">
        <v>0</v>
      </c>
      <c r="E210" s="219">
        <v>0</v>
      </c>
      <c r="F210" s="134">
        <f>$E210*HLOOKUP(F$177,'Datu ievade'!$C$436:$AG$441,6)</f>
        <v>0</v>
      </c>
      <c r="G210" s="134">
        <f>$E210*HLOOKUP(G$177,'Datu ievade'!$C$436:$AG$441,6)</f>
        <v>0</v>
      </c>
      <c r="H210" s="134">
        <f>$F210*HLOOKUP(H$177,'Datu ievade'!$C$436:$AG$441,6)</f>
        <v>0</v>
      </c>
      <c r="I210" s="134">
        <f>$F210*HLOOKUP(I$177,'Datu ievade'!$C$436:$AG$441,6)</f>
        <v>0</v>
      </c>
      <c r="J210" s="134">
        <f>$F210*HLOOKUP(J$177,'Datu ievade'!$C$436:$AG$441,6)</f>
        <v>0</v>
      </c>
      <c r="K210" s="134">
        <f>$F210*HLOOKUP(K$177,'Datu ievade'!$C$436:$AG$441,6)</f>
        <v>0</v>
      </c>
      <c r="L210" s="134">
        <f>$F210*HLOOKUP(L$177,'Datu ievade'!$C$436:$AG$441,6)</f>
        <v>0</v>
      </c>
      <c r="M210" s="134">
        <f>$F210*HLOOKUP(M$177,'Datu ievade'!$C$436:$AG$441,6)</f>
        <v>0</v>
      </c>
      <c r="N210" s="134">
        <f>$F210*HLOOKUP(N$177,'Datu ievade'!$C$436:$AG$441,6)</f>
        <v>0</v>
      </c>
      <c r="O210" s="134">
        <f>$F210*HLOOKUP(O$177,'Datu ievade'!$C$436:$AG$441,6)</f>
        <v>0</v>
      </c>
      <c r="P210" s="134">
        <f>$F210*HLOOKUP(P$177,'Datu ievade'!$C$436:$AG$441,6)</f>
        <v>0</v>
      </c>
      <c r="Q210" s="134">
        <f>$F210*HLOOKUP(Q$177,'Datu ievade'!$C$436:$AG$441,6)</f>
        <v>0</v>
      </c>
      <c r="R210" s="134">
        <f>$F210*HLOOKUP(R$177,'Datu ievade'!$C$436:$AG$441,6)</f>
        <v>0</v>
      </c>
      <c r="S210" s="134">
        <f>$F210*HLOOKUP(S$177,'Datu ievade'!$C$436:$AG$441,6)</f>
        <v>0</v>
      </c>
      <c r="T210" s="134">
        <f>$F210*HLOOKUP(T$177,'Datu ievade'!$C$436:$AG$441,6)</f>
        <v>0</v>
      </c>
      <c r="U210" s="134">
        <f>$F210*HLOOKUP(U$177,'Datu ievade'!$C$436:$AG$441,6)</f>
        <v>0</v>
      </c>
      <c r="V210" s="134">
        <f>$F210*HLOOKUP(V$177,'Datu ievade'!$C$436:$AG$441,6)</f>
        <v>0</v>
      </c>
      <c r="W210" s="134">
        <f>$F210*HLOOKUP(W$177,'Datu ievade'!$C$436:$AG$441,6)</f>
        <v>0</v>
      </c>
      <c r="X210" s="134">
        <f>$F210*HLOOKUP(X$177,'Datu ievade'!$C$436:$AG$441,6)</f>
        <v>0</v>
      </c>
      <c r="Y210" s="134">
        <f>$F210*HLOOKUP(Y$177,'Datu ievade'!$C$436:$AG$441,6)</f>
        <v>0</v>
      </c>
      <c r="Z210" s="134">
        <f>$F210*HLOOKUP(Z$177,'Datu ievade'!$C$436:$AG$441,6)</f>
        <v>0</v>
      </c>
      <c r="AA210" s="134">
        <f>$F210*HLOOKUP(AA$177,'Datu ievade'!$C$436:$AG$441,6)</f>
        <v>0</v>
      </c>
      <c r="AB210" s="134">
        <f>$F210*HLOOKUP(AB$177,'Datu ievade'!$C$436:$AG$441,6)</f>
        <v>0</v>
      </c>
      <c r="AC210" s="134">
        <f>$F210*HLOOKUP(AC$177,'Datu ievade'!$C$436:$AG$441,6)</f>
        <v>0</v>
      </c>
      <c r="AD210" s="134">
        <f>$F210*HLOOKUP(AD$177,'Datu ievade'!$C$436:$AG$441,6)</f>
        <v>0</v>
      </c>
      <c r="AE210" s="134">
        <f>$F210*HLOOKUP(AE$177,'Datu ievade'!$C$436:$AG$441,6)</f>
        <v>0</v>
      </c>
      <c r="AF210" s="134">
        <f>$F210*HLOOKUP(AF$177,'Datu ievade'!$C$436:$AG$441,6)</f>
        <v>0</v>
      </c>
      <c r="AG210" s="134">
        <f>$F210*HLOOKUP(AG$177,'Datu ievade'!$C$436:$AG$441,6)</f>
        <v>0</v>
      </c>
      <c r="AH210" s="134">
        <f>$F210*HLOOKUP(AH$177,'Datu ievade'!$C$436:$AG$441,6)</f>
        <v>0</v>
      </c>
      <c r="AI210" s="75"/>
    </row>
    <row r="211" spans="1:35" s="71" customFormat="1" x14ac:dyDescent="0.2">
      <c r="A211" s="84" t="s">
        <v>57</v>
      </c>
      <c r="B211" s="217"/>
      <c r="C211" s="218"/>
      <c r="D211" s="220">
        <f t="shared" ref="D211:AH211" si="28">D210*0.2359</f>
        <v>0</v>
      </c>
      <c r="E211" s="220">
        <f t="shared" si="28"/>
        <v>0</v>
      </c>
      <c r="F211" s="134">
        <f t="shared" si="28"/>
        <v>0</v>
      </c>
      <c r="G211" s="134">
        <f t="shared" si="28"/>
        <v>0</v>
      </c>
      <c r="H211" s="134">
        <f t="shared" si="28"/>
        <v>0</v>
      </c>
      <c r="I211" s="134">
        <f t="shared" si="28"/>
        <v>0</v>
      </c>
      <c r="J211" s="134">
        <f t="shared" si="28"/>
        <v>0</v>
      </c>
      <c r="K211" s="134">
        <f t="shared" si="28"/>
        <v>0</v>
      </c>
      <c r="L211" s="134">
        <f t="shared" si="28"/>
        <v>0</v>
      </c>
      <c r="M211" s="134">
        <f t="shared" si="28"/>
        <v>0</v>
      </c>
      <c r="N211" s="134">
        <f t="shared" si="28"/>
        <v>0</v>
      </c>
      <c r="O211" s="134">
        <f t="shared" si="28"/>
        <v>0</v>
      </c>
      <c r="P211" s="134">
        <f t="shared" si="28"/>
        <v>0</v>
      </c>
      <c r="Q211" s="134">
        <f t="shared" si="28"/>
        <v>0</v>
      </c>
      <c r="R211" s="134">
        <f t="shared" si="28"/>
        <v>0</v>
      </c>
      <c r="S211" s="134">
        <f t="shared" si="28"/>
        <v>0</v>
      </c>
      <c r="T211" s="134">
        <f t="shared" si="28"/>
        <v>0</v>
      </c>
      <c r="U211" s="134">
        <f t="shared" si="28"/>
        <v>0</v>
      </c>
      <c r="V211" s="134">
        <f t="shared" si="28"/>
        <v>0</v>
      </c>
      <c r="W211" s="134">
        <f t="shared" si="28"/>
        <v>0</v>
      </c>
      <c r="X211" s="134">
        <f t="shared" si="28"/>
        <v>0</v>
      </c>
      <c r="Y211" s="134">
        <f t="shared" si="28"/>
        <v>0</v>
      </c>
      <c r="Z211" s="134">
        <f t="shared" si="28"/>
        <v>0</v>
      </c>
      <c r="AA211" s="134">
        <f t="shared" si="28"/>
        <v>0</v>
      </c>
      <c r="AB211" s="134">
        <f t="shared" si="28"/>
        <v>0</v>
      </c>
      <c r="AC211" s="134">
        <f t="shared" si="28"/>
        <v>0</v>
      </c>
      <c r="AD211" s="134">
        <f t="shared" si="28"/>
        <v>0</v>
      </c>
      <c r="AE211" s="134">
        <f t="shared" si="28"/>
        <v>0</v>
      </c>
      <c r="AF211" s="134">
        <f t="shared" si="28"/>
        <v>0</v>
      </c>
      <c r="AG211" s="134">
        <f t="shared" si="28"/>
        <v>0</v>
      </c>
      <c r="AH211" s="134">
        <f t="shared" si="28"/>
        <v>0</v>
      </c>
      <c r="AI211" s="75"/>
    </row>
    <row r="212" spans="1:35" s="71" customFormat="1" x14ac:dyDescent="0.2">
      <c r="A212" s="84" t="s">
        <v>58</v>
      </c>
      <c r="B212" s="217"/>
      <c r="C212" s="218"/>
      <c r="D212" s="219">
        <v>0</v>
      </c>
      <c r="E212" s="219">
        <v>0</v>
      </c>
      <c r="F212" s="134">
        <f>$E212*HLOOKUP(F$177,'Datu ievade'!$C$436:$AG$441,4)</f>
        <v>0</v>
      </c>
      <c r="G212" s="134">
        <f>$E212*HLOOKUP(G$177,'Datu ievade'!$C$436:$AG$441,4)</f>
        <v>0</v>
      </c>
      <c r="H212" s="134">
        <f>$F212*HLOOKUP(H$177,'Datu ievade'!$C$436:$AG$441,4)</f>
        <v>0</v>
      </c>
      <c r="I212" s="134">
        <f>$F212*HLOOKUP(I$177,'Datu ievade'!$C$436:$AG$441,4)</f>
        <v>0</v>
      </c>
      <c r="J212" s="134">
        <f>$F212*HLOOKUP(J$177,'Datu ievade'!$C$436:$AG$441,4)</f>
        <v>0</v>
      </c>
      <c r="K212" s="134">
        <f>$F212*HLOOKUP(K$177,'Datu ievade'!$C$436:$AG$441,4)</f>
        <v>0</v>
      </c>
      <c r="L212" s="134">
        <f>$F212*HLOOKUP(L$177,'Datu ievade'!$C$436:$AG$441,4)</f>
        <v>0</v>
      </c>
      <c r="M212" s="134">
        <f>$F212*HLOOKUP(M$177,'Datu ievade'!$C$436:$AG$441,4)</f>
        <v>0</v>
      </c>
      <c r="N212" s="134">
        <f>$F212*HLOOKUP(N$177,'Datu ievade'!$C$436:$AG$441,4)</f>
        <v>0</v>
      </c>
      <c r="O212" s="134">
        <f>$F212*HLOOKUP(O$177,'Datu ievade'!$C$436:$AG$441,4)</f>
        <v>0</v>
      </c>
      <c r="P212" s="134">
        <f>$F212*HLOOKUP(P$177,'Datu ievade'!$C$436:$AG$441,4)</f>
        <v>0</v>
      </c>
      <c r="Q212" s="134">
        <f>$F212*HLOOKUP(Q$177,'Datu ievade'!$C$436:$AG$441,4)</f>
        <v>0</v>
      </c>
      <c r="R212" s="134">
        <f>$F212*HLOOKUP(R$177,'Datu ievade'!$C$436:$AG$441,4)</f>
        <v>0</v>
      </c>
      <c r="S212" s="134">
        <f>$F212*HLOOKUP(S$177,'Datu ievade'!$C$436:$AG$441,4)</f>
        <v>0</v>
      </c>
      <c r="T212" s="134">
        <f>$F212*HLOOKUP(T$177,'Datu ievade'!$C$436:$AG$441,4)</f>
        <v>0</v>
      </c>
      <c r="U212" s="134">
        <f>$F212*HLOOKUP(U$177,'Datu ievade'!$C$436:$AG$441,4)</f>
        <v>0</v>
      </c>
      <c r="V212" s="134">
        <f>$F212*HLOOKUP(V$177,'Datu ievade'!$C$436:$AG$441,4)</f>
        <v>0</v>
      </c>
      <c r="W212" s="134">
        <f>$F212*HLOOKUP(W$177,'Datu ievade'!$C$436:$AG$441,4)</f>
        <v>0</v>
      </c>
      <c r="X212" s="134">
        <f>$F212*HLOOKUP(X$177,'Datu ievade'!$C$436:$AG$441,4)</f>
        <v>0</v>
      </c>
      <c r="Y212" s="134">
        <f>$F212*HLOOKUP(Y$177,'Datu ievade'!$C$436:$AG$441,4)</f>
        <v>0</v>
      </c>
      <c r="Z212" s="134">
        <f>$F212*HLOOKUP(Z$177,'Datu ievade'!$C$436:$AG$441,4)</f>
        <v>0</v>
      </c>
      <c r="AA212" s="134">
        <f>$F212*HLOOKUP(AA$177,'Datu ievade'!$C$436:$AG$441,4)</f>
        <v>0</v>
      </c>
      <c r="AB212" s="134">
        <f>$F212*HLOOKUP(AB$177,'Datu ievade'!$C$436:$AG$441,4)</f>
        <v>0</v>
      </c>
      <c r="AC212" s="134">
        <f>$F212*HLOOKUP(AC$177,'Datu ievade'!$C$436:$AG$441,4)</f>
        <v>0</v>
      </c>
      <c r="AD212" s="134">
        <f>$F212*HLOOKUP(AD$177,'Datu ievade'!$C$436:$AG$441,4)</f>
        <v>0</v>
      </c>
      <c r="AE212" s="134">
        <f>$F212*HLOOKUP(AE$177,'Datu ievade'!$C$436:$AG$441,4)</f>
        <v>0</v>
      </c>
      <c r="AF212" s="134">
        <f>$F212*HLOOKUP(AF$177,'Datu ievade'!$C$436:$AG$441,4)</f>
        <v>0</v>
      </c>
      <c r="AG212" s="134">
        <f>$F212*HLOOKUP(AG$177,'Datu ievade'!$C$436:$AG$441,4)</f>
        <v>0</v>
      </c>
      <c r="AH212" s="134">
        <f>$F212*HLOOKUP(AH$177,'Datu ievade'!$C$436:$AG$441,4)</f>
        <v>0</v>
      </c>
      <c r="AI212" s="75"/>
    </row>
    <row r="213" spans="1:35" s="71" customFormat="1" x14ac:dyDescent="0.2">
      <c r="A213" s="221" t="s">
        <v>59</v>
      </c>
      <c r="B213" s="217"/>
      <c r="C213" s="216"/>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row>
    <row r="214" spans="1:35" s="71" customFormat="1" x14ac:dyDescent="0.2">
      <c r="A214" s="84" t="s">
        <v>50</v>
      </c>
      <c r="B214" s="217"/>
      <c r="C214" s="216"/>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row>
    <row r="215" spans="1:35" s="71" customFormat="1" x14ac:dyDescent="0.2">
      <c r="A215" s="84" t="s">
        <v>51</v>
      </c>
      <c r="B215" s="217"/>
      <c r="C215" s="218"/>
      <c r="D215" s="219">
        <f>-7900/2</f>
        <v>-3950</v>
      </c>
      <c r="E215" s="219">
        <v>-7900</v>
      </c>
      <c r="F215" s="134">
        <f>$E215*HLOOKUP(F$177,'Datu ievade'!$C$436:$AG$441,4)</f>
        <v>-8848</v>
      </c>
      <c r="G215" s="134">
        <f>$E215*HLOOKUP(G$177,'Datu ievade'!$C$436:$AG$441,4)</f>
        <v>-9006</v>
      </c>
      <c r="H215" s="134">
        <f>$F215*HLOOKUP(H$177,'Datu ievade'!$C$436:$AG$441,4)</f>
        <v>-10263.679999999998</v>
      </c>
      <c r="I215" s="134">
        <f>$F215*HLOOKUP(I$177,'Datu ievade'!$C$436:$AG$441,4)</f>
        <v>-10440.64</v>
      </c>
      <c r="J215" s="134">
        <f>$F215*HLOOKUP(J$177,'Datu ievade'!$C$436:$AG$441,4)</f>
        <v>-10617.6</v>
      </c>
      <c r="K215" s="134">
        <f>$F215*HLOOKUP(K$177,'Datu ievade'!$C$436:$AG$441,4)</f>
        <v>-10794.56</v>
      </c>
      <c r="L215" s="134">
        <f>$F215*HLOOKUP(L$177,'Datu ievade'!$C$436:$AG$441,4)</f>
        <v>-10971.52</v>
      </c>
      <c r="M215" s="134">
        <f>$F215*HLOOKUP(M$177,'Datu ievade'!$C$436:$AG$441,4)</f>
        <v>-11148.48</v>
      </c>
      <c r="N215" s="134">
        <f>$F215*HLOOKUP(N$177,'Datu ievade'!$C$436:$AG$441,4)</f>
        <v>-11413.92</v>
      </c>
      <c r="O215" s="134">
        <f>$F215*HLOOKUP(O$177,'Datu ievade'!$C$436:$AG$441,4)</f>
        <v>-11679.36</v>
      </c>
      <c r="P215" s="134">
        <f>$F215*HLOOKUP(P$177,'Datu ievade'!$C$436:$AG$441,4)</f>
        <v>-11944.800000000001</v>
      </c>
      <c r="Q215" s="134">
        <f>$F215*HLOOKUP(Q$177,'Datu ievade'!$C$436:$AG$441,4)</f>
        <v>-12210.24</v>
      </c>
      <c r="R215" s="134">
        <f>$F215*HLOOKUP(R$177,'Datu ievade'!$C$436:$AG$441,4)</f>
        <v>-12475.679999999998</v>
      </c>
      <c r="S215" s="134">
        <f>$F215*HLOOKUP(S$177,'Datu ievade'!$C$436:$AG$441,4)</f>
        <v>-12741.119999999999</v>
      </c>
      <c r="T215" s="134">
        <f>$F215*HLOOKUP(T$177,'Datu ievade'!$C$436:$AG$441,4)</f>
        <v>-13006.56</v>
      </c>
      <c r="U215" s="134">
        <f>$F215*HLOOKUP(U$177,'Datu ievade'!$C$436:$AG$441,4)</f>
        <v>-13272</v>
      </c>
      <c r="V215" s="134">
        <f>$F215*HLOOKUP(V$177,'Datu ievade'!$C$436:$AG$441,4)</f>
        <v>-13537.44</v>
      </c>
      <c r="W215" s="134">
        <f>$F215*HLOOKUP(W$177,'Datu ievade'!$C$436:$AG$441,4)</f>
        <v>-13802.880000000001</v>
      </c>
      <c r="X215" s="134">
        <f>$F215*HLOOKUP(X$177,'Datu ievade'!$C$436:$AG$441,4)</f>
        <v>-14068.320000000002</v>
      </c>
      <c r="Y215" s="134">
        <f>$F215*HLOOKUP(Y$177,'Datu ievade'!$C$436:$AG$441,4)</f>
        <v>-14333.76</v>
      </c>
      <c r="Z215" s="134">
        <f>$F215*HLOOKUP(Z$177,'Datu ievade'!$C$436:$AG$441,4)</f>
        <v>-14599.199999999999</v>
      </c>
      <c r="AA215" s="134">
        <f>$F215*HLOOKUP(AA$177,'Datu ievade'!$C$436:$AG$441,4)</f>
        <v>-14864.64</v>
      </c>
      <c r="AB215" s="134">
        <f>$F215*HLOOKUP(AB$177,'Datu ievade'!$C$436:$AG$441,4)</f>
        <v>-15130.08</v>
      </c>
      <c r="AC215" s="134">
        <f>$F215*HLOOKUP(AC$177,'Datu ievade'!$C$436:$AG$441,4)</f>
        <v>-15395.52</v>
      </c>
      <c r="AD215" s="134">
        <f>$F215*HLOOKUP(AD$177,'Datu ievade'!$C$436:$AG$441,4)</f>
        <v>-15660.960000000001</v>
      </c>
      <c r="AE215" s="134">
        <f>$F215*HLOOKUP(AE$177,'Datu ievade'!$C$436:$AG$441,4)</f>
        <v>-16014.880000000001</v>
      </c>
      <c r="AF215" s="134">
        <f>$F215*HLOOKUP(AF$177,'Datu ievade'!$C$436:$AG$441,4)</f>
        <v>-16368.800000000001</v>
      </c>
      <c r="AG215" s="134">
        <f>$F215*HLOOKUP(AG$177,'Datu ievade'!$C$436:$AG$441,4)</f>
        <v>-16368.800000000001</v>
      </c>
      <c r="AH215" s="134">
        <f>$F215*HLOOKUP(AH$177,'Datu ievade'!$C$436:$AG$441,4)</f>
        <v>-16368.800000000001</v>
      </c>
      <c r="AI215" s="75"/>
    </row>
    <row r="216" spans="1:35" s="71" customFormat="1" x14ac:dyDescent="0.2">
      <c r="A216" s="84" t="s">
        <v>52</v>
      </c>
      <c r="B216" s="217"/>
      <c r="C216" s="218"/>
      <c r="D216" s="219">
        <f>34670/2</f>
        <v>17335</v>
      </c>
      <c r="E216" s="219">
        <v>34670</v>
      </c>
      <c r="F216" s="134">
        <f>$E216*HLOOKUP(F$177,'Datu ievade'!$C$436:$AG$441,4)</f>
        <v>38830.400000000001</v>
      </c>
      <c r="G216" s="134">
        <f>$E216*HLOOKUP(G$177,'Datu ievade'!$C$436:$AG$441,4)</f>
        <v>39523.799999999996</v>
      </c>
      <c r="H216" s="134">
        <f>$F216*HLOOKUP(H$177,'Datu ievade'!$C$436:$AG$441,4)</f>
        <v>45043.263999999996</v>
      </c>
      <c r="I216" s="134">
        <f>$F216*HLOOKUP(I$177,'Datu ievade'!$C$436:$AG$441,4)</f>
        <v>45819.871999999996</v>
      </c>
      <c r="J216" s="134">
        <f>$F216*HLOOKUP(J$177,'Datu ievade'!$C$436:$AG$441,4)</f>
        <v>46596.480000000003</v>
      </c>
      <c r="K216" s="134">
        <f>$F216*HLOOKUP(K$177,'Datu ievade'!$C$436:$AG$441,4)</f>
        <v>47373.088000000003</v>
      </c>
      <c r="L216" s="134">
        <f>$F216*HLOOKUP(L$177,'Datu ievade'!$C$436:$AG$441,4)</f>
        <v>48149.696000000004</v>
      </c>
      <c r="M216" s="134">
        <f>$F216*HLOOKUP(M$177,'Datu ievade'!$C$436:$AG$441,4)</f>
        <v>48926.304000000004</v>
      </c>
      <c r="N216" s="134">
        <f>$F216*HLOOKUP(N$177,'Datu ievade'!$C$436:$AG$441,4)</f>
        <v>50091.216</v>
      </c>
      <c r="O216" s="134">
        <f>$F216*HLOOKUP(O$177,'Datu ievade'!$C$436:$AG$441,4)</f>
        <v>51256.128000000004</v>
      </c>
      <c r="P216" s="134">
        <f>$F216*HLOOKUP(P$177,'Datu ievade'!$C$436:$AG$441,4)</f>
        <v>52421.040000000008</v>
      </c>
      <c r="Q216" s="134">
        <f>$F216*HLOOKUP(Q$177,'Datu ievade'!$C$436:$AG$441,4)</f>
        <v>53585.951999999997</v>
      </c>
      <c r="R216" s="134">
        <f>$F216*HLOOKUP(R$177,'Datu ievade'!$C$436:$AG$441,4)</f>
        <v>54750.864000000001</v>
      </c>
      <c r="S216" s="134">
        <f>$F216*HLOOKUP(S$177,'Datu ievade'!$C$436:$AG$441,4)</f>
        <v>55915.775999999998</v>
      </c>
      <c r="T216" s="134">
        <f>$F216*HLOOKUP(T$177,'Datu ievade'!$C$436:$AG$441,4)</f>
        <v>57080.688000000002</v>
      </c>
      <c r="U216" s="134">
        <f>$F216*HLOOKUP(U$177,'Datu ievade'!$C$436:$AG$441,4)</f>
        <v>58245.600000000006</v>
      </c>
      <c r="V216" s="134">
        <f>$F216*HLOOKUP(V$177,'Datu ievade'!$C$436:$AG$441,4)</f>
        <v>59410.512000000002</v>
      </c>
      <c r="W216" s="134">
        <f>$F216*HLOOKUP(W$177,'Datu ievade'!$C$436:$AG$441,4)</f>
        <v>60575.424000000006</v>
      </c>
      <c r="X216" s="134">
        <f>$F216*HLOOKUP(X$177,'Datu ievade'!$C$436:$AG$441,4)</f>
        <v>61740.336000000003</v>
      </c>
      <c r="Y216" s="134">
        <f>$F216*HLOOKUP(Y$177,'Datu ievade'!$C$436:$AG$441,4)</f>
        <v>62905.248000000007</v>
      </c>
      <c r="Z216" s="134">
        <f>$F216*HLOOKUP(Z$177,'Datu ievade'!$C$436:$AG$441,4)</f>
        <v>64070.159999999996</v>
      </c>
      <c r="AA216" s="134">
        <f>$F216*HLOOKUP(AA$177,'Datu ievade'!$C$436:$AG$441,4)</f>
        <v>65235.072</v>
      </c>
      <c r="AB216" s="134">
        <f>$F216*HLOOKUP(AB$177,'Datu ievade'!$C$436:$AG$441,4)</f>
        <v>66399.983999999997</v>
      </c>
      <c r="AC216" s="134">
        <f>$F216*HLOOKUP(AC$177,'Datu ievade'!$C$436:$AG$441,4)</f>
        <v>67564.896000000008</v>
      </c>
      <c r="AD216" s="134">
        <f>$F216*HLOOKUP(AD$177,'Datu ievade'!$C$436:$AG$441,4)</f>
        <v>68729.808000000005</v>
      </c>
      <c r="AE216" s="134">
        <f>$F216*HLOOKUP(AE$177,'Datu ievade'!$C$436:$AG$441,4)</f>
        <v>70283.024000000005</v>
      </c>
      <c r="AF216" s="134">
        <f>$F216*HLOOKUP(AF$177,'Datu ievade'!$C$436:$AG$441,4)</f>
        <v>71836.240000000005</v>
      </c>
      <c r="AG216" s="134">
        <f>$F216*HLOOKUP(AG$177,'Datu ievade'!$C$436:$AG$441,4)</f>
        <v>71836.240000000005</v>
      </c>
      <c r="AH216" s="134">
        <f>$F216*HLOOKUP(AH$177,'Datu ievade'!$C$436:$AG$441,4)</f>
        <v>71836.240000000005</v>
      </c>
      <c r="AI216" s="75"/>
    </row>
    <row r="217" spans="1:35" s="71" customFormat="1" x14ac:dyDescent="0.2">
      <c r="A217" s="84" t="s">
        <v>53</v>
      </c>
      <c r="B217" s="217"/>
      <c r="C217" s="218"/>
      <c r="D217" s="219">
        <f>1100/2</f>
        <v>550</v>
      </c>
      <c r="E217" s="219">
        <v>1100</v>
      </c>
      <c r="F217" s="134">
        <f>$E217*HLOOKUP(F$177,'Datu ievade'!$C$436:$AG$441,4)</f>
        <v>1232.0000000000002</v>
      </c>
      <c r="G217" s="134">
        <f>$E217*HLOOKUP(G$177,'Datu ievade'!$C$436:$AG$441,4)</f>
        <v>1254</v>
      </c>
      <c r="H217" s="134">
        <f>$F217*HLOOKUP(H$177,'Datu ievade'!$C$436:$AG$441,4)</f>
        <v>1429.1200000000001</v>
      </c>
      <c r="I217" s="134">
        <f>$F217*HLOOKUP(I$177,'Datu ievade'!$C$436:$AG$441,4)</f>
        <v>1453.7600000000002</v>
      </c>
      <c r="J217" s="134">
        <f>$F217*HLOOKUP(J$177,'Datu ievade'!$C$436:$AG$441,4)</f>
        <v>1478.4000000000003</v>
      </c>
      <c r="K217" s="134">
        <f>$F217*HLOOKUP(K$177,'Datu ievade'!$C$436:$AG$441,4)</f>
        <v>1503.0400000000002</v>
      </c>
      <c r="L217" s="134">
        <f>$F217*HLOOKUP(L$177,'Datu ievade'!$C$436:$AG$441,4)</f>
        <v>1527.6800000000003</v>
      </c>
      <c r="M217" s="134">
        <f>$F217*HLOOKUP(M$177,'Datu ievade'!$C$436:$AG$441,4)</f>
        <v>1552.3200000000004</v>
      </c>
      <c r="N217" s="134">
        <f>$F217*HLOOKUP(N$177,'Datu ievade'!$C$436:$AG$441,4)</f>
        <v>1589.2800000000004</v>
      </c>
      <c r="O217" s="134">
        <f>$F217*HLOOKUP(O$177,'Datu ievade'!$C$436:$AG$441,4)</f>
        <v>1626.2400000000005</v>
      </c>
      <c r="P217" s="134">
        <f>$F217*HLOOKUP(P$177,'Datu ievade'!$C$436:$AG$441,4)</f>
        <v>1663.2000000000005</v>
      </c>
      <c r="Q217" s="134">
        <f>$F217*HLOOKUP(Q$177,'Datu ievade'!$C$436:$AG$441,4)</f>
        <v>1700.16</v>
      </c>
      <c r="R217" s="134">
        <f>$F217*HLOOKUP(R$177,'Datu ievade'!$C$436:$AG$441,4)</f>
        <v>1737.1200000000001</v>
      </c>
      <c r="S217" s="134">
        <f>$F217*HLOOKUP(S$177,'Datu ievade'!$C$436:$AG$441,4)</f>
        <v>1774.0800000000002</v>
      </c>
      <c r="T217" s="134">
        <f>$F217*HLOOKUP(T$177,'Datu ievade'!$C$436:$AG$441,4)</f>
        <v>1811.0400000000002</v>
      </c>
      <c r="U217" s="134">
        <f>$F217*HLOOKUP(U$177,'Datu ievade'!$C$436:$AG$441,4)</f>
        <v>1848.0000000000005</v>
      </c>
      <c r="V217" s="134">
        <f>$F217*HLOOKUP(V$177,'Datu ievade'!$C$436:$AG$441,4)</f>
        <v>1884.9600000000005</v>
      </c>
      <c r="W217" s="134">
        <f>$F217*HLOOKUP(W$177,'Datu ievade'!$C$436:$AG$441,4)</f>
        <v>1921.9200000000005</v>
      </c>
      <c r="X217" s="134">
        <f>$F217*HLOOKUP(X$177,'Datu ievade'!$C$436:$AG$441,4)</f>
        <v>1958.8800000000006</v>
      </c>
      <c r="Y217" s="134">
        <f>$F217*HLOOKUP(Y$177,'Datu ievade'!$C$436:$AG$441,4)</f>
        <v>1995.8400000000006</v>
      </c>
      <c r="Z217" s="134">
        <f>$F217*HLOOKUP(Z$177,'Datu ievade'!$C$436:$AG$441,4)</f>
        <v>2032.8000000000002</v>
      </c>
      <c r="AA217" s="134">
        <f>$F217*HLOOKUP(AA$177,'Datu ievade'!$C$436:$AG$441,4)</f>
        <v>2069.7600000000002</v>
      </c>
      <c r="AB217" s="134">
        <f>$F217*HLOOKUP(AB$177,'Datu ievade'!$C$436:$AG$441,4)</f>
        <v>2106.7200000000003</v>
      </c>
      <c r="AC217" s="134">
        <f>$F217*HLOOKUP(AC$177,'Datu ievade'!$C$436:$AG$441,4)</f>
        <v>2143.6800000000003</v>
      </c>
      <c r="AD217" s="134">
        <f>$F217*HLOOKUP(AD$177,'Datu ievade'!$C$436:$AG$441,4)</f>
        <v>2180.6400000000003</v>
      </c>
      <c r="AE217" s="134">
        <f>$F217*HLOOKUP(AE$177,'Datu ievade'!$C$436:$AG$441,4)</f>
        <v>2229.9200000000005</v>
      </c>
      <c r="AF217" s="134">
        <f>$F217*HLOOKUP(AF$177,'Datu ievade'!$C$436:$AG$441,4)</f>
        <v>2279.2000000000007</v>
      </c>
      <c r="AG217" s="134">
        <f>$F217*HLOOKUP(AG$177,'Datu ievade'!$C$436:$AG$441,4)</f>
        <v>2279.2000000000007</v>
      </c>
      <c r="AH217" s="134">
        <f>$F217*HLOOKUP(AH$177,'Datu ievade'!$C$436:$AG$441,4)</f>
        <v>2279.2000000000007</v>
      </c>
      <c r="AI217" s="75"/>
    </row>
    <row r="218" spans="1:35" s="71" customFormat="1" x14ac:dyDescent="0.2">
      <c r="A218" s="84" t="s">
        <v>54</v>
      </c>
      <c r="B218" s="217"/>
      <c r="C218" s="218"/>
      <c r="D218" s="219">
        <v>0</v>
      </c>
      <c r="E218" s="219">
        <v>0</v>
      </c>
      <c r="F218" s="134">
        <f>$E218*HLOOKUP(F$177,'Datu ievade'!$C$436:$AG$441,4)</f>
        <v>0</v>
      </c>
      <c r="G218" s="134">
        <f>$E218*HLOOKUP(G$177,'Datu ievade'!$C$436:$AG$441,4)</f>
        <v>0</v>
      </c>
      <c r="H218" s="134">
        <f>$F218*HLOOKUP(H$177,'Datu ievade'!$C$436:$AG$441,4)</f>
        <v>0</v>
      </c>
      <c r="I218" s="134">
        <f>$F218*HLOOKUP(I$177,'Datu ievade'!$C$436:$AG$441,4)</f>
        <v>0</v>
      </c>
      <c r="J218" s="134">
        <f>$F218*HLOOKUP(J$177,'Datu ievade'!$C$436:$AG$441,4)</f>
        <v>0</v>
      </c>
      <c r="K218" s="134">
        <f>$F218*HLOOKUP(K$177,'Datu ievade'!$C$436:$AG$441,4)</f>
        <v>0</v>
      </c>
      <c r="L218" s="134">
        <f>$F218*HLOOKUP(L$177,'Datu ievade'!$C$436:$AG$441,4)</f>
        <v>0</v>
      </c>
      <c r="M218" s="134">
        <f>$F218*HLOOKUP(M$177,'Datu ievade'!$C$436:$AG$441,4)</f>
        <v>0</v>
      </c>
      <c r="N218" s="134">
        <f>$F218*HLOOKUP(N$177,'Datu ievade'!$C$436:$AG$441,4)</f>
        <v>0</v>
      </c>
      <c r="O218" s="134">
        <f>$F218*HLOOKUP(O$177,'Datu ievade'!$C$436:$AG$441,4)</f>
        <v>0</v>
      </c>
      <c r="P218" s="134">
        <f>$F218*HLOOKUP(P$177,'Datu ievade'!$C$436:$AG$441,4)</f>
        <v>0</v>
      </c>
      <c r="Q218" s="134">
        <f>$F218*HLOOKUP(Q$177,'Datu ievade'!$C$436:$AG$441,4)</f>
        <v>0</v>
      </c>
      <c r="R218" s="134">
        <f>$F218*HLOOKUP(R$177,'Datu ievade'!$C$436:$AG$441,4)</f>
        <v>0</v>
      </c>
      <c r="S218" s="134">
        <f>$F218*HLOOKUP(S$177,'Datu ievade'!$C$436:$AG$441,4)</f>
        <v>0</v>
      </c>
      <c r="T218" s="134">
        <f>$F218*HLOOKUP(T$177,'Datu ievade'!$C$436:$AG$441,4)</f>
        <v>0</v>
      </c>
      <c r="U218" s="134">
        <f>$F218*HLOOKUP(U$177,'Datu ievade'!$C$436:$AG$441,4)</f>
        <v>0</v>
      </c>
      <c r="V218" s="134">
        <f>$F218*HLOOKUP(V$177,'Datu ievade'!$C$436:$AG$441,4)</f>
        <v>0</v>
      </c>
      <c r="W218" s="134">
        <f>$F218*HLOOKUP(W$177,'Datu ievade'!$C$436:$AG$441,4)</f>
        <v>0</v>
      </c>
      <c r="X218" s="134">
        <f>$F218*HLOOKUP(X$177,'Datu ievade'!$C$436:$AG$441,4)</f>
        <v>0</v>
      </c>
      <c r="Y218" s="134">
        <f>$F218*HLOOKUP(Y$177,'Datu ievade'!$C$436:$AG$441,4)</f>
        <v>0</v>
      </c>
      <c r="Z218" s="134">
        <f>$F218*HLOOKUP(Z$177,'Datu ievade'!$C$436:$AG$441,4)</f>
        <v>0</v>
      </c>
      <c r="AA218" s="134">
        <f>$F218*HLOOKUP(AA$177,'Datu ievade'!$C$436:$AG$441,4)</f>
        <v>0</v>
      </c>
      <c r="AB218" s="134">
        <f>$F218*HLOOKUP(AB$177,'Datu ievade'!$C$436:$AG$441,4)</f>
        <v>0</v>
      </c>
      <c r="AC218" s="134">
        <f>$F218*HLOOKUP(AC$177,'Datu ievade'!$C$436:$AG$441,4)</f>
        <v>0</v>
      </c>
      <c r="AD218" s="134">
        <f>$F218*HLOOKUP(AD$177,'Datu ievade'!$C$436:$AG$441,4)</f>
        <v>0</v>
      </c>
      <c r="AE218" s="134">
        <f>$F218*HLOOKUP(AE$177,'Datu ievade'!$C$436:$AG$441,4)</f>
        <v>0</v>
      </c>
      <c r="AF218" s="134">
        <f>$F218*HLOOKUP(AF$177,'Datu ievade'!$C$436:$AG$441,4)</f>
        <v>0</v>
      </c>
      <c r="AG218" s="134">
        <f>$F218*HLOOKUP(AG$177,'Datu ievade'!$C$436:$AG$441,4)</f>
        <v>0</v>
      </c>
      <c r="AH218" s="134">
        <f>$F218*HLOOKUP(AH$177,'Datu ievade'!$C$436:$AG$441,4)</f>
        <v>0</v>
      </c>
      <c r="AI218" s="75"/>
    </row>
    <row r="219" spans="1:35" s="71" customFormat="1" ht="25.5" x14ac:dyDescent="0.2">
      <c r="A219" s="84" t="s">
        <v>559</v>
      </c>
      <c r="B219" s="217"/>
      <c r="C219" s="218"/>
      <c r="D219" s="219">
        <f>-300/2</f>
        <v>-150</v>
      </c>
      <c r="E219" s="219">
        <v>-300</v>
      </c>
      <c r="F219" s="134">
        <f>$E219*HLOOKUP(F$177,'Datu ievade'!$C$436:$AG$441,4)</f>
        <v>-336.00000000000006</v>
      </c>
      <c r="G219" s="134">
        <f>$E219*HLOOKUP(G$177,'Datu ievade'!$C$436:$AG$441,4)</f>
        <v>-341.99999999999994</v>
      </c>
      <c r="H219" s="134">
        <f>$F219*HLOOKUP(H$177,'Datu ievade'!$C$436:$AG$441,4)</f>
        <v>-389.76000000000005</v>
      </c>
      <c r="I219" s="134">
        <f>$F219*HLOOKUP(I$177,'Datu ievade'!$C$436:$AG$441,4)</f>
        <v>-396.48</v>
      </c>
      <c r="J219" s="134">
        <f>$F219*HLOOKUP(J$177,'Datu ievade'!$C$436:$AG$441,4)</f>
        <v>-403.20000000000005</v>
      </c>
      <c r="K219" s="134">
        <f>$F219*HLOOKUP(K$177,'Datu ievade'!$C$436:$AG$441,4)</f>
        <v>-409.92000000000007</v>
      </c>
      <c r="L219" s="134">
        <f>$F219*HLOOKUP(L$177,'Datu ievade'!$C$436:$AG$441,4)</f>
        <v>-416.64000000000004</v>
      </c>
      <c r="M219" s="134">
        <f>$F219*HLOOKUP(M$177,'Datu ievade'!$C$436:$AG$441,4)</f>
        <v>-423.36000000000007</v>
      </c>
      <c r="N219" s="134">
        <f>$F219*HLOOKUP(N$177,'Datu ievade'!$C$436:$AG$441,4)</f>
        <v>-433.44000000000011</v>
      </c>
      <c r="O219" s="134">
        <f>$F219*HLOOKUP(O$177,'Datu ievade'!$C$436:$AG$441,4)</f>
        <v>-443.5200000000001</v>
      </c>
      <c r="P219" s="134">
        <f>$F219*HLOOKUP(P$177,'Datu ievade'!$C$436:$AG$441,4)</f>
        <v>-453.60000000000008</v>
      </c>
      <c r="Q219" s="134">
        <f>$F219*HLOOKUP(Q$177,'Datu ievade'!$C$436:$AG$441,4)</f>
        <v>-463.68000000000006</v>
      </c>
      <c r="R219" s="134">
        <f>$F219*HLOOKUP(R$177,'Datu ievade'!$C$436:$AG$441,4)</f>
        <v>-473.76000000000005</v>
      </c>
      <c r="S219" s="134">
        <f>$F219*HLOOKUP(S$177,'Datu ievade'!$C$436:$AG$441,4)</f>
        <v>-483.84000000000009</v>
      </c>
      <c r="T219" s="134">
        <f>$F219*HLOOKUP(T$177,'Datu ievade'!$C$436:$AG$441,4)</f>
        <v>-493.92000000000007</v>
      </c>
      <c r="U219" s="134">
        <f>$F219*HLOOKUP(U$177,'Datu ievade'!$C$436:$AG$441,4)</f>
        <v>-504.00000000000011</v>
      </c>
      <c r="V219" s="134">
        <f>$F219*HLOOKUP(V$177,'Datu ievade'!$C$436:$AG$441,4)</f>
        <v>-514.08000000000004</v>
      </c>
      <c r="W219" s="134">
        <f>$F219*HLOOKUP(W$177,'Datu ievade'!$C$436:$AG$441,4)</f>
        <v>-524.16000000000008</v>
      </c>
      <c r="X219" s="134">
        <f>$F219*HLOOKUP(X$177,'Datu ievade'!$C$436:$AG$441,4)</f>
        <v>-534.24000000000012</v>
      </c>
      <c r="Y219" s="134">
        <f>$F219*HLOOKUP(Y$177,'Datu ievade'!$C$436:$AG$441,4)</f>
        <v>-544.32000000000016</v>
      </c>
      <c r="Z219" s="134">
        <f>$F219*HLOOKUP(Z$177,'Datu ievade'!$C$436:$AG$441,4)</f>
        <v>-554.40000000000009</v>
      </c>
      <c r="AA219" s="134">
        <f>$F219*HLOOKUP(AA$177,'Datu ievade'!$C$436:$AG$441,4)</f>
        <v>-564.48</v>
      </c>
      <c r="AB219" s="134">
        <f>$F219*HLOOKUP(AB$177,'Datu ievade'!$C$436:$AG$441,4)</f>
        <v>-574.56000000000006</v>
      </c>
      <c r="AC219" s="134">
        <f>$F219*HLOOKUP(AC$177,'Datu ievade'!$C$436:$AG$441,4)</f>
        <v>-584.6400000000001</v>
      </c>
      <c r="AD219" s="134">
        <f>$F219*HLOOKUP(AD$177,'Datu ievade'!$C$436:$AG$441,4)</f>
        <v>-594.72000000000014</v>
      </c>
      <c r="AE219" s="134">
        <f>$F219*HLOOKUP(AE$177,'Datu ievade'!$C$436:$AG$441,4)</f>
        <v>-608.16000000000008</v>
      </c>
      <c r="AF219" s="134">
        <f>$F219*HLOOKUP(AF$177,'Datu ievade'!$C$436:$AG$441,4)</f>
        <v>-621.60000000000014</v>
      </c>
      <c r="AG219" s="134">
        <f>$F219*HLOOKUP(AG$177,'Datu ievade'!$C$436:$AG$441,4)</f>
        <v>-621.60000000000014</v>
      </c>
      <c r="AH219" s="134">
        <f>$F219*HLOOKUP(AH$177,'Datu ievade'!$C$436:$AG$441,4)</f>
        <v>-621.60000000000014</v>
      </c>
      <c r="AI219" s="75"/>
    </row>
    <row r="220" spans="1:35" s="71" customFormat="1" x14ac:dyDescent="0.2">
      <c r="A220" s="84" t="s">
        <v>55</v>
      </c>
      <c r="B220" s="217"/>
      <c r="C220" s="216"/>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row>
    <row r="221" spans="1:35" s="71" customFormat="1" x14ac:dyDescent="0.2">
      <c r="A221" s="84" t="s">
        <v>56</v>
      </c>
      <c r="B221" s="217"/>
      <c r="C221" s="218"/>
      <c r="D221" s="219">
        <v>0</v>
      </c>
      <c r="E221" s="219">
        <v>0</v>
      </c>
      <c r="F221" s="134">
        <f>$E221*HLOOKUP(F$177,'Datu ievade'!$C$436:$AG$441,6)</f>
        <v>0</v>
      </c>
      <c r="G221" s="134">
        <f>$E221*HLOOKUP(G$177,'Datu ievade'!$C$436:$AG$441,6)</f>
        <v>0</v>
      </c>
      <c r="H221" s="134">
        <f>$F221*HLOOKUP(H$177,'Datu ievade'!$C$436:$AG$441,6)</f>
        <v>0</v>
      </c>
      <c r="I221" s="134">
        <f>$F221*HLOOKUP(I$177,'Datu ievade'!$C$436:$AG$441,6)</f>
        <v>0</v>
      </c>
      <c r="J221" s="134">
        <f>$F221*HLOOKUP(J$177,'Datu ievade'!$C$436:$AG$441,6)</f>
        <v>0</v>
      </c>
      <c r="K221" s="134">
        <f>$F221*HLOOKUP(K$177,'Datu ievade'!$C$436:$AG$441,6)</f>
        <v>0</v>
      </c>
      <c r="L221" s="134">
        <f>$F221*HLOOKUP(L$177,'Datu ievade'!$C$436:$AG$441,6)</f>
        <v>0</v>
      </c>
      <c r="M221" s="134">
        <f>$F221*HLOOKUP(M$177,'Datu ievade'!$C$436:$AG$441,6)</f>
        <v>0</v>
      </c>
      <c r="N221" s="134">
        <f>$F221*HLOOKUP(N$177,'Datu ievade'!$C$436:$AG$441,6)</f>
        <v>0</v>
      </c>
      <c r="O221" s="134">
        <f>$F221*HLOOKUP(O$177,'Datu ievade'!$C$436:$AG$441,6)</f>
        <v>0</v>
      </c>
      <c r="P221" s="134">
        <f>$F221*HLOOKUP(P$177,'Datu ievade'!$C$436:$AG$441,6)</f>
        <v>0</v>
      </c>
      <c r="Q221" s="134">
        <f>$F221*HLOOKUP(Q$177,'Datu ievade'!$C$436:$AG$441,6)</f>
        <v>0</v>
      </c>
      <c r="R221" s="134">
        <f>$F221*HLOOKUP(R$177,'Datu ievade'!$C$436:$AG$441,6)</f>
        <v>0</v>
      </c>
      <c r="S221" s="134">
        <f>$F221*HLOOKUP(S$177,'Datu ievade'!$C$436:$AG$441,6)</f>
        <v>0</v>
      </c>
      <c r="T221" s="134">
        <f>$F221*HLOOKUP(T$177,'Datu ievade'!$C$436:$AG$441,6)</f>
        <v>0</v>
      </c>
      <c r="U221" s="134">
        <f>$F221*HLOOKUP(U$177,'Datu ievade'!$C$436:$AG$441,6)</f>
        <v>0</v>
      </c>
      <c r="V221" s="134">
        <f>$F221*HLOOKUP(V$177,'Datu ievade'!$C$436:$AG$441,6)</f>
        <v>0</v>
      </c>
      <c r="W221" s="134">
        <f>$F221*HLOOKUP(W$177,'Datu ievade'!$C$436:$AG$441,6)</f>
        <v>0</v>
      </c>
      <c r="X221" s="134">
        <f>$F221*HLOOKUP(X$177,'Datu ievade'!$C$436:$AG$441,6)</f>
        <v>0</v>
      </c>
      <c r="Y221" s="134">
        <f>$F221*HLOOKUP(Y$177,'Datu ievade'!$C$436:$AG$441,6)</f>
        <v>0</v>
      </c>
      <c r="Z221" s="134">
        <f>$F221*HLOOKUP(Z$177,'Datu ievade'!$C$436:$AG$441,6)</f>
        <v>0</v>
      </c>
      <c r="AA221" s="134">
        <f>$F221*HLOOKUP(AA$177,'Datu ievade'!$C$436:$AG$441,6)</f>
        <v>0</v>
      </c>
      <c r="AB221" s="134">
        <f>$F221*HLOOKUP(AB$177,'Datu ievade'!$C$436:$AG$441,6)</f>
        <v>0</v>
      </c>
      <c r="AC221" s="134">
        <f>$F221*HLOOKUP(AC$177,'Datu ievade'!$C$436:$AG$441,6)</f>
        <v>0</v>
      </c>
      <c r="AD221" s="134">
        <f>$F221*HLOOKUP(AD$177,'Datu ievade'!$C$436:$AG$441,6)</f>
        <v>0</v>
      </c>
      <c r="AE221" s="134">
        <f>$F221*HLOOKUP(AE$177,'Datu ievade'!$C$436:$AG$441,6)</f>
        <v>0</v>
      </c>
      <c r="AF221" s="134">
        <f>$F221*HLOOKUP(AF$177,'Datu ievade'!$C$436:$AG$441,6)</f>
        <v>0</v>
      </c>
      <c r="AG221" s="134">
        <f>$F221*HLOOKUP(AG$177,'Datu ievade'!$C$436:$AG$441,6)</f>
        <v>0</v>
      </c>
      <c r="AH221" s="134">
        <f>$F221*HLOOKUP(AH$177,'Datu ievade'!$C$436:$AG$441,6)</f>
        <v>0</v>
      </c>
      <c r="AI221" s="75"/>
    </row>
    <row r="222" spans="1:35" s="71" customFormat="1" x14ac:dyDescent="0.2">
      <c r="A222" s="84" t="s">
        <v>57</v>
      </c>
      <c r="B222" s="217"/>
      <c r="C222" s="218"/>
      <c r="D222" s="220">
        <f t="shared" ref="D222:AH222" si="29">D221*0.2359</f>
        <v>0</v>
      </c>
      <c r="E222" s="220">
        <f t="shared" si="29"/>
        <v>0</v>
      </c>
      <c r="F222" s="134">
        <f t="shared" si="29"/>
        <v>0</v>
      </c>
      <c r="G222" s="134">
        <f t="shared" si="29"/>
        <v>0</v>
      </c>
      <c r="H222" s="134">
        <f t="shared" si="29"/>
        <v>0</v>
      </c>
      <c r="I222" s="134">
        <f t="shared" si="29"/>
        <v>0</v>
      </c>
      <c r="J222" s="134">
        <f t="shared" si="29"/>
        <v>0</v>
      </c>
      <c r="K222" s="134">
        <f t="shared" si="29"/>
        <v>0</v>
      </c>
      <c r="L222" s="134">
        <f t="shared" si="29"/>
        <v>0</v>
      </c>
      <c r="M222" s="134">
        <f t="shared" si="29"/>
        <v>0</v>
      </c>
      <c r="N222" s="134">
        <f t="shared" si="29"/>
        <v>0</v>
      </c>
      <c r="O222" s="134">
        <f t="shared" si="29"/>
        <v>0</v>
      </c>
      <c r="P222" s="134">
        <f t="shared" si="29"/>
        <v>0</v>
      </c>
      <c r="Q222" s="134">
        <f t="shared" si="29"/>
        <v>0</v>
      </c>
      <c r="R222" s="134">
        <f t="shared" si="29"/>
        <v>0</v>
      </c>
      <c r="S222" s="134">
        <f t="shared" si="29"/>
        <v>0</v>
      </c>
      <c r="T222" s="134">
        <f t="shared" si="29"/>
        <v>0</v>
      </c>
      <c r="U222" s="134">
        <f t="shared" si="29"/>
        <v>0</v>
      </c>
      <c r="V222" s="134">
        <f t="shared" si="29"/>
        <v>0</v>
      </c>
      <c r="W222" s="134">
        <f t="shared" si="29"/>
        <v>0</v>
      </c>
      <c r="X222" s="134">
        <f t="shared" si="29"/>
        <v>0</v>
      </c>
      <c r="Y222" s="134">
        <f t="shared" si="29"/>
        <v>0</v>
      </c>
      <c r="Z222" s="134">
        <f t="shared" si="29"/>
        <v>0</v>
      </c>
      <c r="AA222" s="134">
        <f t="shared" si="29"/>
        <v>0</v>
      </c>
      <c r="AB222" s="134">
        <f t="shared" si="29"/>
        <v>0</v>
      </c>
      <c r="AC222" s="134">
        <f t="shared" si="29"/>
        <v>0</v>
      </c>
      <c r="AD222" s="134">
        <f t="shared" si="29"/>
        <v>0</v>
      </c>
      <c r="AE222" s="134">
        <f t="shared" si="29"/>
        <v>0</v>
      </c>
      <c r="AF222" s="134">
        <f t="shared" si="29"/>
        <v>0</v>
      </c>
      <c r="AG222" s="134">
        <f t="shared" si="29"/>
        <v>0</v>
      </c>
      <c r="AH222" s="134">
        <f t="shared" si="29"/>
        <v>0</v>
      </c>
      <c r="AI222" s="75"/>
    </row>
    <row r="223" spans="1:35" s="71" customFormat="1" x14ac:dyDescent="0.2">
      <c r="A223" s="84" t="s">
        <v>58</v>
      </c>
      <c r="B223" s="217"/>
      <c r="C223" s="218"/>
      <c r="D223" s="219">
        <v>0</v>
      </c>
      <c r="E223" s="219">
        <v>0</v>
      </c>
      <c r="F223" s="134">
        <f>$E223*HLOOKUP(F$177,'Datu ievade'!$C$436:$AG$441,4)</f>
        <v>0</v>
      </c>
      <c r="G223" s="134">
        <f>$E223*HLOOKUP(G$177,'Datu ievade'!$C$436:$AG$441,4)</f>
        <v>0</v>
      </c>
      <c r="H223" s="134">
        <f>$F223*HLOOKUP(H$177,'Datu ievade'!$C$436:$AG$441,4)</f>
        <v>0</v>
      </c>
      <c r="I223" s="134">
        <f>$F223*HLOOKUP(I$177,'Datu ievade'!$C$436:$AG$441,4)</f>
        <v>0</v>
      </c>
      <c r="J223" s="134">
        <f>$F223*HLOOKUP(J$177,'Datu ievade'!$C$436:$AG$441,4)</f>
        <v>0</v>
      </c>
      <c r="K223" s="134">
        <f>$F223*HLOOKUP(K$177,'Datu ievade'!$C$436:$AG$441,4)</f>
        <v>0</v>
      </c>
      <c r="L223" s="134">
        <f>$F223*HLOOKUP(L$177,'Datu ievade'!$C$436:$AG$441,4)</f>
        <v>0</v>
      </c>
      <c r="M223" s="134">
        <f>$F223*HLOOKUP(M$177,'Datu ievade'!$C$436:$AG$441,4)</f>
        <v>0</v>
      </c>
      <c r="N223" s="134">
        <f>$F223*HLOOKUP(N$177,'Datu ievade'!$C$436:$AG$441,4)</f>
        <v>0</v>
      </c>
      <c r="O223" s="134">
        <f>$F223*HLOOKUP(O$177,'Datu ievade'!$C$436:$AG$441,4)</f>
        <v>0</v>
      </c>
      <c r="P223" s="134">
        <f>$F223*HLOOKUP(P$177,'Datu ievade'!$C$436:$AG$441,4)</f>
        <v>0</v>
      </c>
      <c r="Q223" s="134">
        <f>$F223*HLOOKUP(Q$177,'Datu ievade'!$C$436:$AG$441,4)</f>
        <v>0</v>
      </c>
      <c r="R223" s="134">
        <f>$F223*HLOOKUP(R$177,'Datu ievade'!$C$436:$AG$441,4)</f>
        <v>0</v>
      </c>
      <c r="S223" s="134">
        <f>$F223*HLOOKUP(S$177,'Datu ievade'!$C$436:$AG$441,4)</f>
        <v>0</v>
      </c>
      <c r="T223" s="134">
        <f>$F223*HLOOKUP(T$177,'Datu ievade'!$C$436:$AG$441,4)</f>
        <v>0</v>
      </c>
      <c r="U223" s="134">
        <f>$F223*HLOOKUP(U$177,'Datu ievade'!$C$436:$AG$441,4)</f>
        <v>0</v>
      </c>
      <c r="V223" s="134">
        <f>$F223*HLOOKUP(V$177,'Datu ievade'!$C$436:$AG$441,4)</f>
        <v>0</v>
      </c>
      <c r="W223" s="134">
        <f>$F223*HLOOKUP(W$177,'Datu ievade'!$C$436:$AG$441,4)</f>
        <v>0</v>
      </c>
      <c r="X223" s="134">
        <f>$F223*HLOOKUP(X$177,'Datu ievade'!$C$436:$AG$441,4)</f>
        <v>0</v>
      </c>
      <c r="Y223" s="134">
        <f>$F223*HLOOKUP(Y$177,'Datu ievade'!$C$436:$AG$441,4)</f>
        <v>0</v>
      </c>
      <c r="Z223" s="134">
        <f>$F223*HLOOKUP(Z$177,'Datu ievade'!$C$436:$AG$441,4)</f>
        <v>0</v>
      </c>
      <c r="AA223" s="134">
        <f>$F223*HLOOKUP(AA$177,'Datu ievade'!$C$436:$AG$441,4)</f>
        <v>0</v>
      </c>
      <c r="AB223" s="134">
        <f>$F223*HLOOKUP(AB$177,'Datu ievade'!$C$436:$AG$441,4)</f>
        <v>0</v>
      </c>
      <c r="AC223" s="134">
        <f>$F223*HLOOKUP(AC$177,'Datu ievade'!$C$436:$AG$441,4)</f>
        <v>0</v>
      </c>
      <c r="AD223" s="134">
        <f>$F223*HLOOKUP(AD$177,'Datu ievade'!$C$436:$AG$441,4)</f>
        <v>0</v>
      </c>
      <c r="AE223" s="134">
        <f>$F223*HLOOKUP(AE$177,'Datu ievade'!$C$436:$AG$441,4)</f>
        <v>0</v>
      </c>
      <c r="AF223" s="134">
        <f>$F223*HLOOKUP(AF$177,'Datu ievade'!$C$436:$AG$441,4)</f>
        <v>0</v>
      </c>
      <c r="AG223" s="134">
        <f>$F223*HLOOKUP(AG$177,'Datu ievade'!$C$436:$AG$441,4)</f>
        <v>0</v>
      </c>
      <c r="AH223" s="134">
        <f>$F223*HLOOKUP(AH$177,'Datu ievade'!$C$436:$AG$441,4)</f>
        <v>0</v>
      </c>
      <c r="AI223" s="75"/>
    </row>
    <row r="224" spans="1:35" s="163" customFormat="1" x14ac:dyDescent="0.2">
      <c r="A224" s="222"/>
      <c r="B224" s="69"/>
      <c r="C224" s="223"/>
      <c r="D224" s="223"/>
      <c r="E224" s="223"/>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65"/>
    </row>
    <row r="225" spans="1:36" s="69" customFormat="1" x14ac:dyDescent="0.2">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4"/>
    </row>
    <row r="226" spans="1:36" s="71" customFormat="1" ht="15.75" x14ac:dyDescent="0.2">
      <c r="A226" s="225" t="s">
        <v>303</v>
      </c>
      <c r="B226" s="63"/>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row>
    <row r="227" spans="1:36" s="71" customFormat="1" x14ac:dyDescent="0.2">
      <c r="A227" s="84"/>
      <c r="B227" s="199">
        <f>B32</f>
        <v>2014</v>
      </c>
      <c r="C227" s="200">
        <f>B227+1</f>
        <v>2015</v>
      </c>
      <c r="D227" s="200">
        <f t="shared" ref="D227:AG227" si="30">C227+1</f>
        <v>2016</v>
      </c>
      <c r="E227" s="200">
        <f t="shared" si="30"/>
        <v>2017</v>
      </c>
      <c r="F227" s="200">
        <f t="shared" si="30"/>
        <v>2018</v>
      </c>
      <c r="G227" s="200">
        <f t="shared" si="30"/>
        <v>2019</v>
      </c>
      <c r="H227" s="200">
        <f t="shared" si="30"/>
        <v>2020</v>
      </c>
      <c r="I227" s="200">
        <f t="shared" si="30"/>
        <v>2021</v>
      </c>
      <c r="J227" s="200">
        <f t="shared" si="30"/>
        <v>2022</v>
      </c>
      <c r="K227" s="200">
        <f t="shared" si="30"/>
        <v>2023</v>
      </c>
      <c r="L227" s="200">
        <f t="shared" si="30"/>
        <v>2024</v>
      </c>
      <c r="M227" s="200">
        <f t="shared" si="30"/>
        <v>2025</v>
      </c>
      <c r="N227" s="200">
        <f t="shared" si="30"/>
        <v>2026</v>
      </c>
      <c r="O227" s="200">
        <f t="shared" si="30"/>
        <v>2027</v>
      </c>
      <c r="P227" s="200">
        <f t="shared" si="30"/>
        <v>2028</v>
      </c>
      <c r="Q227" s="200">
        <f t="shared" si="30"/>
        <v>2029</v>
      </c>
      <c r="R227" s="200">
        <f t="shared" si="30"/>
        <v>2030</v>
      </c>
      <c r="S227" s="200">
        <f t="shared" si="30"/>
        <v>2031</v>
      </c>
      <c r="T227" s="200">
        <f t="shared" si="30"/>
        <v>2032</v>
      </c>
      <c r="U227" s="200">
        <f t="shared" si="30"/>
        <v>2033</v>
      </c>
      <c r="V227" s="200">
        <f t="shared" si="30"/>
        <v>2034</v>
      </c>
      <c r="W227" s="200">
        <f t="shared" si="30"/>
        <v>2035</v>
      </c>
      <c r="X227" s="200">
        <f t="shared" si="30"/>
        <v>2036</v>
      </c>
      <c r="Y227" s="200">
        <f t="shared" si="30"/>
        <v>2037</v>
      </c>
      <c r="Z227" s="200">
        <f t="shared" si="30"/>
        <v>2038</v>
      </c>
      <c r="AA227" s="200">
        <f t="shared" si="30"/>
        <v>2039</v>
      </c>
      <c r="AB227" s="200">
        <f t="shared" si="30"/>
        <v>2040</v>
      </c>
      <c r="AC227" s="200">
        <f t="shared" si="30"/>
        <v>2041</v>
      </c>
      <c r="AD227" s="200">
        <f t="shared" si="30"/>
        <v>2042</v>
      </c>
      <c r="AE227" s="200">
        <f t="shared" si="30"/>
        <v>2043</v>
      </c>
      <c r="AF227" s="200">
        <f t="shared" si="30"/>
        <v>2044</v>
      </c>
      <c r="AG227" s="200">
        <f t="shared" si="30"/>
        <v>2045</v>
      </c>
      <c r="AH227" s="200">
        <f>AG227+1</f>
        <v>2046</v>
      </c>
      <c r="AI227" s="75"/>
    </row>
    <row r="228" spans="1:36" s="71" customFormat="1" x14ac:dyDescent="0.2">
      <c r="A228" s="203" t="s">
        <v>49</v>
      </c>
      <c r="B228" s="204"/>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c r="AG228" s="205"/>
      <c r="AH228" s="75"/>
      <c r="AI228" s="75"/>
    </row>
    <row r="229" spans="1:36" s="71" customFormat="1" x14ac:dyDescent="0.2">
      <c r="A229" s="92" t="s">
        <v>50</v>
      </c>
      <c r="B229" s="113"/>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75"/>
      <c r="AI229" s="75"/>
    </row>
    <row r="230" spans="1:36" s="71" customFormat="1" x14ac:dyDescent="0.2">
      <c r="A230" s="92" t="s">
        <v>51</v>
      </c>
      <c r="B230" s="226">
        <f>B181+B204</f>
        <v>38650</v>
      </c>
      <c r="C230" s="226">
        <f>'Datu ievade'!C181+'Datu ievade'!C204</f>
        <v>40196</v>
      </c>
      <c r="D230" s="226">
        <f>'Datu ievade'!D181+'Datu ievade'!D204</f>
        <v>36355.5</v>
      </c>
      <c r="E230" s="226">
        <f>'Datu ievade'!E181+'Datu ievade'!E204</f>
        <v>32515</v>
      </c>
      <c r="F230" s="226">
        <f>'Datu ievade'!F181+'Datu ievade'!F204</f>
        <v>32288.000000000007</v>
      </c>
      <c r="G230" s="226">
        <f>'Datu ievade'!G181+'Datu ievade'!G204</f>
        <v>32860.999999999993</v>
      </c>
      <c r="H230" s="226">
        <f>'Datu ievade'!H181+'Datu ievade'!H204</f>
        <v>32294</v>
      </c>
      <c r="I230" s="226">
        <f>'Datu ievade'!I181+'Datu ievade'!I204</f>
        <v>32847</v>
      </c>
      <c r="J230" s="226">
        <f>'Datu ievade'!J181+'Datu ievade'!J204</f>
        <v>33400</v>
      </c>
      <c r="K230" s="226">
        <f>'Datu ievade'!K181+'Datu ievade'!K204</f>
        <v>33953</v>
      </c>
      <c r="L230" s="226">
        <f>'Datu ievade'!L181+'Datu ievade'!L204</f>
        <v>34506</v>
      </c>
      <c r="M230" s="226">
        <f>'Datu ievade'!M181+'Datu ievade'!M204</f>
        <v>35059</v>
      </c>
      <c r="N230" s="226">
        <f>'Datu ievade'!N181+'Datu ievade'!N204</f>
        <v>35998.5</v>
      </c>
      <c r="O230" s="226">
        <f>'Datu ievade'!O181+'Datu ievade'!O204</f>
        <v>36828</v>
      </c>
      <c r="P230" s="226">
        <f>'Datu ievade'!P181+'Datu ievade'!P204</f>
        <v>37657.5</v>
      </c>
      <c r="Q230" s="226">
        <f>'Datu ievade'!Q181+'Datu ievade'!Q204</f>
        <v>38486.999999999993</v>
      </c>
      <c r="R230" s="226">
        <f>'Datu ievade'!R181+'Datu ievade'!R204</f>
        <v>39316.5</v>
      </c>
      <c r="S230" s="226">
        <f>'Datu ievade'!S181+'Datu ievade'!S204</f>
        <v>40146</v>
      </c>
      <c r="T230" s="226">
        <f>'Datu ievade'!T181+'Datu ievade'!T204</f>
        <v>40975.5</v>
      </c>
      <c r="U230" s="226">
        <f>'Datu ievade'!U181+'Datu ievade'!U204</f>
        <v>41805</v>
      </c>
      <c r="V230" s="226">
        <f>'Datu ievade'!V181+'Datu ievade'!V204</f>
        <v>42634.5</v>
      </c>
      <c r="W230" s="226">
        <f>'Datu ievade'!W181+'Datu ievade'!W204</f>
        <v>43464</v>
      </c>
      <c r="X230" s="226">
        <f>'Datu ievade'!X181+'Datu ievade'!X204</f>
        <v>44293.5</v>
      </c>
      <c r="Y230" s="226">
        <f>'Datu ievade'!Y181+'Datu ievade'!Y204</f>
        <v>45123.000000000007</v>
      </c>
      <c r="Z230" s="226">
        <f>'Datu ievade'!Z181+'Datu ievade'!Z204</f>
        <v>45952.5</v>
      </c>
      <c r="AA230" s="226">
        <f>'Datu ievade'!AA181+'Datu ievade'!AA204</f>
        <v>46782</v>
      </c>
      <c r="AB230" s="226">
        <f>'Datu ievade'!AB181+'Datu ievade'!AB204</f>
        <v>47611.5</v>
      </c>
      <c r="AC230" s="226">
        <f>'Datu ievade'!AC181+'Datu ievade'!AC204</f>
        <v>48441</v>
      </c>
      <c r="AD230" s="226">
        <f>'Datu ievade'!AD181+'Datu ievade'!AD204</f>
        <v>49270.5</v>
      </c>
      <c r="AE230" s="226">
        <f>'Datu ievade'!AE181+'Datu ievade'!AE204</f>
        <v>50486.5</v>
      </c>
      <c r="AF230" s="226">
        <f>'Datu ievade'!AF181+'Datu ievade'!AF204</f>
        <v>51592.5</v>
      </c>
      <c r="AG230" s="226">
        <f>'Datu ievade'!AG181+'Datu ievade'!AG204</f>
        <v>51153.5</v>
      </c>
      <c r="AH230" s="226">
        <f>'Datu ievade'!AH181+'Datu ievade'!AH204</f>
        <v>50714.5</v>
      </c>
      <c r="AI230" s="75"/>
    </row>
    <row r="231" spans="1:36" s="71" customFormat="1" x14ac:dyDescent="0.2">
      <c r="A231" s="92" t="s">
        <v>52</v>
      </c>
      <c r="B231" s="226">
        <f>B182+B205</f>
        <v>52650</v>
      </c>
      <c r="C231" s="226">
        <f>'Datu ievade'!C182+'Datu ievade'!C205</f>
        <v>54756</v>
      </c>
      <c r="D231" s="226">
        <f>'Datu ievade'!D182+'Datu ievade'!D205</f>
        <v>62615.5</v>
      </c>
      <c r="E231" s="226">
        <f>'Datu ievade'!E182+'Datu ievade'!E205</f>
        <v>70475</v>
      </c>
      <c r="F231" s="226">
        <f>'Datu ievade'!F182+'Datu ievade'!F205</f>
        <v>73035.200000000012</v>
      </c>
      <c r="G231" s="226">
        <f>'Datu ievade'!G182+'Datu ievade'!G205</f>
        <v>74339.399999999994</v>
      </c>
      <c r="H231" s="226">
        <f>'Datu ievade'!H182+'Datu ievade'!H205</f>
        <v>75643.599999999991</v>
      </c>
      <c r="I231" s="226">
        <f>'Datu ievade'!I182+'Datu ievade'!I205</f>
        <v>78726.296000000002</v>
      </c>
      <c r="J231" s="226">
        <f>'Datu ievade'!J182+'Datu ievade'!J205</f>
        <v>80060.639999999999</v>
      </c>
      <c r="K231" s="226">
        <f>'Datu ievade'!K182+'Datu ievade'!K205</f>
        <v>81394.983999999997</v>
      </c>
      <c r="L231" s="226">
        <f>'Datu ievade'!L182+'Datu ievade'!L205</f>
        <v>82729.328000000009</v>
      </c>
      <c r="M231" s="226">
        <f>'Datu ievade'!M182+'Datu ievade'!M205</f>
        <v>84063.672000000006</v>
      </c>
      <c r="N231" s="226">
        <f>'Datu ievade'!N182+'Datu ievade'!N205</f>
        <v>86065.187999999995</v>
      </c>
      <c r="O231" s="226">
        <f>'Datu ievade'!O182+'Datu ievade'!O205</f>
        <v>88066.703999999998</v>
      </c>
      <c r="P231" s="226">
        <f>'Datu ievade'!P182+'Datu ievade'!P205</f>
        <v>90068.22</v>
      </c>
      <c r="Q231" s="226">
        <f>'Datu ievade'!Q182+'Datu ievade'!Q205</f>
        <v>92069.736000000004</v>
      </c>
      <c r="R231" s="226">
        <f>'Datu ievade'!R182+'Datu ievade'!R205</f>
        <v>94071.252000000008</v>
      </c>
      <c r="S231" s="226">
        <f>'Datu ievade'!S182+'Datu ievade'!S205</f>
        <v>96072.767999999996</v>
      </c>
      <c r="T231" s="226">
        <f>'Datu ievade'!T182+'Datu ievade'!T205</f>
        <v>98074.284</v>
      </c>
      <c r="U231" s="226">
        <f>'Datu ievade'!U182+'Datu ievade'!U205</f>
        <v>100075.8</v>
      </c>
      <c r="V231" s="226">
        <f>'Datu ievade'!V182+'Datu ievade'!V205</f>
        <v>102077.31600000001</v>
      </c>
      <c r="W231" s="226">
        <f>'Datu ievade'!W182+'Datu ievade'!W205</f>
        <v>104078.83199999999</v>
      </c>
      <c r="X231" s="226">
        <f>'Datu ievade'!X182+'Datu ievade'!X205</f>
        <v>106080.348</v>
      </c>
      <c r="Y231" s="226">
        <f>'Datu ievade'!Y182+'Datu ievade'!Y205</f>
        <v>108081.864</v>
      </c>
      <c r="Z231" s="226">
        <f>'Datu ievade'!Z182+'Datu ievade'!Z205</f>
        <v>110083.38</v>
      </c>
      <c r="AA231" s="226">
        <f>'Datu ievade'!AA182+'Datu ievade'!AA205</f>
        <v>112084.89600000001</v>
      </c>
      <c r="AB231" s="226">
        <f>'Datu ievade'!AB182+'Datu ievade'!AB205</f>
        <v>114086.412</v>
      </c>
      <c r="AC231" s="226">
        <f>'Datu ievade'!AC182+'Datu ievade'!AC205</f>
        <v>116087.928</v>
      </c>
      <c r="AD231" s="226">
        <f>'Datu ievade'!AD182+'Datu ievade'!AD205</f>
        <v>118089.444</v>
      </c>
      <c r="AE231" s="226">
        <f>'Datu ievade'!AE182+'Datu ievade'!AE205</f>
        <v>120758.132</v>
      </c>
      <c r="AF231" s="226">
        <f>'Datu ievade'!AF182+'Datu ievade'!AF205</f>
        <v>123426.82</v>
      </c>
      <c r="AG231" s="226">
        <f>'Datu ievade'!AG182+'Datu ievade'!AG205</f>
        <v>123427.82</v>
      </c>
      <c r="AH231" s="226">
        <f>'Datu ievade'!AH182+'Datu ievade'!AH205</f>
        <v>123428.82</v>
      </c>
      <c r="AI231" s="75"/>
    </row>
    <row r="232" spans="1:36" s="71" customFormat="1" x14ac:dyDescent="0.2">
      <c r="A232" s="92" t="s">
        <v>53</v>
      </c>
      <c r="B232" s="226">
        <f>'Datu ievade'!B183+'Datu ievade'!B206</f>
        <v>10155</v>
      </c>
      <c r="C232" s="226">
        <f>'Datu ievade'!C183+'Datu ievade'!C206</f>
        <v>10561.2</v>
      </c>
      <c r="D232" s="226">
        <f>'Datu ievade'!D183+'Datu ievade'!D206</f>
        <v>11565.85</v>
      </c>
      <c r="E232" s="226">
        <f>'Datu ievade'!E183+'Datu ievade'!E206</f>
        <v>12570.5</v>
      </c>
      <c r="F232" s="226">
        <f>'Datu ievade'!F183+'Datu ievade'!F206</f>
        <v>12941.6</v>
      </c>
      <c r="G232" s="226">
        <f>'Datu ievade'!G183+'Datu ievade'!G206</f>
        <v>13172.699999999999</v>
      </c>
      <c r="H232" s="226">
        <f>'Datu ievade'!H183+'Datu ievade'!H206</f>
        <v>13598.68</v>
      </c>
      <c r="I232" s="226">
        <f>'Datu ievade'!I183+'Datu ievade'!I206</f>
        <v>13833.14</v>
      </c>
      <c r="J232" s="226">
        <f>'Datu ievade'!J183+'Datu ievade'!J206</f>
        <v>14067.6</v>
      </c>
      <c r="K232" s="226">
        <f>'Datu ievade'!K183+'Datu ievade'!K206</f>
        <v>14302.060000000001</v>
      </c>
      <c r="L232" s="226">
        <f>'Datu ievade'!L183+'Datu ievade'!L206</f>
        <v>14536.52</v>
      </c>
      <c r="M232" s="226">
        <f>'Datu ievade'!M183+'Datu ievade'!M206</f>
        <v>14770.98</v>
      </c>
      <c r="N232" s="226">
        <f>'Datu ievade'!N183+'Datu ievade'!N206</f>
        <v>15122.670000000002</v>
      </c>
      <c r="O232" s="226">
        <f>'Datu ievade'!O183+'Datu ievade'!O206</f>
        <v>15474.36</v>
      </c>
      <c r="P232" s="226">
        <f>'Datu ievade'!P183+'Datu ievade'!P206</f>
        <v>15826.050000000001</v>
      </c>
      <c r="Q232" s="226">
        <f>'Datu ievade'!Q183+'Datu ievade'!Q206</f>
        <v>16177.74</v>
      </c>
      <c r="R232" s="226">
        <f>'Datu ievade'!R183+'Datu ievade'!R206</f>
        <v>16529.43</v>
      </c>
      <c r="S232" s="226">
        <f>'Datu ievade'!S183+'Datu ievade'!S206</f>
        <v>16881.12</v>
      </c>
      <c r="T232" s="226">
        <f>'Datu ievade'!T183+'Datu ievade'!T206</f>
        <v>17232.810000000001</v>
      </c>
      <c r="U232" s="226">
        <f>'Datu ievade'!U183+'Datu ievade'!U206</f>
        <v>17584.5</v>
      </c>
      <c r="V232" s="226">
        <f>'Datu ievade'!V183+'Datu ievade'!V206</f>
        <v>17936.189999999999</v>
      </c>
      <c r="W232" s="226">
        <f>'Datu ievade'!W183+'Datu ievade'!W206</f>
        <v>18287.88</v>
      </c>
      <c r="X232" s="226">
        <f>'Datu ievade'!X183+'Datu ievade'!X206</f>
        <v>18639.57</v>
      </c>
      <c r="Y232" s="226">
        <f>'Datu ievade'!Y183+'Datu ievade'!Y206</f>
        <v>18991.260000000002</v>
      </c>
      <c r="Z232" s="226">
        <f>'Datu ievade'!Z183+'Datu ievade'!Z206</f>
        <v>19342.95</v>
      </c>
      <c r="AA232" s="226">
        <f>'Datu ievade'!AA183+'Datu ievade'!AA206</f>
        <v>19694.64</v>
      </c>
      <c r="AB232" s="226">
        <f>'Datu ievade'!AB183+'Datu ievade'!AB206</f>
        <v>20046.329999999998</v>
      </c>
      <c r="AC232" s="226">
        <f>'Datu ievade'!AC183+'Datu ievade'!AC206</f>
        <v>20398.02</v>
      </c>
      <c r="AD232" s="226">
        <f>'Datu ievade'!AD183+'Datu ievade'!AD206</f>
        <v>20749.71</v>
      </c>
      <c r="AE232" s="226">
        <f>'Datu ievade'!AE183+'Datu ievade'!AE206</f>
        <v>21218.63</v>
      </c>
      <c r="AF232" s="226">
        <f>'Datu ievade'!AF183+'Datu ievade'!AF206</f>
        <v>21687.55</v>
      </c>
      <c r="AG232" s="226">
        <f>'Datu ievade'!AG183+'Datu ievade'!AG206</f>
        <v>21688.55</v>
      </c>
      <c r="AH232" s="226">
        <f>'Datu ievade'!AH183+'Datu ievade'!AH206</f>
        <v>21689.55</v>
      </c>
      <c r="AI232" s="75"/>
    </row>
    <row r="233" spans="1:36" s="71" customFormat="1" x14ac:dyDescent="0.2">
      <c r="A233" s="92" t="s">
        <v>54</v>
      </c>
      <c r="B233" s="226">
        <f>'Datu ievade'!B184+'Datu ievade'!B207</f>
        <v>32758</v>
      </c>
      <c r="C233" s="226">
        <f>'Datu ievade'!C184+'Datu ievade'!C207</f>
        <v>34068.32</v>
      </c>
      <c r="D233" s="226">
        <f>'Datu ievade'!D184+'Datu ievade'!D207</f>
        <v>42945.560000000005</v>
      </c>
      <c r="E233" s="226">
        <f>'Datu ievade'!E184+'Datu ievade'!E207</f>
        <v>51822.8</v>
      </c>
      <c r="F233" s="226">
        <f>'Datu ievade'!F184+'Datu ievade'!F207</f>
        <v>54372.640000000007</v>
      </c>
      <c r="G233" s="226">
        <f>'Datu ievade'!G184+'Datu ievade'!G207</f>
        <v>55343.579999999994</v>
      </c>
      <c r="H233" s="226">
        <f>'Datu ievade'!H184+'Datu ievade'!H207</f>
        <v>58512.348799999992</v>
      </c>
      <c r="I233" s="226">
        <f>'Datu ievade'!I184+'Datu ievade'!I207</f>
        <v>59521.182399999991</v>
      </c>
      <c r="J233" s="226">
        <f>'Datu ievade'!J184+'Datu ievade'!J207</f>
        <v>60530.016000000003</v>
      </c>
      <c r="K233" s="226">
        <f>'Datu ievade'!K184+'Datu ievade'!K207</f>
        <v>61538.849600000001</v>
      </c>
      <c r="L233" s="226">
        <f>'Datu ievade'!L184+'Datu ievade'!L207</f>
        <v>62547.683199999999</v>
      </c>
      <c r="M233" s="226">
        <f>'Datu ievade'!M184+'Datu ievade'!M207</f>
        <v>63556.516799999998</v>
      </c>
      <c r="N233" s="226">
        <f>'Datu ievade'!N184+'Datu ievade'!N207</f>
        <v>65069.767200000002</v>
      </c>
      <c r="O233" s="226">
        <f>'Datu ievade'!O184+'Datu ievade'!O207</f>
        <v>66583.017600000006</v>
      </c>
      <c r="P233" s="226">
        <f>'Datu ievade'!P184+'Datu ievade'!P207</f>
        <v>68096.268000000011</v>
      </c>
      <c r="Q233" s="226">
        <f>'Datu ievade'!Q184+'Datu ievade'!Q207</f>
        <v>69609.518400000001</v>
      </c>
      <c r="R233" s="226">
        <f>'Datu ievade'!R184+'Datu ievade'!R207</f>
        <v>71122.768799999991</v>
      </c>
      <c r="S233" s="226">
        <f>'Datu ievade'!S184+'Datu ievade'!S207</f>
        <v>72636.019199999995</v>
      </c>
      <c r="T233" s="226">
        <f>'Datu ievade'!T184+'Datu ievade'!T207</f>
        <v>74149.2696</v>
      </c>
      <c r="U233" s="226">
        <f>'Datu ievade'!U184+'Datu ievade'!U207</f>
        <v>75662.52</v>
      </c>
      <c r="V233" s="226">
        <f>'Datu ievade'!V184+'Datu ievade'!V207</f>
        <v>77175.770399999994</v>
      </c>
      <c r="W233" s="226">
        <f>'Datu ievade'!W184+'Datu ievade'!W207</f>
        <v>78689.020799999998</v>
      </c>
      <c r="X233" s="226">
        <f>'Datu ievade'!X184+'Datu ievade'!X207</f>
        <v>80202.271200000003</v>
      </c>
      <c r="Y233" s="226">
        <f>'Datu ievade'!Y184+'Datu ievade'!Y207</f>
        <v>81715.521600000007</v>
      </c>
      <c r="Z233" s="226">
        <f>'Datu ievade'!Z184+'Datu ievade'!Z207</f>
        <v>83228.771999999997</v>
      </c>
      <c r="AA233" s="226">
        <f>'Datu ievade'!AA184+'Datu ievade'!AA207</f>
        <v>84742.022399999987</v>
      </c>
      <c r="AB233" s="226">
        <f>'Datu ievade'!AB184+'Datu ievade'!AB207</f>
        <v>86255.272800000006</v>
      </c>
      <c r="AC233" s="226">
        <f>'Datu ievade'!AC184+'Datu ievade'!AC207</f>
        <v>87768.523199999996</v>
      </c>
      <c r="AD233" s="226">
        <f>'Datu ievade'!AD184+'Datu ievade'!AD207</f>
        <v>89281.7736</v>
      </c>
      <c r="AE233" s="226">
        <f>'Datu ievade'!AE184+'Datu ievade'!AE207</f>
        <v>91299.440800000011</v>
      </c>
      <c r="AF233" s="226">
        <f>'Datu ievade'!AF184+'Datu ievade'!AF207</f>
        <v>93317.108000000007</v>
      </c>
      <c r="AG233" s="226">
        <f>'Datu ievade'!AG184+'Datu ievade'!AG207</f>
        <v>93318.108000000007</v>
      </c>
      <c r="AH233" s="226">
        <f>'Datu ievade'!AH184+'Datu ievade'!AH207</f>
        <v>93319.108000000007</v>
      </c>
      <c r="AI233" s="75"/>
    </row>
    <row r="234" spans="1:36" s="71" customFormat="1" ht="25.5" x14ac:dyDescent="0.2">
      <c r="A234" s="92" t="s">
        <v>559</v>
      </c>
      <c r="B234" s="226">
        <f>'Datu ievade'!B185+'Datu ievade'!B208</f>
        <v>0</v>
      </c>
      <c r="C234" s="226">
        <f>'Datu ievade'!C185+'Datu ievade'!C208</f>
        <v>0</v>
      </c>
      <c r="D234" s="226">
        <f>'Datu ievade'!D185+'Datu ievade'!D208</f>
        <v>0</v>
      </c>
      <c r="E234" s="226">
        <f>'Datu ievade'!E185+'Datu ievade'!E208</f>
        <v>0</v>
      </c>
      <c r="F234" s="226">
        <f>'Datu ievade'!F185+'Datu ievade'!F208</f>
        <v>0</v>
      </c>
      <c r="G234" s="226">
        <f>'Datu ievade'!G185+'Datu ievade'!G208</f>
        <v>0</v>
      </c>
      <c r="H234" s="226">
        <f>'Datu ievade'!H185+'Datu ievade'!H208</f>
        <v>0</v>
      </c>
      <c r="I234" s="226">
        <f>'Datu ievade'!I185+'Datu ievade'!I208</f>
        <v>0</v>
      </c>
      <c r="J234" s="226">
        <f>'Datu ievade'!J185+'Datu ievade'!J208</f>
        <v>0</v>
      </c>
      <c r="K234" s="226">
        <f>'Datu ievade'!K185+'Datu ievade'!K208</f>
        <v>0</v>
      </c>
      <c r="L234" s="226">
        <f>'Datu ievade'!L185+'Datu ievade'!L208</f>
        <v>0</v>
      </c>
      <c r="M234" s="226">
        <f>'Datu ievade'!M185+'Datu ievade'!M208</f>
        <v>0</v>
      </c>
      <c r="N234" s="226">
        <f>'Datu ievade'!N185+'Datu ievade'!N208</f>
        <v>0</v>
      </c>
      <c r="O234" s="226">
        <f>'Datu ievade'!O185+'Datu ievade'!O208</f>
        <v>0</v>
      </c>
      <c r="P234" s="226">
        <f>'Datu ievade'!P185+'Datu ievade'!P208</f>
        <v>0</v>
      </c>
      <c r="Q234" s="226">
        <f>'Datu ievade'!Q185+'Datu ievade'!Q208</f>
        <v>0</v>
      </c>
      <c r="R234" s="226">
        <f>'Datu ievade'!R185+'Datu ievade'!R208</f>
        <v>0</v>
      </c>
      <c r="S234" s="226">
        <f>'Datu ievade'!S185+'Datu ievade'!S208</f>
        <v>0</v>
      </c>
      <c r="T234" s="226">
        <f>'Datu ievade'!T185+'Datu ievade'!T208</f>
        <v>0</v>
      </c>
      <c r="U234" s="226">
        <f>'Datu ievade'!U185+'Datu ievade'!U208</f>
        <v>0</v>
      </c>
      <c r="V234" s="226">
        <f>'Datu ievade'!V185+'Datu ievade'!V208</f>
        <v>0</v>
      </c>
      <c r="W234" s="226">
        <f>'Datu ievade'!W185+'Datu ievade'!W208</f>
        <v>0</v>
      </c>
      <c r="X234" s="226">
        <f>'Datu ievade'!X185+'Datu ievade'!X208</f>
        <v>0</v>
      </c>
      <c r="Y234" s="226">
        <f>'Datu ievade'!Y185+'Datu ievade'!Y208</f>
        <v>0</v>
      </c>
      <c r="Z234" s="226">
        <f>'Datu ievade'!Z185+'Datu ievade'!Z208</f>
        <v>0</v>
      </c>
      <c r="AA234" s="226">
        <f>'Datu ievade'!AA185+'Datu ievade'!AA208</f>
        <v>0</v>
      </c>
      <c r="AB234" s="226">
        <f>'Datu ievade'!AB185+'Datu ievade'!AB208</f>
        <v>0</v>
      </c>
      <c r="AC234" s="226">
        <f>'Datu ievade'!AC185+'Datu ievade'!AC208</f>
        <v>0</v>
      </c>
      <c r="AD234" s="226">
        <f>'Datu ievade'!AD185+'Datu ievade'!AD208</f>
        <v>0</v>
      </c>
      <c r="AE234" s="226">
        <f>'Datu ievade'!AE185+'Datu ievade'!AE208</f>
        <v>0</v>
      </c>
      <c r="AF234" s="226">
        <f>'Datu ievade'!AF185+'Datu ievade'!AF208</f>
        <v>0</v>
      </c>
      <c r="AG234" s="226">
        <f>'Datu ievade'!AG185+'Datu ievade'!AG208</f>
        <v>0</v>
      </c>
      <c r="AH234" s="226">
        <f>'Datu ievade'!AH185+'Datu ievade'!AH208</f>
        <v>0</v>
      </c>
      <c r="AI234" s="75"/>
    </row>
    <row r="235" spans="1:36" s="163" customFormat="1" x14ac:dyDescent="0.2">
      <c r="A235" s="227" t="s">
        <v>55</v>
      </c>
      <c r="B235" s="226">
        <f>'Datu ievade'!B186+'Datu ievade'!B209</f>
        <v>0</v>
      </c>
      <c r="C235" s="226">
        <f>'Datu ievade'!C186+'Datu ievade'!C209</f>
        <v>0</v>
      </c>
      <c r="D235" s="226">
        <f>'Datu ievade'!D186+'Datu ievade'!D209</f>
        <v>0</v>
      </c>
      <c r="E235" s="226">
        <f>'Datu ievade'!E186+'Datu ievade'!E209</f>
        <v>0</v>
      </c>
      <c r="F235" s="226">
        <f>'Datu ievade'!F186+'Datu ievade'!F209</f>
        <v>0</v>
      </c>
      <c r="G235" s="226">
        <f>'Datu ievade'!G186+'Datu ievade'!G209</f>
        <v>0</v>
      </c>
      <c r="H235" s="226">
        <f>'Datu ievade'!H186+'Datu ievade'!H209</f>
        <v>0</v>
      </c>
      <c r="I235" s="226">
        <f>'Datu ievade'!I186+'Datu ievade'!I209</f>
        <v>0</v>
      </c>
      <c r="J235" s="226">
        <f>'Datu ievade'!J186+'Datu ievade'!J209</f>
        <v>0</v>
      </c>
      <c r="K235" s="226">
        <f>'Datu ievade'!K186+'Datu ievade'!K209</f>
        <v>0</v>
      </c>
      <c r="L235" s="226">
        <f>'Datu ievade'!L186+'Datu ievade'!L209</f>
        <v>0</v>
      </c>
      <c r="M235" s="226">
        <f>'Datu ievade'!M186+'Datu ievade'!M209</f>
        <v>0</v>
      </c>
      <c r="N235" s="226">
        <f>'Datu ievade'!N186+'Datu ievade'!N209</f>
        <v>0</v>
      </c>
      <c r="O235" s="226">
        <f>'Datu ievade'!O186+'Datu ievade'!O209</f>
        <v>0</v>
      </c>
      <c r="P235" s="226">
        <f>'Datu ievade'!P186+'Datu ievade'!P209</f>
        <v>0</v>
      </c>
      <c r="Q235" s="226">
        <f>'Datu ievade'!Q186+'Datu ievade'!Q209</f>
        <v>0</v>
      </c>
      <c r="R235" s="226">
        <f>'Datu ievade'!R186+'Datu ievade'!R209</f>
        <v>0</v>
      </c>
      <c r="S235" s="226">
        <f>'Datu ievade'!S186+'Datu ievade'!S209</f>
        <v>0</v>
      </c>
      <c r="T235" s="226">
        <f>'Datu ievade'!T186+'Datu ievade'!T209</f>
        <v>0</v>
      </c>
      <c r="U235" s="226">
        <f>'Datu ievade'!U186+'Datu ievade'!U209</f>
        <v>0</v>
      </c>
      <c r="V235" s="226">
        <f>'Datu ievade'!V186+'Datu ievade'!V209</f>
        <v>0</v>
      </c>
      <c r="W235" s="226">
        <f>'Datu ievade'!W186+'Datu ievade'!W209</f>
        <v>0</v>
      </c>
      <c r="X235" s="226">
        <f>'Datu ievade'!X186+'Datu ievade'!X209</f>
        <v>0</v>
      </c>
      <c r="Y235" s="226">
        <f>'Datu ievade'!Y186+'Datu ievade'!Y209</f>
        <v>0</v>
      </c>
      <c r="Z235" s="226">
        <f>'Datu ievade'!Z186+'Datu ievade'!Z209</f>
        <v>0</v>
      </c>
      <c r="AA235" s="226">
        <f>'Datu ievade'!AA186+'Datu ievade'!AA209</f>
        <v>0</v>
      </c>
      <c r="AB235" s="226">
        <f>'Datu ievade'!AB186+'Datu ievade'!AB209</f>
        <v>0</v>
      </c>
      <c r="AC235" s="226">
        <f>'Datu ievade'!AC186+'Datu ievade'!AC209</f>
        <v>0</v>
      </c>
      <c r="AD235" s="226">
        <f>'Datu ievade'!AD186+'Datu ievade'!AD209</f>
        <v>0</v>
      </c>
      <c r="AE235" s="226">
        <f>'Datu ievade'!AE186+'Datu ievade'!AE209</f>
        <v>0</v>
      </c>
      <c r="AF235" s="226">
        <f>'Datu ievade'!AF186+'Datu ievade'!AF209</f>
        <v>0</v>
      </c>
      <c r="AG235" s="226">
        <f>'Datu ievade'!AG186+'Datu ievade'!AG209</f>
        <v>0</v>
      </c>
      <c r="AH235" s="226">
        <f>'Datu ievade'!AH186+'Datu ievade'!AH209</f>
        <v>0</v>
      </c>
      <c r="AI235" s="75"/>
      <c r="AJ235" s="71"/>
    </row>
    <row r="236" spans="1:36" s="71" customFormat="1" x14ac:dyDescent="0.2">
      <c r="A236" s="92" t="s">
        <v>56</v>
      </c>
      <c r="B236" s="226">
        <f>'Datu ievade'!B187+'Datu ievade'!B210</f>
        <v>53400</v>
      </c>
      <c r="C236" s="226">
        <f>'Datu ievade'!C187+'Datu ievade'!C210</f>
        <v>57138</v>
      </c>
      <c r="D236" s="226">
        <f>'Datu ievade'!D187+'Datu ievade'!D210</f>
        <v>58740.000000000007</v>
      </c>
      <c r="E236" s="226">
        <f>'Datu ievade'!E187+'Datu ievade'!E210</f>
        <v>60341.999999999993</v>
      </c>
      <c r="F236" s="226">
        <f>'Datu ievade'!F187+'Datu ievade'!F210</f>
        <v>61409.999999999993</v>
      </c>
      <c r="G236" s="226">
        <f>'Datu ievade'!G187+'Datu ievade'!G210</f>
        <v>62477.999999999993</v>
      </c>
      <c r="H236" s="226">
        <f>'Datu ievade'!H187+'Datu ievade'!H210</f>
        <v>63546</v>
      </c>
      <c r="I236" s="226">
        <f>'Datu ievade'!I187+'Datu ievade'!I210</f>
        <v>64614</v>
      </c>
      <c r="J236" s="226">
        <f>'Datu ievade'!J187+'Datu ievade'!J210</f>
        <v>65682</v>
      </c>
      <c r="K236" s="226">
        <f>'Datu ievade'!K187+'Datu ievade'!K210</f>
        <v>66750</v>
      </c>
      <c r="L236" s="226">
        <f>'Datu ievade'!L187+'Datu ievade'!L210</f>
        <v>67818</v>
      </c>
      <c r="M236" s="226">
        <f>'Datu ievade'!M187+'Datu ievade'!M210</f>
        <v>68886</v>
      </c>
      <c r="N236" s="226">
        <f>'Datu ievade'!N187+'Datu ievade'!N210</f>
        <v>69954</v>
      </c>
      <c r="O236" s="226">
        <f>'Datu ievade'!O187+'Datu ievade'!O210</f>
        <v>71022</v>
      </c>
      <c r="P236" s="226">
        <f>'Datu ievade'!P187+'Datu ievade'!P210</f>
        <v>72624</v>
      </c>
      <c r="Q236" s="226">
        <f>'Datu ievade'!Q187+'Datu ievade'!Q210</f>
        <v>74226</v>
      </c>
      <c r="R236" s="226">
        <f>'Datu ievade'!R187+'Datu ievade'!R210</f>
        <v>75828</v>
      </c>
      <c r="S236" s="226">
        <f>'Datu ievade'!S187+'Datu ievade'!S210</f>
        <v>77430</v>
      </c>
      <c r="T236" s="226">
        <f>'Datu ievade'!T187+'Datu ievade'!T210</f>
        <v>79032</v>
      </c>
      <c r="U236" s="226">
        <f>'Datu ievade'!U187+'Datu ievade'!U210</f>
        <v>80634</v>
      </c>
      <c r="V236" s="226">
        <f>'Datu ievade'!V187+'Datu ievade'!V210</f>
        <v>82236</v>
      </c>
      <c r="W236" s="226">
        <f>'Datu ievade'!W187+'Datu ievade'!W210</f>
        <v>83838</v>
      </c>
      <c r="X236" s="226">
        <f>'Datu ievade'!X187+'Datu ievade'!X210</f>
        <v>85440</v>
      </c>
      <c r="Y236" s="226">
        <f>'Datu ievade'!Y187+'Datu ievade'!Y210</f>
        <v>87042</v>
      </c>
      <c r="Z236" s="226">
        <f>'Datu ievade'!Z187+'Datu ievade'!Z210</f>
        <v>88644</v>
      </c>
      <c r="AA236" s="226">
        <f>'Datu ievade'!AA187+'Datu ievade'!AA210</f>
        <v>90246</v>
      </c>
      <c r="AB236" s="226">
        <f>'Datu ievade'!AB187+'Datu ievade'!AB210</f>
        <v>91848</v>
      </c>
      <c r="AC236" s="226">
        <f>'Datu ievade'!AC187+'Datu ievade'!AC210</f>
        <v>93450</v>
      </c>
      <c r="AD236" s="226">
        <f>'Datu ievade'!AD187+'Datu ievade'!AD210</f>
        <v>95052</v>
      </c>
      <c r="AE236" s="226">
        <f>'Datu ievade'!AE187+'Datu ievade'!AE210</f>
        <v>96654</v>
      </c>
      <c r="AF236" s="226">
        <f>'Datu ievade'!AF187+'Datu ievade'!AF210</f>
        <v>98256</v>
      </c>
      <c r="AG236" s="226">
        <f>'Datu ievade'!AG187+'Datu ievade'!AG210</f>
        <v>98257</v>
      </c>
      <c r="AH236" s="226">
        <f>'Datu ievade'!AH187+'Datu ievade'!AH210</f>
        <v>98258</v>
      </c>
      <c r="AI236" s="75"/>
    </row>
    <row r="237" spans="1:36" s="71" customFormat="1" x14ac:dyDescent="0.2">
      <c r="A237" s="92" t="s">
        <v>57</v>
      </c>
      <c r="B237" s="226">
        <f>'Datu ievade'!B188+'Datu ievade'!B211</f>
        <v>12597.06</v>
      </c>
      <c r="C237" s="226">
        <f>'Datu ievade'!C188+'Datu ievade'!C211</f>
        <v>13478.8542</v>
      </c>
      <c r="D237" s="226">
        <f>'Datu ievade'!D188+'Datu ievade'!D211</f>
        <v>13856.766000000001</v>
      </c>
      <c r="E237" s="226">
        <f>'Datu ievade'!E188+'Datu ievade'!E211</f>
        <v>14234.677799999998</v>
      </c>
      <c r="F237" s="226">
        <f>'Datu ievade'!F188+'Datu ievade'!F211</f>
        <v>14486.618999999999</v>
      </c>
      <c r="G237" s="226">
        <f>'Datu ievade'!G188+'Datu ievade'!G211</f>
        <v>14738.560199999998</v>
      </c>
      <c r="H237" s="226">
        <f>'Datu ievade'!H188+'Datu ievade'!H211</f>
        <v>14990.501399999999</v>
      </c>
      <c r="I237" s="226">
        <f>'Datu ievade'!I188+'Datu ievade'!I211</f>
        <v>15242.4426</v>
      </c>
      <c r="J237" s="226">
        <f>'Datu ievade'!J188+'Datu ievade'!J211</f>
        <v>15494.3838</v>
      </c>
      <c r="K237" s="226">
        <f>'Datu ievade'!K188+'Datu ievade'!K211</f>
        <v>15746.325000000001</v>
      </c>
      <c r="L237" s="226">
        <f>'Datu ievade'!L188+'Datu ievade'!L211</f>
        <v>15998.2662</v>
      </c>
      <c r="M237" s="226">
        <f>'Datu ievade'!M188+'Datu ievade'!M211</f>
        <v>16250.207399999999</v>
      </c>
      <c r="N237" s="226">
        <f>'Datu ievade'!N188+'Datu ievade'!N211</f>
        <v>16502.1486</v>
      </c>
      <c r="O237" s="226">
        <f>'Datu ievade'!O188+'Datu ievade'!O211</f>
        <v>16754.089800000002</v>
      </c>
      <c r="P237" s="226">
        <f>'Datu ievade'!P188+'Datu ievade'!P211</f>
        <v>17132.0016</v>
      </c>
      <c r="Q237" s="226">
        <f>'Datu ievade'!Q188+'Datu ievade'!Q211</f>
        <v>17509.913400000001</v>
      </c>
      <c r="R237" s="226">
        <f>'Datu ievade'!R188+'Datu ievade'!R211</f>
        <v>17887.825199999999</v>
      </c>
      <c r="S237" s="226">
        <f>'Datu ievade'!S188+'Datu ievade'!S211</f>
        <v>18265.737000000001</v>
      </c>
      <c r="T237" s="226">
        <f>'Datu ievade'!T188+'Datu ievade'!T211</f>
        <v>18643.648799999999</v>
      </c>
      <c r="U237" s="226">
        <f>'Datu ievade'!U188+'Datu ievade'!U211</f>
        <v>19021.560600000001</v>
      </c>
      <c r="V237" s="226">
        <f>'Datu ievade'!V188+'Datu ievade'!V211</f>
        <v>19399.472399999999</v>
      </c>
      <c r="W237" s="226">
        <f>'Datu ievade'!W188+'Datu ievade'!W211</f>
        <v>19777.3842</v>
      </c>
      <c r="X237" s="226">
        <f>'Datu ievade'!X188+'Datu ievade'!X211</f>
        <v>20155.295999999998</v>
      </c>
      <c r="Y237" s="226">
        <f>'Datu ievade'!Y188+'Datu ievade'!Y211</f>
        <v>20533.2078</v>
      </c>
      <c r="Z237" s="226">
        <f>'Datu ievade'!Z188+'Datu ievade'!Z211</f>
        <v>20911.119599999998</v>
      </c>
      <c r="AA237" s="226">
        <f>'Datu ievade'!AA188+'Datu ievade'!AA211</f>
        <v>21289.0314</v>
      </c>
      <c r="AB237" s="226">
        <f>'Datu ievade'!AB188+'Datu ievade'!AB211</f>
        <v>21666.943200000002</v>
      </c>
      <c r="AC237" s="226">
        <f>'Datu ievade'!AC188+'Datu ievade'!AC211</f>
        <v>22044.855</v>
      </c>
      <c r="AD237" s="226">
        <f>'Datu ievade'!AD188+'Datu ievade'!AD211</f>
        <v>22422.766800000001</v>
      </c>
      <c r="AE237" s="226">
        <f>'Datu ievade'!AE188+'Datu ievade'!AE211</f>
        <v>22800.678599999999</v>
      </c>
      <c r="AF237" s="226">
        <f>'Datu ievade'!AF188+'Datu ievade'!AF211</f>
        <v>23178.590400000001</v>
      </c>
      <c r="AG237" s="226">
        <f>'Datu ievade'!AG188+'Datu ievade'!AG211</f>
        <v>23179.590400000001</v>
      </c>
      <c r="AH237" s="226">
        <f>'Datu ievade'!AH188+'Datu ievade'!AH211</f>
        <v>23180.590400000001</v>
      </c>
      <c r="AI237" s="75"/>
    </row>
    <row r="238" spans="1:36" s="71" customFormat="1" x14ac:dyDescent="0.2">
      <c r="A238" s="92" t="s">
        <v>58</v>
      </c>
      <c r="B238" s="226">
        <f>'Datu ievade'!B189+'Datu ievade'!B212</f>
        <v>0</v>
      </c>
      <c r="C238" s="226">
        <f>'Datu ievade'!C189+'Datu ievade'!C212</f>
        <v>0</v>
      </c>
      <c r="D238" s="226">
        <f>'Datu ievade'!D189+'Datu ievade'!D212</f>
        <v>0</v>
      </c>
      <c r="E238" s="226">
        <f>'Datu ievade'!E189+'Datu ievade'!E212</f>
        <v>0</v>
      </c>
      <c r="F238" s="226">
        <f>'Datu ievade'!F189+'Datu ievade'!F212</f>
        <v>0</v>
      </c>
      <c r="G238" s="226">
        <f>'Datu ievade'!G189+'Datu ievade'!G212</f>
        <v>0</v>
      </c>
      <c r="H238" s="226">
        <f>'Datu ievade'!H189+'Datu ievade'!H212</f>
        <v>0</v>
      </c>
      <c r="I238" s="226">
        <f>'Datu ievade'!I189+'Datu ievade'!I212</f>
        <v>0</v>
      </c>
      <c r="J238" s="226">
        <f>'Datu ievade'!J189+'Datu ievade'!J212</f>
        <v>0</v>
      </c>
      <c r="K238" s="226">
        <f>'Datu ievade'!K189+'Datu ievade'!K212</f>
        <v>0</v>
      </c>
      <c r="L238" s="226">
        <f>'Datu ievade'!L189+'Datu ievade'!L212</f>
        <v>0</v>
      </c>
      <c r="M238" s="226">
        <f>'Datu ievade'!M189+'Datu ievade'!M212</f>
        <v>0</v>
      </c>
      <c r="N238" s="226">
        <f>'Datu ievade'!N189+'Datu ievade'!N212</f>
        <v>0</v>
      </c>
      <c r="O238" s="226">
        <f>'Datu ievade'!O189+'Datu ievade'!O212</f>
        <v>0</v>
      </c>
      <c r="P238" s="226">
        <f>'Datu ievade'!P189+'Datu ievade'!P212</f>
        <v>0</v>
      </c>
      <c r="Q238" s="226">
        <f>'Datu ievade'!Q189+'Datu ievade'!Q212</f>
        <v>0</v>
      </c>
      <c r="R238" s="226">
        <f>'Datu ievade'!R189+'Datu ievade'!R212</f>
        <v>0</v>
      </c>
      <c r="S238" s="226">
        <f>'Datu ievade'!S189+'Datu ievade'!S212</f>
        <v>0</v>
      </c>
      <c r="T238" s="226">
        <f>'Datu ievade'!T189+'Datu ievade'!T212</f>
        <v>0</v>
      </c>
      <c r="U238" s="226">
        <f>'Datu ievade'!U189+'Datu ievade'!U212</f>
        <v>0</v>
      </c>
      <c r="V238" s="226">
        <f>'Datu ievade'!V189+'Datu ievade'!V212</f>
        <v>0</v>
      </c>
      <c r="W238" s="226">
        <f>'Datu ievade'!W189+'Datu ievade'!W212</f>
        <v>0</v>
      </c>
      <c r="X238" s="226">
        <f>'Datu ievade'!X189+'Datu ievade'!X212</f>
        <v>0</v>
      </c>
      <c r="Y238" s="226">
        <f>'Datu ievade'!Y189+'Datu ievade'!Y212</f>
        <v>0</v>
      </c>
      <c r="Z238" s="226">
        <f>'Datu ievade'!Z189+'Datu ievade'!Z212</f>
        <v>0</v>
      </c>
      <c r="AA238" s="226">
        <f>'Datu ievade'!AA189+'Datu ievade'!AA212</f>
        <v>0</v>
      </c>
      <c r="AB238" s="226">
        <f>'Datu ievade'!AB189+'Datu ievade'!AB212</f>
        <v>0</v>
      </c>
      <c r="AC238" s="226">
        <f>'Datu ievade'!AC189+'Datu ievade'!AC212</f>
        <v>0</v>
      </c>
      <c r="AD238" s="226">
        <f>'Datu ievade'!AD189+'Datu ievade'!AD212</f>
        <v>0</v>
      </c>
      <c r="AE238" s="226">
        <f>'Datu ievade'!AE189+'Datu ievade'!AE212</f>
        <v>0</v>
      </c>
      <c r="AF238" s="226">
        <f>'Datu ievade'!AF189+'Datu ievade'!AF212</f>
        <v>0</v>
      </c>
      <c r="AG238" s="226">
        <f>'Datu ievade'!AG189+'Datu ievade'!AG212</f>
        <v>0</v>
      </c>
      <c r="AH238" s="226">
        <f>'Datu ievade'!AH189+'Datu ievade'!AH212</f>
        <v>0</v>
      </c>
      <c r="AI238" s="75"/>
    </row>
    <row r="239" spans="1:36" s="163" customFormat="1" x14ac:dyDescent="0.2">
      <c r="A239" s="203" t="s">
        <v>59</v>
      </c>
      <c r="B239" s="226">
        <f>'Datu ievade'!B190+'Datu ievade'!B213</f>
        <v>0</v>
      </c>
      <c r="C239" s="226">
        <f>'Datu ievade'!C190+'Datu ievade'!C213</f>
        <v>0</v>
      </c>
      <c r="D239" s="226">
        <f>'Datu ievade'!D190+'Datu ievade'!D213</f>
        <v>0</v>
      </c>
      <c r="E239" s="226">
        <f>'Datu ievade'!E190+'Datu ievade'!E213</f>
        <v>0</v>
      </c>
      <c r="F239" s="226">
        <f>'Datu ievade'!F190+'Datu ievade'!F213</f>
        <v>0</v>
      </c>
      <c r="G239" s="226">
        <f>'Datu ievade'!G190+'Datu ievade'!G213</f>
        <v>0</v>
      </c>
      <c r="H239" s="226">
        <f>'Datu ievade'!H190+'Datu ievade'!H213</f>
        <v>0</v>
      </c>
      <c r="I239" s="226">
        <f>'Datu ievade'!I190+'Datu ievade'!I213</f>
        <v>0</v>
      </c>
      <c r="J239" s="226">
        <f>'Datu ievade'!J190+'Datu ievade'!J213</f>
        <v>0</v>
      </c>
      <c r="K239" s="226">
        <f>'Datu ievade'!K190+'Datu ievade'!K213</f>
        <v>0</v>
      </c>
      <c r="L239" s="226">
        <f>'Datu ievade'!L190+'Datu ievade'!L213</f>
        <v>0</v>
      </c>
      <c r="M239" s="226">
        <f>'Datu ievade'!M190+'Datu ievade'!M213</f>
        <v>0</v>
      </c>
      <c r="N239" s="226">
        <f>'Datu ievade'!N190+'Datu ievade'!N213</f>
        <v>0</v>
      </c>
      <c r="O239" s="226">
        <f>'Datu ievade'!O190+'Datu ievade'!O213</f>
        <v>0</v>
      </c>
      <c r="P239" s="226">
        <f>'Datu ievade'!P190+'Datu ievade'!P213</f>
        <v>0</v>
      </c>
      <c r="Q239" s="226">
        <f>'Datu ievade'!Q190+'Datu ievade'!Q213</f>
        <v>0</v>
      </c>
      <c r="R239" s="226">
        <f>'Datu ievade'!R190+'Datu ievade'!R213</f>
        <v>0</v>
      </c>
      <c r="S239" s="226">
        <f>'Datu ievade'!S190+'Datu ievade'!S213</f>
        <v>0</v>
      </c>
      <c r="T239" s="226">
        <f>'Datu ievade'!T190+'Datu ievade'!T213</f>
        <v>0</v>
      </c>
      <c r="U239" s="226">
        <f>'Datu ievade'!U190+'Datu ievade'!U213</f>
        <v>0</v>
      </c>
      <c r="V239" s="226">
        <f>'Datu ievade'!V190+'Datu ievade'!V213</f>
        <v>0</v>
      </c>
      <c r="W239" s="226">
        <f>'Datu ievade'!W190+'Datu ievade'!W213</f>
        <v>0</v>
      </c>
      <c r="X239" s="226">
        <f>'Datu ievade'!X190+'Datu ievade'!X213</f>
        <v>0</v>
      </c>
      <c r="Y239" s="226">
        <f>'Datu ievade'!Y190+'Datu ievade'!Y213</f>
        <v>0</v>
      </c>
      <c r="Z239" s="226">
        <f>'Datu ievade'!Z190+'Datu ievade'!Z213</f>
        <v>0</v>
      </c>
      <c r="AA239" s="226">
        <f>'Datu ievade'!AA190+'Datu ievade'!AA213</f>
        <v>0</v>
      </c>
      <c r="AB239" s="226">
        <f>'Datu ievade'!AB190+'Datu ievade'!AB213</f>
        <v>0</v>
      </c>
      <c r="AC239" s="226">
        <f>'Datu ievade'!AC190+'Datu ievade'!AC213</f>
        <v>0</v>
      </c>
      <c r="AD239" s="226">
        <f>'Datu ievade'!AD190+'Datu ievade'!AD213</f>
        <v>0</v>
      </c>
      <c r="AE239" s="226">
        <f>'Datu ievade'!AE190+'Datu ievade'!AE213</f>
        <v>0</v>
      </c>
      <c r="AF239" s="226">
        <f>'Datu ievade'!AF190+'Datu ievade'!AF213</f>
        <v>0</v>
      </c>
      <c r="AG239" s="226">
        <f>'Datu ievade'!AG190+'Datu ievade'!AG213</f>
        <v>0</v>
      </c>
      <c r="AH239" s="226">
        <f>'Datu ievade'!AH190+'Datu ievade'!AH213</f>
        <v>0</v>
      </c>
      <c r="AI239" s="75"/>
      <c r="AJ239" s="71"/>
    </row>
    <row r="240" spans="1:36" s="163" customFormat="1" x14ac:dyDescent="0.2">
      <c r="A240" s="227" t="s">
        <v>50</v>
      </c>
      <c r="B240" s="226">
        <f>'Datu ievade'!B191+'Datu ievade'!B214</f>
        <v>0</v>
      </c>
      <c r="C240" s="226">
        <f>'Datu ievade'!C191+'Datu ievade'!C214</f>
        <v>0</v>
      </c>
      <c r="D240" s="226">
        <f>'Datu ievade'!D191+'Datu ievade'!D214</f>
        <v>0</v>
      </c>
      <c r="E240" s="226">
        <f>'Datu ievade'!E191+'Datu ievade'!E214</f>
        <v>0</v>
      </c>
      <c r="F240" s="226">
        <f>'Datu ievade'!F191+'Datu ievade'!F214</f>
        <v>0</v>
      </c>
      <c r="G240" s="226">
        <f>'Datu ievade'!G191+'Datu ievade'!G214</f>
        <v>0</v>
      </c>
      <c r="H240" s="226">
        <f>'Datu ievade'!H191+'Datu ievade'!H214</f>
        <v>0</v>
      </c>
      <c r="I240" s="226">
        <f>'Datu ievade'!I191+'Datu ievade'!I214</f>
        <v>0</v>
      </c>
      <c r="J240" s="226">
        <f>'Datu ievade'!J191+'Datu ievade'!J214</f>
        <v>0</v>
      </c>
      <c r="K240" s="226">
        <f>'Datu ievade'!K191+'Datu ievade'!K214</f>
        <v>0</v>
      </c>
      <c r="L240" s="226">
        <f>'Datu ievade'!L191+'Datu ievade'!L214</f>
        <v>0</v>
      </c>
      <c r="M240" s="226">
        <f>'Datu ievade'!M191+'Datu ievade'!M214</f>
        <v>0</v>
      </c>
      <c r="N240" s="226">
        <f>'Datu ievade'!N191+'Datu ievade'!N214</f>
        <v>0</v>
      </c>
      <c r="O240" s="226">
        <f>'Datu ievade'!O191+'Datu ievade'!O214</f>
        <v>0</v>
      </c>
      <c r="P240" s="226">
        <f>'Datu ievade'!P191+'Datu ievade'!P214</f>
        <v>0</v>
      </c>
      <c r="Q240" s="226">
        <f>'Datu ievade'!Q191+'Datu ievade'!Q214</f>
        <v>0</v>
      </c>
      <c r="R240" s="226">
        <f>'Datu ievade'!R191+'Datu ievade'!R214</f>
        <v>0</v>
      </c>
      <c r="S240" s="226">
        <f>'Datu ievade'!S191+'Datu ievade'!S214</f>
        <v>0</v>
      </c>
      <c r="T240" s="226">
        <f>'Datu ievade'!T191+'Datu ievade'!T214</f>
        <v>0</v>
      </c>
      <c r="U240" s="226">
        <f>'Datu ievade'!U191+'Datu ievade'!U214</f>
        <v>0</v>
      </c>
      <c r="V240" s="226">
        <f>'Datu ievade'!V191+'Datu ievade'!V214</f>
        <v>0</v>
      </c>
      <c r="W240" s="226">
        <f>'Datu ievade'!W191+'Datu ievade'!W214</f>
        <v>0</v>
      </c>
      <c r="X240" s="226">
        <f>'Datu ievade'!X191+'Datu ievade'!X214</f>
        <v>0</v>
      </c>
      <c r="Y240" s="226">
        <f>'Datu ievade'!Y191+'Datu ievade'!Y214</f>
        <v>0</v>
      </c>
      <c r="Z240" s="226">
        <f>'Datu ievade'!Z191+'Datu ievade'!Z214</f>
        <v>0</v>
      </c>
      <c r="AA240" s="226">
        <f>'Datu ievade'!AA191+'Datu ievade'!AA214</f>
        <v>0</v>
      </c>
      <c r="AB240" s="226">
        <f>'Datu ievade'!AB191+'Datu ievade'!AB214</f>
        <v>0</v>
      </c>
      <c r="AC240" s="226">
        <f>'Datu ievade'!AC191+'Datu ievade'!AC214</f>
        <v>0</v>
      </c>
      <c r="AD240" s="226">
        <f>'Datu ievade'!AD191+'Datu ievade'!AD214</f>
        <v>0</v>
      </c>
      <c r="AE240" s="226">
        <f>'Datu ievade'!AE191+'Datu ievade'!AE214</f>
        <v>0</v>
      </c>
      <c r="AF240" s="226">
        <f>'Datu ievade'!AF191+'Datu ievade'!AF214</f>
        <v>0</v>
      </c>
      <c r="AG240" s="226">
        <f>'Datu ievade'!AG191+'Datu ievade'!AG214</f>
        <v>0</v>
      </c>
      <c r="AH240" s="226">
        <f>'Datu ievade'!AH191+'Datu ievade'!AH214</f>
        <v>0</v>
      </c>
      <c r="AI240" s="75"/>
      <c r="AJ240" s="71"/>
    </row>
    <row r="241" spans="1:37" s="71" customFormat="1" x14ac:dyDescent="0.2">
      <c r="A241" s="92" t="s">
        <v>51</v>
      </c>
      <c r="B241" s="226">
        <f>'Datu ievade'!B192+'Datu ievade'!B215</f>
        <v>26000</v>
      </c>
      <c r="C241" s="226">
        <f>'Datu ievade'!C192+'Datu ievade'!C215</f>
        <v>27040</v>
      </c>
      <c r="D241" s="226">
        <f>'Datu ievade'!D192+'Datu ievade'!D215</f>
        <v>23870</v>
      </c>
      <c r="E241" s="226">
        <f>'Datu ievade'!E192+'Datu ievade'!E215</f>
        <v>20700.000000000004</v>
      </c>
      <c r="F241" s="226">
        <f>'Datu ievade'!F192+'Datu ievade'!F215</f>
        <v>20272.000000000004</v>
      </c>
      <c r="G241" s="226">
        <f>'Datu ievade'!G192+'Datu ievade'!G215</f>
        <v>20633.999999999996</v>
      </c>
      <c r="H241" s="226">
        <f>'Datu ievade'!H192+'Datu ievade'!H215</f>
        <v>19896.32</v>
      </c>
      <c r="I241" s="226">
        <f>'Datu ievade'!I192+'Datu ievade'!I215</f>
        <v>20239.36</v>
      </c>
      <c r="J241" s="226">
        <f>'Datu ievade'!J192+'Datu ievade'!J215</f>
        <v>20582.400000000001</v>
      </c>
      <c r="K241" s="226">
        <f>'Datu ievade'!K192+'Datu ievade'!K215</f>
        <v>20925.440000000002</v>
      </c>
      <c r="L241" s="226">
        <f>'Datu ievade'!L192+'Datu ievade'!L215</f>
        <v>21268.48</v>
      </c>
      <c r="M241" s="226">
        <f>'Datu ievade'!M192+'Datu ievade'!M215</f>
        <v>21611.52</v>
      </c>
      <c r="N241" s="226">
        <f>'Datu ievade'!N192+'Datu ievade'!N215</f>
        <v>22126.080000000002</v>
      </c>
      <c r="O241" s="226">
        <f>'Datu ievade'!O192+'Datu ievade'!O215</f>
        <v>22640.639999999999</v>
      </c>
      <c r="P241" s="226">
        <f>'Datu ievade'!P192+'Datu ievade'!P215</f>
        <v>23155.199999999997</v>
      </c>
      <c r="Q241" s="226">
        <f>'Datu ievade'!Q192+'Datu ievade'!Q215</f>
        <v>23669.760000000002</v>
      </c>
      <c r="R241" s="226">
        <f>'Datu ievade'!R192+'Datu ievade'!R215</f>
        <v>24184.32</v>
      </c>
      <c r="S241" s="226">
        <f>'Datu ievade'!S192+'Datu ievade'!S215</f>
        <v>24698.880000000001</v>
      </c>
      <c r="T241" s="226">
        <f>'Datu ievade'!T192+'Datu ievade'!T215</f>
        <v>25213.440000000002</v>
      </c>
      <c r="U241" s="226">
        <f>'Datu ievade'!U192+'Datu ievade'!U215</f>
        <v>25728</v>
      </c>
      <c r="V241" s="226">
        <f>'Datu ievade'!V192+'Datu ievade'!V215</f>
        <v>26242.559999999998</v>
      </c>
      <c r="W241" s="226">
        <f>'Datu ievade'!W192+'Datu ievade'!W215</f>
        <v>26757.119999999999</v>
      </c>
      <c r="X241" s="226">
        <f>'Datu ievade'!X192+'Datu ievade'!X215</f>
        <v>27271.68</v>
      </c>
      <c r="Y241" s="226">
        <f>'Datu ievade'!Y192+'Datu ievade'!Y215</f>
        <v>27786.239999999998</v>
      </c>
      <c r="Z241" s="226">
        <f>'Datu ievade'!Z192+'Datu ievade'!Z215</f>
        <v>28300.800000000003</v>
      </c>
      <c r="AA241" s="226">
        <f>'Datu ievade'!AA192+'Datu ievade'!AA215</f>
        <v>28815.360000000001</v>
      </c>
      <c r="AB241" s="226">
        <f>'Datu ievade'!AB192+'Datu ievade'!AB215</f>
        <v>29329.919999999998</v>
      </c>
      <c r="AC241" s="226">
        <f>'Datu ievade'!AC192+'Datu ievade'!AC215</f>
        <v>29844.48</v>
      </c>
      <c r="AD241" s="226">
        <f>'Datu ievade'!AD192+'Datu ievade'!AD215</f>
        <v>30359.040000000001</v>
      </c>
      <c r="AE241" s="226">
        <f>'Datu ievade'!AE192+'Datu ievade'!AE215</f>
        <v>31045.119999999999</v>
      </c>
      <c r="AF241" s="226">
        <f>'Datu ievade'!AF192+'Datu ievade'!AF215</f>
        <v>31731.199999999997</v>
      </c>
      <c r="AG241" s="226">
        <f>'Datu ievade'!AG192+'Datu ievade'!AG215</f>
        <v>31732.199999999997</v>
      </c>
      <c r="AH241" s="226">
        <f>'Datu ievade'!AH192+'Datu ievade'!AH215</f>
        <v>31733.199999999997</v>
      </c>
      <c r="AI241" s="75"/>
    </row>
    <row r="242" spans="1:37" s="71" customFormat="1" x14ac:dyDescent="0.2">
      <c r="A242" s="92" t="s">
        <v>52</v>
      </c>
      <c r="B242" s="226">
        <f>'Datu ievade'!B193+'Datu ievade'!B216</f>
        <v>42486</v>
      </c>
      <c r="C242" s="226">
        <f>'Datu ievade'!C193+'Datu ievade'!C216</f>
        <v>44185.440000000002</v>
      </c>
      <c r="D242" s="226">
        <f>'Datu ievade'!D193+'Datu ievade'!D216</f>
        <v>62795.020000000004</v>
      </c>
      <c r="E242" s="226">
        <f>'Datu ievade'!E193+'Datu ievade'!E216</f>
        <v>81404.600000000006</v>
      </c>
      <c r="F242" s="226">
        <f>'Datu ievade'!F193+'Datu ievade'!F216</f>
        <v>86414.720000000001</v>
      </c>
      <c r="G242" s="226">
        <f>'Datu ievade'!G193+'Datu ievade'!G216</f>
        <v>87957.84</v>
      </c>
      <c r="H242" s="226">
        <f>'Datu ievade'!H193+'Datu ievade'!H216</f>
        <v>94327.02399999999</v>
      </c>
      <c r="I242" s="226">
        <f>'Datu ievade'!I193+'Datu ievade'!I216</f>
        <v>95953.351999999984</v>
      </c>
      <c r="J242" s="226">
        <f>'Datu ievade'!J193+'Datu ievade'!J216</f>
        <v>97579.68</v>
      </c>
      <c r="K242" s="226">
        <f>'Datu ievade'!K193+'Datu ievade'!K216</f>
        <v>99206.008000000002</v>
      </c>
      <c r="L242" s="226">
        <f>'Datu ievade'!L193+'Datu ievade'!L216</f>
        <v>100832.33600000001</v>
      </c>
      <c r="M242" s="226">
        <f>'Datu ievade'!M193+'Datu ievade'!M216</f>
        <v>102458.664</v>
      </c>
      <c r="N242" s="226">
        <f>'Datu ievade'!N193+'Datu ievade'!N216</f>
        <v>104898.156</v>
      </c>
      <c r="O242" s="226">
        <f>'Datu ievade'!O193+'Datu ievade'!O216</f>
        <v>107337.64800000002</v>
      </c>
      <c r="P242" s="226">
        <f>'Datu ievade'!P193+'Datu ievade'!P216</f>
        <v>109777.14000000001</v>
      </c>
      <c r="Q242" s="226">
        <f>'Datu ievade'!Q193+'Datu ievade'!Q216</f>
        <v>112216.63199999998</v>
      </c>
      <c r="R242" s="226">
        <f>'Datu ievade'!R193+'Datu ievade'!R216</f>
        <v>114656.124</v>
      </c>
      <c r="S242" s="226">
        <f>'Datu ievade'!S193+'Datu ievade'!S216</f>
        <v>117095.61599999999</v>
      </c>
      <c r="T242" s="226">
        <f>'Datu ievade'!T193+'Datu ievade'!T216</f>
        <v>119535.10800000001</v>
      </c>
      <c r="U242" s="226">
        <f>'Datu ievade'!U193+'Datu ievade'!U216</f>
        <v>121974.6</v>
      </c>
      <c r="V242" s="226">
        <f>'Datu ievade'!V193+'Datu ievade'!V216</f>
        <v>124414.092</v>
      </c>
      <c r="W242" s="226">
        <f>'Datu ievade'!W193+'Datu ievade'!W216</f>
        <v>126853.584</v>
      </c>
      <c r="X242" s="226">
        <f>'Datu ievade'!X193+'Datu ievade'!X216</f>
        <v>129293.076</v>
      </c>
      <c r="Y242" s="226">
        <f>'Datu ievade'!Y193+'Datu ievade'!Y216</f>
        <v>131732.56800000003</v>
      </c>
      <c r="Z242" s="226">
        <f>'Datu ievade'!Z193+'Datu ievade'!Z216</f>
        <v>134172.06</v>
      </c>
      <c r="AA242" s="226">
        <f>'Datu ievade'!AA193+'Datu ievade'!AA216</f>
        <v>136611.552</v>
      </c>
      <c r="AB242" s="226">
        <f>'Datu ievade'!AB193+'Datu ievade'!AB216</f>
        <v>139051.04399999999</v>
      </c>
      <c r="AC242" s="226">
        <f>'Datu ievade'!AC193+'Datu ievade'!AC216</f>
        <v>141490.53600000002</v>
      </c>
      <c r="AD242" s="226">
        <f>'Datu ievade'!AD193+'Datu ievade'!AD216</f>
        <v>143930.02799999999</v>
      </c>
      <c r="AE242" s="226">
        <f>'Datu ievade'!AE193+'Datu ievade'!AE216</f>
        <v>147182.68400000001</v>
      </c>
      <c r="AF242" s="226">
        <f>'Datu ievade'!AF193+'Datu ievade'!AF216</f>
        <v>150435.34000000003</v>
      </c>
      <c r="AG242" s="226">
        <f>'Datu ievade'!AG193+'Datu ievade'!AG216</f>
        <v>150436.34000000003</v>
      </c>
      <c r="AH242" s="226">
        <f>'Datu ievade'!AH193+'Datu ievade'!AH216</f>
        <v>150437.34000000003</v>
      </c>
      <c r="AI242" s="75"/>
    </row>
    <row r="243" spans="1:37" s="71" customFormat="1" x14ac:dyDescent="0.2">
      <c r="A243" s="92" t="s">
        <v>53</v>
      </c>
      <c r="B243" s="226">
        <f>'Datu ievade'!B194+'Datu ievade'!B217</f>
        <v>9750</v>
      </c>
      <c r="C243" s="226">
        <f>'Datu ievade'!C194+'Datu ievade'!C217</f>
        <v>10140</v>
      </c>
      <c r="D243" s="226">
        <f>'Datu ievade'!D194+'Datu ievade'!D217</f>
        <v>10982.5</v>
      </c>
      <c r="E243" s="226">
        <f>'Datu ievade'!E194+'Datu ievade'!E217</f>
        <v>11825</v>
      </c>
      <c r="F243" s="226">
        <f>'Datu ievade'!F194+'Datu ievade'!F217</f>
        <v>12152.000000000002</v>
      </c>
      <c r="G243" s="226">
        <f>'Datu ievade'!G194+'Datu ievade'!G217</f>
        <v>12368.999999999998</v>
      </c>
      <c r="H243" s="226">
        <f>'Datu ievade'!H194+'Datu ievade'!H217</f>
        <v>12739.12</v>
      </c>
      <c r="I243" s="226">
        <f>'Datu ievade'!I194+'Datu ievade'!I217</f>
        <v>12958.76</v>
      </c>
      <c r="J243" s="226">
        <f>'Datu ievade'!J194+'Datu ievade'!J217</f>
        <v>13178.4</v>
      </c>
      <c r="K243" s="226">
        <f>'Datu ievade'!K194+'Datu ievade'!K217</f>
        <v>13398.04</v>
      </c>
      <c r="L243" s="226">
        <f>'Datu ievade'!L194+'Datu ievade'!L217</f>
        <v>13617.68</v>
      </c>
      <c r="M243" s="226">
        <f>'Datu ievade'!M194+'Datu ievade'!M217</f>
        <v>13837.32</v>
      </c>
      <c r="N243" s="226">
        <f>'Datu ievade'!N194+'Datu ievade'!N217</f>
        <v>14166.78</v>
      </c>
      <c r="O243" s="226">
        <f>'Datu ievade'!O194+'Datu ievade'!O217</f>
        <v>14496.24</v>
      </c>
      <c r="P243" s="226">
        <f>'Datu ievade'!P194+'Datu ievade'!P217</f>
        <v>14825.7</v>
      </c>
      <c r="Q243" s="226">
        <f>'Datu ievade'!Q194+'Datu ievade'!Q217</f>
        <v>15155.159999999998</v>
      </c>
      <c r="R243" s="226">
        <f>'Datu ievade'!R194+'Datu ievade'!R217</f>
        <v>15484.62</v>
      </c>
      <c r="S243" s="226">
        <f>'Datu ievade'!S194+'Datu ievade'!S217</f>
        <v>15814.08</v>
      </c>
      <c r="T243" s="226">
        <f>'Datu ievade'!T194+'Datu ievade'!T217</f>
        <v>16143.54</v>
      </c>
      <c r="U243" s="226">
        <f>'Datu ievade'!U194+'Datu ievade'!U217</f>
        <v>16473</v>
      </c>
      <c r="V243" s="226">
        <f>'Datu ievade'!V194+'Datu ievade'!V217</f>
        <v>16802.46</v>
      </c>
      <c r="W243" s="226">
        <f>'Datu ievade'!W194+'Datu ievade'!W217</f>
        <v>17131.920000000002</v>
      </c>
      <c r="X243" s="226">
        <f>'Datu ievade'!X194+'Datu ievade'!X217</f>
        <v>17461.38</v>
      </c>
      <c r="Y243" s="226">
        <f>'Datu ievade'!Y194+'Datu ievade'!Y217</f>
        <v>17790.840000000004</v>
      </c>
      <c r="Z243" s="226">
        <f>'Datu ievade'!Z194+'Datu ievade'!Z217</f>
        <v>18120.3</v>
      </c>
      <c r="AA243" s="226">
        <f>'Datu ievade'!AA194+'Datu ievade'!AA217</f>
        <v>18449.760000000002</v>
      </c>
      <c r="AB243" s="226">
        <f>'Datu ievade'!AB194+'Datu ievade'!AB217</f>
        <v>18779.22</v>
      </c>
      <c r="AC243" s="226">
        <f>'Datu ievade'!AC194+'Datu ievade'!AC217</f>
        <v>19108.68</v>
      </c>
      <c r="AD243" s="226">
        <f>'Datu ievade'!AD194+'Datu ievade'!AD217</f>
        <v>19438.14</v>
      </c>
      <c r="AE243" s="226">
        <f>'Datu ievade'!AE194+'Datu ievade'!AE217</f>
        <v>19877.420000000002</v>
      </c>
      <c r="AF243" s="226">
        <f>'Datu ievade'!AF194+'Datu ievade'!AF217</f>
        <v>20316.7</v>
      </c>
      <c r="AG243" s="226">
        <f>'Datu ievade'!AG194+'Datu ievade'!AG217</f>
        <v>20317.7</v>
      </c>
      <c r="AH243" s="226">
        <f>'Datu ievade'!AH194+'Datu ievade'!AH217</f>
        <v>20318.7</v>
      </c>
      <c r="AI243" s="75"/>
    </row>
    <row r="244" spans="1:37" s="71" customFormat="1" x14ac:dyDescent="0.2">
      <c r="A244" s="227" t="s">
        <v>54</v>
      </c>
      <c r="B244" s="226">
        <f>'Datu ievade'!B195+'Datu ievade'!B218</f>
        <v>12526</v>
      </c>
      <c r="C244" s="226">
        <f>'Datu ievade'!C195+'Datu ievade'!C218</f>
        <v>13027.04</v>
      </c>
      <c r="D244" s="226">
        <f>'Datu ievade'!D195+'Datu ievade'!D218</f>
        <v>13402.820000000002</v>
      </c>
      <c r="E244" s="226">
        <f>'Datu ievade'!E195+'Datu ievade'!E218</f>
        <v>13778.6</v>
      </c>
      <c r="F244" s="226">
        <f>'Datu ievade'!F195+'Datu ievade'!F218</f>
        <v>14029.12</v>
      </c>
      <c r="G244" s="226">
        <f>'Datu ievade'!G195+'Datu ievade'!G218</f>
        <v>14279.64</v>
      </c>
      <c r="H244" s="226">
        <f>'Datu ievade'!H195+'Datu ievade'!H218</f>
        <v>14530.16</v>
      </c>
      <c r="I244" s="226">
        <f>'Datu ievade'!I195+'Datu ievade'!I218</f>
        <v>14780.679999999998</v>
      </c>
      <c r="J244" s="226">
        <f>'Datu ievade'!J195+'Datu ievade'!J218</f>
        <v>15031.199999999999</v>
      </c>
      <c r="K244" s="226">
        <f>'Datu ievade'!K195+'Datu ievade'!K218</f>
        <v>15281.72</v>
      </c>
      <c r="L244" s="226">
        <f>'Datu ievade'!L195+'Datu ievade'!L218</f>
        <v>15532.24</v>
      </c>
      <c r="M244" s="226">
        <f>'Datu ievade'!M195+'Datu ievade'!M218</f>
        <v>15782.76</v>
      </c>
      <c r="N244" s="226">
        <f>'Datu ievade'!N195+'Datu ievade'!N218</f>
        <v>16158.54</v>
      </c>
      <c r="O244" s="226">
        <f>'Datu ievade'!O195+'Datu ievade'!O218</f>
        <v>16534.32</v>
      </c>
      <c r="P244" s="226">
        <f>'Datu ievade'!P195+'Datu ievade'!P218</f>
        <v>16910.100000000002</v>
      </c>
      <c r="Q244" s="226">
        <f>'Datu ievade'!Q195+'Datu ievade'!Q218</f>
        <v>17285.879999999997</v>
      </c>
      <c r="R244" s="226">
        <f>'Datu ievade'!R195+'Datu ievade'!R218</f>
        <v>17661.66</v>
      </c>
      <c r="S244" s="226">
        <f>'Datu ievade'!S195+'Datu ievade'!S218</f>
        <v>18037.439999999999</v>
      </c>
      <c r="T244" s="226">
        <f>'Datu ievade'!T195+'Datu ievade'!T218</f>
        <v>18413.22</v>
      </c>
      <c r="U244" s="226">
        <f>'Datu ievade'!U195+'Datu ievade'!U218</f>
        <v>18789</v>
      </c>
      <c r="V244" s="226">
        <f>'Datu ievade'!V195+'Datu ievade'!V218</f>
        <v>19164.78</v>
      </c>
      <c r="W244" s="226">
        <f>'Datu ievade'!W195+'Datu ievade'!W218</f>
        <v>19540.560000000001</v>
      </c>
      <c r="X244" s="226">
        <f>'Datu ievade'!X195+'Datu ievade'!X218</f>
        <v>19916.34</v>
      </c>
      <c r="Y244" s="226">
        <f>'Datu ievade'!Y195+'Datu ievade'!Y218</f>
        <v>20292.120000000003</v>
      </c>
      <c r="Z244" s="226">
        <f>'Datu ievade'!Z195+'Datu ievade'!Z218</f>
        <v>20667.899999999998</v>
      </c>
      <c r="AA244" s="226">
        <f>'Datu ievade'!AA195+'Datu ievade'!AA218</f>
        <v>21043.68</v>
      </c>
      <c r="AB244" s="226">
        <f>'Datu ievade'!AB195+'Datu ievade'!AB218</f>
        <v>21419.46</v>
      </c>
      <c r="AC244" s="226">
        <f>'Datu ievade'!AC195+'Datu ievade'!AC218</f>
        <v>21795.24</v>
      </c>
      <c r="AD244" s="226">
        <f>'Datu ievade'!AD195+'Datu ievade'!AD218</f>
        <v>22171.02</v>
      </c>
      <c r="AE244" s="226">
        <f>'Datu ievade'!AE195+'Datu ievade'!AE218</f>
        <v>22672.06</v>
      </c>
      <c r="AF244" s="226">
        <f>'Datu ievade'!AF195+'Datu ievade'!AF218</f>
        <v>23173.100000000002</v>
      </c>
      <c r="AG244" s="226">
        <f>'Datu ievade'!AG195+'Datu ievade'!AG218</f>
        <v>23174.100000000002</v>
      </c>
      <c r="AH244" s="226">
        <f>'Datu ievade'!AH195+'Datu ievade'!AH218</f>
        <v>23175.100000000002</v>
      </c>
      <c r="AI244" s="75"/>
    </row>
    <row r="245" spans="1:37" s="71" customFormat="1" ht="25.5" x14ac:dyDescent="0.2">
      <c r="A245" s="227" t="s">
        <v>559</v>
      </c>
      <c r="B245" s="226">
        <f>'Datu ievade'!B196+'Datu ievade'!B219</f>
        <v>9450</v>
      </c>
      <c r="C245" s="226">
        <f>'Datu ievade'!C196+'Datu ievade'!C219</f>
        <v>9828</v>
      </c>
      <c r="D245" s="226">
        <f>'Datu ievade'!D196+'Datu ievade'!D219</f>
        <v>9961.5</v>
      </c>
      <c r="E245" s="226">
        <f>'Datu ievade'!E196+'Datu ievade'!E219</f>
        <v>10095</v>
      </c>
      <c r="F245" s="226">
        <f>'Datu ievade'!F196+'Datu ievade'!F219</f>
        <v>10248.000000000002</v>
      </c>
      <c r="G245" s="226">
        <f>'Datu ievade'!G196+'Datu ievade'!G219</f>
        <v>10430.999999999998</v>
      </c>
      <c r="H245" s="226">
        <f>'Datu ievade'!H196+'Datu ievade'!H219</f>
        <v>10572.24</v>
      </c>
      <c r="I245" s="226">
        <f>'Datu ievade'!I196+'Datu ievade'!I219</f>
        <v>10754.52</v>
      </c>
      <c r="J245" s="226">
        <f>'Datu ievade'!J196+'Datu ievade'!J219</f>
        <v>10936.8</v>
      </c>
      <c r="K245" s="226">
        <f>'Datu ievade'!K196+'Datu ievade'!K219</f>
        <v>11119.08</v>
      </c>
      <c r="L245" s="226">
        <f>'Datu ievade'!L196+'Datu ievade'!L219</f>
        <v>11301.36</v>
      </c>
      <c r="M245" s="226">
        <f>'Datu ievade'!M196+'Datu ievade'!M219</f>
        <v>11483.64</v>
      </c>
      <c r="N245" s="226">
        <f>'Datu ievade'!N196+'Datu ievade'!N219</f>
        <v>11757.06</v>
      </c>
      <c r="O245" s="226">
        <f>'Datu ievade'!O196+'Datu ievade'!O219</f>
        <v>12030.48</v>
      </c>
      <c r="P245" s="226">
        <f>'Datu ievade'!P196+'Datu ievade'!P219</f>
        <v>12303.9</v>
      </c>
      <c r="Q245" s="226">
        <f>'Datu ievade'!Q196+'Datu ievade'!Q219</f>
        <v>12577.319999999998</v>
      </c>
      <c r="R245" s="226">
        <f>'Datu ievade'!R196+'Datu ievade'!R219</f>
        <v>12850.74</v>
      </c>
      <c r="S245" s="226">
        <f>'Datu ievade'!S196+'Datu ievade'!S219</f>
        <v>13124.16</v>
      </c>
      <c r="T245" s="226">
        <f>'Datu ievade'!T196+'Datu ievade'!T219</f>
        <v>13397.58</v>
      </c>
      <c r="U245" s="226">
        <f>'Datu ievade'!U196+'Datu ievade'!U219</f>
        <v>13671</v>
      </c>
      <c r="V245" s="226">
        <f>'Datu ievade'!V196+'Datu ievade'!V219</f>
        <v>13944.42</v>
      </c>
      <c r="W245" s="226">
        <f>'Datu ievade'!W196+'Datu ievade'!W219</f>
        <v>14217.84</v>
      </c>
      <c r="X245" s="226">
        <f>'Datu ievade'!X196+'Datu ievade'!X219</f>
        <v>14491.26</v>
      </c>
      <c r="Y245" s="226">
        <f>'Datu ievade'!Y196+'Datu ievade'!Y219</f>
        <v>14764.680000000002</v>
      </c>
      <c r="Z245" s="226">
        <f>'Datu ievade'!Z196+'Datu ievade'!Z219</f>
        <v>15038.1</v>
      </c>
      <c r="AA245" s="226">
        <f>'Datu ievade'!AA196+'Datu ievade'!AA219</f>
        <v>15311.52</v>
      </c>
      <c r="AB245" s="226">
        <f>'Datu ievade'!AB196+'Datu ievade'!AB219</f>
        <v>15584.94</v>
      </c>
      <c r="AC245" s="226">
        <f>'Datu ievade'!AC196+'Datu ievade'!AC219</f>
        <v>15858.36</v>
      </c>
      <c r="AD245" s="226">
        <f>'Datu ievade'!AD196+'Datu ievade'!AD219</f>
        <v>16131.78</v>
      </c>
      <c r="AE245" s="226">
        <f>'Datu ievade'!AE196+'Datu ievade'!AE219</f>
        <v>16496.34</v>
      </c>
      <c r="AF245" s="226">
        <f>'Datu ievade'!AF196+'Datu ievade'!AF219</f>
        <v>16860.900000000001</v>
      </c>
      <c r="AG245" s="226">
        <f>'Datu ievade'!AG196+'Datu ievade'!AG219</f>
        <v>16860.900000000001</v>
      </c>
      <c r="AH245" s="226">
        <f>'Datu ievade'!AH196+'Datu ievade'!AH219</f>
        <v>16860.900000000001</v>
      </c>
      <c r="AI245" s="75"/>
    </row>
    <row r="246" spans="1:37" s="163" customFormat="1" x14ac:dyDescent="0.2">
      <c r="A246" s="227" t="s">
        <v>55</v>
      </c>
      <c r="B246" s="226">
        <f>'Datu ievade'!B197+'Datu ievade'!B220</f>
        <v>0</v>
      </c>
      <c r="C246" s="226">
        <f>'Datu ievade'!C197+'Datu ievade'!C220</f>
        <v>0</v>
      </c>
      <c r="D246" s="226">
        <f>'Datu ievade'!D197+'Datu ievade'!D220</f>
        <v>0</v>
      </c>
      <c r="E246" s="226">
        <f>'Datu ievade'!E197+'Datu ievade'!E220</f>
        <v>0</v>
      </c>
      <c r="F246" s="226">
        <f>'Datu ievade'!F197+'Datu ievade'!F220</f>
        <v>0</v>
      </c>
      <c r="G246" s="226">
        <f>'Datu ievade'!G197+'Datu ievade'!G220</f>
        <v>0</v>
      </c>
      <c r="H246" s="226">
        <f>'Datu ievade'!H197+'Datu ievade'!H220</f>
        <v>0</v>
      </c>
      <c r="I246" s="226">
        <f>'Datu ievade'!I197+'Datu ievade'!I220</f>
        <v>0</v>
      </c>
      <c r="J246" s="226">
        <f>'Datu ievade'!J197+'Datu ievade'!J220</f>
        <v>0</v>
      </c>
      <c r="K246" s="226">
        <f>'Datu ievade'!K197+'Datu ievade'!K220</f>
        <v>0</v>
      </c>
      <c r="L246" s="226">
        <f>'Datu ievade'!L197+'Datu ievade'!L220</f>
        <v>0</v>
      </c>
      <c r="M246" s="226">
        <f>'Datu ievade'!M197+'Datu ievade'!M220</f>
        <v>0</v>
      </c>
      <c r="N246" s="226">
        <f>'Datu ievade'!N197+'Datu ievade'!N220</f>
        <v>0</v>
      </c>
      <c r="O246" s="226">
        <f>'Datu ievade'!O197+'Datu ievade'!O220</f>
        <v>0</v>
      </c>
      <c r="P246" s="226">
        <f>'Datu ievade'!P197+'Datu ievade'!P220</f>
        <v>0</v>
      </c>
      <c r="Q246" s="226">
        <f>'Datu ievade'!Q197+'Datu ievade'!Q220</f>
        <v>0</v>
      </c>
      <c r="R246" s="226">
        <f>'Datu ievade'!R197+'Datu ievade'!R220</f>
        <v>0</v>
      </c>
      <c r="S246" s="226">
        <f>'Datu ievade'!S197+'Datu ievade'!S220</f>
        <v>0</v>
      </c>
      <c r="T246" s="226">
        <f>'Datu ievade'!T197+'Datu ievade'!T220</f>
        <v>0</v>
      </c>
      <c r="U246" s="226">
        <f>'Datu ievade'!U197+'Datu ievade'!U220</f>
        <v>0</v>
      </c>
      <c r="V246" s="226">
        <f>'Datu ievade'!V197+'Datu ievade'!V220</f>
        <v>0</v>
      </c>
      <c r="W246" s="226">
        <f>'Datu ievade'!W197+'Datu ievade'!W220</f>
        <v>0</v>
      </c>
      <c r="X246" s="226">
        <f>'Datu ievade'!X197+'Datu ievade'!X220</f>
        <v>0</v>
      </c>
      <c r="Y246" s="226">
        <f>'Datu ievade'!Y197+'Datu ievade'!Y220</f>
        <v>0</v>
      </c>
      <c r="Z246" s="226">
        <f>'Datu ievade'!Z197+'Datu ievade'!Z220</f>
        <v>0</v>
      </c>
      <c r="AA246" s="226">
        <f>'Datu ievade'!AA197+'Datu ievade'!AA220</f>
        <v>0</v>
      </c>
      <c r="AB246" s="226">
        <f>'Datu ievade'!AB197+'Datu ievade'!AB220</f>
        <v>0</v>
      </c>
      <c r="AC246" s="226">
        <f>'Datu ievade'!AC197+'Datu ievade'!AC220</f>
        <v>0</v>
      </c>
      <c r="AD246" s="226">
        <f>'Datu ievade'!AD197+'Datu ievade'!AD220</f>
        <v>0</v>
      </c>
      <c r="AE246" s="226">
        <f>'Datu ievade'!AE197+'Datu ievade'!AE220</f>
        <v>0</v>
      </c>
      <c r="AF246" s="226">
        <f>'Datu ievade'!AF197+'Datu ievade'!AF220</f>
        <v>0</v>
      </c>
      <c r="AG246" s="226">
        <f>'Datu ievade'!AG197+'Datu ievade'!AG220</f>
        <v>0</v>
      </c>
      <c r="AH246" s="226">
        <f>'Datu ievade'!AH197+'Datu ievade'!AH220</f>
        <v>0</v>
      </c>
      <c r="AI246" s="75"/>
      <c r="AJ246" s="71"/>
    </row>
    <row r="247" spans="1:37" s="71" customFormat="1" x14ac:dyDescent="0.2">
      <c r="A247" s="227" t="s">
        <v>56</v>
      </c>
      <c r="B247" s="226">
        <f>'Datu ievade'!B198+'Datu ievade'!B221</f>
        <v>45569</v>
      </c>
      <c r="C247" s="226">
        <f>'Datu ievade'!C198+'Datu ievade'!C221</f>
        <v>48758.83</v>
      </c>
      <c r="D247" s="226">
        <f>'Datu ievade'!D198+'Datu ievade'!D221</f>
        <v>50125.9</v>
      </c>
      <c r="E247" s="226">
        <f>'Datu ievade'!E198+'Datu ievade'!E221</f>
        <v>51492.969999999994</v>
      </c>
      <c r="F247" s="226">
        <f>'Datu ievade'!F198+'Datu ievade'!F221</f>
        <v>52404.35</v>
      </c>
      <c r="G247" s="226">
        <f>'Datu ievade'!G198+'Datu ievade'!G221</f>
        <v>53315.729999999996</v>
      </c>
      <c r="H247" s="226">
        <f>'Datu ievade'!H198+'Datu ievade'!H221</f>
        <v>54227.11</v>
      </c>
      <c r="I247" s="226">
        <f>'Datu ievade'!I198+'Datu ievade'!I221</f>
        <v>55138.49</v>
      </c>
      <c r="J247" s="226">
        <f>'Datu ievade'!J198+'Datu ievade'!J221</f>
        <v>56049.87</v>
      </c>
      <c r="K247" s="226">
        <f>'Datu ievade'!K198+'Datu ievade'!K221</f>
        <v>56961.25</v>
      </c>
      <c r="L247" s="226">
        <f>'Datu ievade'!L198+'Datu ievade'!L221</f>
        <v>57872.63</v>
      </c>
      <c r="M247" s="226">
        <f>'Datu ievade'!M198+'Datu ievade'!M221</f>
        <v>58784.01</v>
      </c>
      <c r="N247" s="226">
        <f>'Datu ievade'!N198+'Datu ievade'!N221</f>
        <v>59695.39</v>
      </c>
      <c r="O247" s="226">
        <f>'Datu ievade'!O198+'Datu ievade'!O221</f>
        <v>60606.770000000004</v>
      </c>
      <c r="P247" s="226">
        <f>'Datu ievade'!P198+'Datu ievade'!P221</f>
        <v>61973.840000000004</v>
      </c>
      <c r="Q247" s="226">
        <f>'Datu ievade'!Q198+'Datu ievade'!Q221</f>
        <v>63340.909999999996</v>
      </c>
      <c r="R247" s="226">
        <f>'Datu ievade'!R198+'Datu ievade'!R221</f>
        <v>64707.979999999996</v>
      </c>
      <c r="S247" s="226">
        <f>'Datu ievade'!S198+'Datu ievade'!S221</f>
        <v>66075.05</v>
      </c>
      <c r="T247" s="226">
        <f>'Datu ievade'!T198+'Datu ievade'!T221</f>
        <v>67442.12</v>
      </c>
      <c r="U247" s="226">
        <f>'Datu ievade'!U198+'Datu ievade'!U221</f>
        <v>68809.19</v>
      </c>
      <c r="V247" s="226">
        <f>'Datu ievade'!V198+'Datu ievade'!V221</f>
        <v>70176.259999999995</v>
      </c>
      <c r="W247" s="226">
        <f>'Datu ievade'!W198+'Datu ievade'!W221</f>
        <v>71543.33</v>
      </c>
      <c r="X247" s="226">
        <f>'Datu ievade'!X198+'Datu ievade'!X221</f>
        <v>72910.400000000009</v>
      </c>
      <c r="Y247" s="226">
        <f>'Datu ievade'!Y198+'Datu ievade'!Y221</f>
        <v>74277.47</v>
      </c>
      <c r="Z247" s="226">
        <f>'Datu ievade'!Z198+'Datu ievade'!Z221</f>
        <v>75644.539999999994</v>
      </c>
      <c r="AA247" s="226">
        <f>'Datu ievade'!AA198+'Datu ievade'!AA221</f>
        <v>77011.61</v>
      </c>
      <c r="AB247" s="226">
        <f>'Datu ievade'!AB198+'Datu ievade'!AB221</f>
        <v>78378.679999999993</v>
      </c>
      <c r="AC247" s="226">
        <f>'Datu ievade'!AC198+'Datu ievade'!AC221</f>
        <v>79745.75</v>
      </c>
      <c r="AD247" s="226">
        <f>'Datu ievade'!AD198+'Datu ievade'!AD221</f>
        <v>81112.820000000007</v>
      </c>
      <c r="AE247" s="226">
        <f>'Datu ievade'!AE198+'Datu ievade'!AE221</f>
        <v>82479.89</v>
      </c>
      <c r="AF247" s="226">
        <f>'Datu ievade'!AF198+'Datu ievade'!AF221</f>
        <v>83846.960000000006</v>
      </c>
      <c r="AG247" s="226">
        <f>'Datu ievade'!AG198+'Datu ievade'!AG221</f>
        <v>83847.960000000006</v>
      </c>
      <c r="AH247" s="226">
        <f>'Datu ievade'!AH198+'Datu ievade'!AH221</f>
        <v>83848.960000000006</v>
      </c>
      <c r="AI247" s="75"/>
    </row>
    <row r="248" spans="1:37" s="71" customFormat="1" x14ac:dyDescent="0.2">
      <c r="A248" s="227" t="s">
        <v>57</v>
      </c>
      <c r="B248" s="226">
        <f>'Datu ievade'!B199+'Datu ievade'!B222</f>
        <v>10749.7271</v>
      </c>
      <c r="C248" s="226">
        <f>'Datu ievade'!C199+'Datu ievade'!C222</f>
        <v>11502.207997</v>
      </c>
      <c r="D248" s="226">
        <f>'Datu ievade'!D199+'Datu ievade'!D222</f>
        <v>11824.69981</v>
      </c>
      <c r="E248" s="226">
        <f>'Datu ievade'!E199+'Datu ievade'!E222</f>
        <v>12147.191622999999</v>
      </c>
      <c r="F248" s="226">
        <f>'Datu ievade'!F199+'Datu ievade'!F222</f>
        <v>12362.186164999999</v>
      </c>
      <c r="G248" s="226">
        <f>'Datu ievade'!G199+'Datu ievade'!G222</f>
        <v>12577.180707</v>
      </c>
      <c r="H248" s="226">
        <f>'Datu ievade'!H199+'Datu ievade'!H222</f>
        <v>12792.175249</v>
      </c>
      <c r="I248" s="226">
        <f>'Datu ievade'!I199+'Datu ievade'!I222</f>
        <v>13007.169791</v>
      </c>
      <c r="J248" s="226">
        <f>'Datu ievade'!J199+'Datu ievade'!J222</f>
        <v>13222.164333000001</v>
      </c>
      <c r="K248" s="226">
        <f>'Datu ievade'!K199+'Datu ievade'!K222</f>
        <v>13437.158874999999</v>
      </c>
      <c r="L248" s="226">
        <f>'Datu ievade'!L199+'Datu ievade'!L222</f>
        <v>13652.153417</v>
      </c>
      <c r="M248" s="226">
        <f>'Datu ievade'!M199+'Datu ievade'!M222</f>
        <v>13867.147959</v>
      </c>
      <c r="N248" s="226">
        <f>'Datu ievade'!N199+'Datu ievade'!N222</f>
        <v>14082.142501</v>
      </c>
      <c r="O248" s="226">
        <f>'Datu ievade'!O199+'Datu ievade'!O222</f>
        <v>14297.137043000001</v>
      </c>
      <c r="P248" s="226">
        <f>'Datu ievade'!P199+'Datu ievade'!P222</f>
        <v>14619.628856000001</v>
      </c>
      <c r="Q248" s="226">
        <f>'Datu ievade'!Q199+'Datu ievade'!Q222</f>
        <v>14942.120669</v>
      </c>
      <c r="R248" s="226">
        <f>'Datu ievade'!R199+'Datu ievade'!R222</f>
        <v>15264.612481999999</v>
      </c>
      <c r="S248" s="226">
        <f>'Datu ievade'!S199+'Datu ievade'!S222</f>
        <v>15587.104295000001</v>
      </c>
      <c r="T248" s="226">
        <f>'Datu ievade'!T199+'Datu ievade'!T222</f>
        <v>15909.596107999998</v>
      </c>
      <c r="U248" s="226">
        <f>'Datu ievade'!U199+'Datu ievade'!U222</f>
        <v>16232.087921</v>
      </c>
      <c r="V248" s="226">
        <f>'Datu ievade'!V199+'Datu ievade'!V222</f>
        <v>16554.579733999999</v>
      </c>
      <c r="W248" s="226">
        <f>'Datu ievade'!W199+'Datu ievade'!W222</f>
        <v>16877.071547</v>
      </c>
      <c r="X248" s="226">
        <f>'Datu ievade'!X199+'Datu ievade'!X222</f>
        <v>17199.563360000004</v>
      </c>
      <c r="Y248" s="226">
        <f>'Datu ievade'!Y199+'Datu ievade'!Y222</f>
        <v>17522.055173000001</v>
      </c>
      <c r="Z248" s="226">
        <f>'Datu ievade'!Z199+'Datu ievade'!Z222</f>
        <v>17844.546985999998</v>
      </c>
      <c r="AA248" s="226">
        <f>'Datu ievade'!AA199+'Datu ievade'!AA222</f>
        <v>18167.038799000002</v>
      </c>
      <c r="AB248" s="226">
        <f>'Datu ievade'!AB199+'Datu ievade'!AB222</f>
        <v>18489.530611999999</v>
      </c>
      <c r="AC248" s="226">
        <f>'Datu ievade'!AC199+'Datu ievade'!AC222</f>
        <v>18812.022424999999</v>
      </c>
      <c r="AD248" s="226">
        <f>'Datu ievade'!AD199+'Datu ievade'!AD222</f>
        <v>19134.514238</v>
      </c>
      <c r="AE248" s="226">
        <f>'Datu ievade'!AE199+'Datu ievade'!AE222</f>
        <v>19457.006051</v>
      </c>
      <c r="AF248" s="226">
        <f>'Datu ievade'!AF199+'Datu ievade'!AF222</f>
        <v>19779.497864000001</v>
      </c>
      <c r="AG248" s="226">
        <f>'Datu ievade'!AG199+'Datu ievade'!AG222</f>
        <v>19780.497864000001</v>
      </c>
      <c r="AH248" s="226">
        <f>'Datu ievade'!AH199+'Datu ievade'!AH222</f>
        <v>19781.497864000001</v>
      </c>
      <c r="AI248" s="75"/>
    </row>
    <row r="249" spans="1:37" s="71" customFormat="1" x14ac:dyDescent="0.2">
      <c r="A249" s="227" t="s">
        <v>58</v>
      </c>
      <c r="B249" s="226">
        <f>'Datu ievade'!B200+'Datu ievade'!B223</f>
        <v>0</v>
      </c>
      <c r="C249" s="226">
        <f>'Datu ievade'!C200+'Datu ievade'!C223</f>
        <v>0</v>
      </c>
      <c r="D249" s="226">
        <f>'Datu ievade'!D200+'Datu ievade'!D223</f>
        <v>0</v>
      </c>
      <c r="E249" s="226">
        <f>'Datu ievade'!E200+'Datu ievade'!E223</f>
        <v>0</v>
      </c>
      <c r="F249" s="226">
        <f>'Datu ievade'!F200+'Datu ievade'!F223</f>
        <v>0</v>
      </c>
      <c r="G249" s="226">
        <f>'Datu ievade'!G200+'Datu ievade'!G223</f>
        <v>0</v>
      </c>
      <c r="H249" s="226">
        <f>'Datu ievade'!H200+'Datu ievade'!H223</f>
        <v>0</v>
      </c>
      <c r="I249" s="226">
        <f>'Datu ievade'!I200+'Datu ievade'!I223</f>
        <v>0</v>
      </c>
      <c r="J249" s="226">
        <f>'Datu ievade'!J200+'Datu ievade'!J223</f>
        <v>0</v>
      </c>
      <c r="K249" s="226">
        <f>'Datu ievade'!K200+'Datu ievade'!K223</f>
        <v>0</v>
      </c>
      <c r="L249" s="226">
        <f>'Datu ievade'!L200+'Datu ievade'!L223</f>
        <v>0</v>
      </c>
      <c r="M249" s="226">
        <f>'Datu ievade'!M200+'Datu ievade'!M223</f>
        <v>0</v>
      </c>
      <c r="N249" s="226">
        <f>'Datu ievade'!N200+'Datu ievade'!N223</f>
        <v>0</v>
      </c>
      <c r="O249" s="226">
        <f>'Datu ievade'!O200+'Datu ievade'!O223</f>
        <v>0</v>
      </c>
      <c r="P249" s="226">
        <f>'Datu ievade'!P200+'Datu ievade'!P223</f>
        <v>0</v>
      </c>
      <c r="Q249" s="226">
        <f>'Datu ievade'!Q200+'Datu ievade'!Q223</f>
        <v>0</v>
      </c>
      <c r="R249" s="226">
        <f>'Datu ievade'!R200+'Datu ievade'!R223</f>
        <v>0</v>
      </c>
      <c r="S249" s="226">
        <f>'Datu ievade'!S200+'Datu ievade'!S223</f>
        <v>0</v>
      </c>
      <c r="T249" s="226">
        <f>'Datu ievade'!T200+'Datu ievade'!T223</f>
        <v>0</v>
      </c>
      <c r="U249" s="226">
        <f>'Datu ievade'!U200+'Datu ievade'!U223</f>
        <v>0</v>
      </c>
      <c r="V249" s="226">
        <f>'Datu ievade'!V200+'Datu ievade'!V223</f>
        <v>0</v>
      </c>
      <c r="W249" s="226">
        <f>'Datu ievade'!W200+'Datu ievade'!W223</f>
        <v>0</v>
      </c>
      <c r="X249" s="226">
        <f>'Datu ievade'!X200+'Datu ievade'!X223</f>
        <v>0</v>
      </c>
      <c r="Y249" s="226">
        <f>'Datu ievade'!Y200+'Datu ievade'!Y223</f>
        <v>0</v>
      </c>
      <c r="Z249" s="226">
        <f>'Datu ievade'!Z200+'Datu ievade'!Z223</f>
        <v>0</v>
      </c>
      <c r="AA249" s="226">
        <f>'Datu ievade'!AA200+'Datu ievade'!AA223</f>
        <v>0</v>
      </c>
      <c r="AB249" s="226">
        <f>'Datu ievade'!AB200+'Datu ievade'!AB223</f>
        <v>0</v>
      </c>
      <c r="AC249" s="226">
        <f>'Datu ievade'!AC200+'Datu ievade'!AC223</f>
        <v>0</v>
      </c>
      <c r="AD249" s="226">
        <f>'Datu ievade'!AD200+'Datu ievade'!AD223</f>
        <v>0</v>
      </c>
      <c r="AE249" s="226">
        <f>'Datu ievade'!AE200+'Datu ievade'!AE223</f>
        <v>0</v>
      </c>
      <c r="AF249" s="226">
        <f>'Datu ievade'!AF200+'Datu ievade'!AF223</f>
        <v>0</v>
      </c>
      <c r="AG249" s="226">
        <f>'Datu ievade'!AG200+'Datu ievade'!AG223</f>
        <v>0</v>
      </c>
      <c r="AH249" s="226">
        <f>'Datu ievade'!AH200+'Datu ievade'!AH223</f>
        <v>0</v>
      </c>
      <c r="AI249" s="75"/>
    </row>
    <row r="250" spans="1:37" s="71" customFormat="1" x14ac:dyDescent="0.2">
      <c r="A250" s="688"/>
      <c r="B250" s="229"/>
      <c r="C250" s="229"/>
      <c r="D250" s="229"/>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75"/>
    </row>
    <row r="251" spans="1:37" s="71" customFormat="1" ht="31.5" x14ac:dyDescent="0.2">
      <c r="A251" s="689" t="s">
        <v>293</v>
      </c>
      <c r="B251" s="231"/>
      <c r="C251" s="231"/>
      <c r="D251" s="231"/>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row>
    <row r="252" spans="1:37" s="71" customFormat="1" x14ac:dyDescent="0.2">
      <c r="A252" s="203" t="s">
        <v>49</v>
      </c>
      <c r="B252" s="715">
        <f>C252-1</f>
        <v>2011</v>
      </c>
      <c r="C252" s="715">
        <f>D252-1</f>
        <v>2012</v>
      </c>
      <c r="D252" s="715">
        <f>E252-1</f>
        <v>2013</v>
      </c>
      <c r="E252" s="715">
        <f>B32</f>
        <v>2014</v>
      </c>
      <c r="F252" s="188">
        <f t="shared" ref="F252:AG252" si="31">E252+1</f>
        <v>2015</v>
      </c>
      <c r="G252" s="188">
        <f t="shared" si="31"/>
        <v>2016</v>
      </c>
      <c r="H252" s="232">
        <f t="shared" si="31"/>
        <v>2017</v>
      </c>
      <c r="I252" s="232">
        <f t="shared" si="31"/>
        <v>2018</v>
      </c>
      <c r="J252" s="232">
        <f t="shared" si="31"/>
        <v>2019</v>
      </c>
      <c r="K252" s="232">
        <f t="shared" si="31"/>
        <v>2020</v>
      </c>
      <c r="L252" s="232">
        <f t="shared" si="31"/>
        <v>2021</v>
      </c>
      <c r="M252" s="232">
        <f t="shared" si="31"/>
        <v>2022</v>
      </c>
      <c r="N252" s="232">
        <f t="shared" si="31"/>
        <v>2023</v>
      </c>
      <c r="O252" s="232">
        <f t="shared" si="31"/>
        <v>2024</v>
      </c>
      <c r="P252" s="232">
        <f t="shared" si="31"/>
        <v>2025</v>
      </c>
      <c r="Q252" s="232">
        <f t="shared" si="31"/>
        <v>2026</v>
      </c>
      <c r="R252" s="232">
        <f t="shared" si="31"/>
        <v>2027</v>
      </c>
      <c r="S252" s="232">
        <f t="shared" si="31"/>
        <v>2028</v>
      </c>
      <c r="T252" s="232">
        <f t="shared" si="31"/>
        <v>2029</v>
      </c>
      <c r="U252" s="232">
        <f t="shared" si="31"/>
        <v>2030</v>
      </c>
      <c r="V252" s="232">
        <f t="shared" si="31"/>
        <v>2031</v>
      </c>
      <c r="W252" s="232">
        <f t="shared" si="31"/>
        <v>2032</v>
      </c>
      <c r="X252" s="232">
        <f t="shared" si="31"/>
        <v>2033</v>
      </c>
      <c r="Y252" s="232">
        <f t="shared" si="31"/>
        <v>2034</v>
      </c>
      <c r="Z252" s="232">
        <f t="shared" si="31"/>
        <v>2035</v>
      </c>
      <c r="AA252" s="232">
        <f t="shared" si="31"/>
        <v>2036</v>
      </c>
      <c r="AB252" s="232">
        <f t="shared" si="31"/>
        <v>2037</v>
      </c>
      <c r="AC252" s="232">
        <f t="shared" si="31"/>
        <v>2038</v>
      </c>
      <c r="AD252" s="232">
        <f t="shared" si="31"/>
        <v>2039</v>
      </c>
      <c r="AE252" s="232">
        <f t="shared" si="31"/>
        <v>2040</v>
      </c>
      <c r="AF252" s="232">
        <f t="shared" si="31"/>
        <v>2041</v>
      </c>
      <c r="AG252" s="233">
        <f t="shared" si="31"/>
        <v>2042</v>
      </c>
      <c r="AH252" s="234">
        <f>AG252+1</f>
        <v>2043</v>
      </c>
      <c r="AI252" s="234">
        <f>AH252+1</f>
        <v>2044</v>
      </c>
      <c r="AJ252" s="234">
        <f>AI252+1</f>
        <v>2045</v>
      </c>
      <c r="AK252" s="234">
        <f>AJ252+1</f>
        <v>2046</v>
      </c>
    </row>
    <row r="253" spans="1:37" s="71" customFormat="1" ht="25.5" x14ac:dyDescent="0.2">
      <c r="A253" s="690" t="s">
        <v>516</v>
      </c>
      <c r="B253" s="788">
        <v>25000</v>
      </c>
      <c r="C253" s="784">
        <v>25000</v>
      </c>
      <c r="D253" s="784">
        <v>25000</v>
      </c>
      <c r="E253" s="784">
        <v>25000</v>
      </c>
      <c r="F253" s="784">
        <v>25000</v>
      </c>
      <c r="G253" s="784">
        <v>25000</v>
      </c>
      <c r="H253" s="785">
        <f>G253</f>
        <v>25000</v>
      </c>
      <c r="I253" s="785">
        <f>H253</f>
        <v>25000</v>
      </c>
      <c r="J253" s="786">
        <f t="shared" ref="J253:AJ253" si="32">I253</f>
        <v>25000</v>
      </c>
      <c r="K253" s="786">
        <f t="shared" si="32"/>
        <v>25000</v>
      </c>
      <c r="L253" s="786">
        <f t="shared" si="32"/>
        <v>25000</v>
      </c>
      <c r="M253" s="786">
        <f t="shared" si="32"/>
        <v>25000</v>
      </c>
      <c r="N253" s="786">
        <f t="shared" si="32"/>
        <v>25000</v>
      </c>
      <c r="O253" s="786">
        <f t="shared" si="32"/>
        <v>25000</v>
      </c>
      <c r="P253" s="786">
        <f t="shared" si="32"/>
        <v>25000</v>
      </c>
      <c r="Q253" s="786">
        <f t="shared" si="32"/>
        <v>25000</v>
      </c>
      <c r="R253" s="786">
        <f t="shared" si="32"/>
        <v>25000</v>
      </c>
      <c r="S253" s="786">
        <f t="shared" si="32"/>
        <v>25000</v>
      </c>
      <c r="T253" s="786">
        <f t="shared" si="32"/>
        <v>25000</v>
      </c>
      <c r="U253" s="786">
        <f t="shared" si="32"/>
        <v>25000</v>
      </c>
      <c r="V253" s="236">
        <f t="shared" si="32"/>
        <v>25000</v>
      </c>
      <c r="W253" s="236">
        <f t="shared" si="32"/>
        <v>25000</v>
      </c>
      <c r="X253" s="236">
        <f t="shared" si="32"/>
        <v>25000</v>
      </c>
      <c r="Y253" s="236">
        <f t="shared" si="32"/>
        <v>25000</v>
      </c>
      <c r="Z253" s="236">
        <f t="shared" si="32"/>
        <v>25000</v>
      </c>
      <c r="AA253" s="236">
        <f t="shared" si="32"/>
        <v>25000</v>
      </c>
      <c r="AB253" s="236">
        <f t="shared" si="32"/>
        <v>25000</v>
      </c>
      <c r="AC253" s="236">
        <f t="shared" si="32"/>
        <v>25000</v>
      </c>
      <c r="AD253" s="236">
        <f t="shared" si="32"/>
        <v>25000</v>
      </c>
      <c r="AE253" s="236">
        <f t="shared" si="32"/>
        <v>25000</v>
      </c>
      <c r="AF253" s="236">
        <f t="shared" si="32"/>
        <v>25000</v>
      </c>
      <c r="AG253" s="236">
        <f t="shared" si="32"/>
        <v>25000</v>
      </c>
      <c r="AH253" s="236">
        <f t="shared" si="32"/>
        <v>25000</v>
      </c>
      <c r="AI253" s="236">
        <f t="shared" si="32"/>
        <v>25000</v>
      </c>
      <c r="AJ253" s="236">
        <f t="shared" si="32"/>
        <v>25000</v>
      </c>
      <c r="AK253" s="236">
        <f>AJ253</f>
        <v>25000</v>
      </c>
    </row>
    <row r="254" spans="1:37" s="71" customFormat="1" x14ac:dyDescent="0.2">
      <c r="A254" s="691" t="s">
        <v>302</v>
      </c>
      <c r="B254" s="787">
        <v>23500</v>
      </c>
      <c r="C254" s="787">
        <v>23500</v>
      </c>
      <c r="D254" s="787">
        <v>23500</v>
      </c>
      <c r="E254" s="787">
        <v>23500</v>
      </c>
      <c r="F254" s="787">
        <v>23500</v>
      </c>
      <c r="G254" s="787">
        <v>23500</v>
      </c>
      <c r="H254" s="787">
        <v>23500</v>
      </c>
      <c r="I254" s="785">
        <f>H254+I259</f>
        <v>24000</v>
      </c>
      <c r="J254" s="785">
        <f>I254</f>
        <v>24000</v>
      </c>
      <c r="K254" s="786">
        <f t="shared" ref="K254:AJ254" si="33">J254</f>
        <v>24000</v>
      </c>
      <c r="L254" s="786">
        <f t="shared" si="33"/>
        <v>24000</v>
      </c>
      <c r="M254" s="786">
        <f t="shared" si="33"/>
        <v>24000</v>
      </c>
      <c r="N254" s="786">
        <f t="shared" si="33"/>
        <v>24000</v>
      </c>
      <c r="O254" s="786">
        <f t="shared" si="33"/>
        <v>24000</v>
      </c>
      <c r="P254" s="786">
        <f t="shared" si="33"/>
        <v>24000</v>
      </c>
      <c r="Q254" s="786">
        <f t="shared" si="33"/>
        <v>24000</v>
      </c>
      <c r="R254" s="786">
        <f t="shared" si="33"/>
        <v>24000</v>
      </c>
      <c r="S254" s="786">
        <f t="shared" si="33"/>
        <v>24000</v>
      </c>
      <c r="T254" s="786">
        <f t="shared" si="33"/>
        <v>24000</v>
      </c>
      <c r="U254" s="786">
        <f t="shared" si="33"/>
        <v>24000</v>
      </c>
      <c r="V254" s="236">
        <f t="shared" si="33"/>
        <v>24000</v>
      </c>
      <c r="W254" s="236">
        <f t="shared" si="33"/>
        <v>24000</v>
      </c>
      <c r="X254" s="236">
        <f t="shared" si="33"/>
        <v>24000</v>
      </c>
      <c r="Y254" s="236">
        <f t="shared" si="33"/>
        <v>24000</v>
      </c>
      <c r="Z254" s="236">
        <f t="shared" si="33"/>
        <v>24000</v>
      </c>
      <c r="AA254" s="236">
        <f t="shared" si="33"/>
        <v>24000</v>
      </c>
      <c r="AB254" s="236">
        <f t="shared" si="33"/>
        <v>24000</v>
      </c>
      <c r="AC254" s="236">
        <f t="shared" si="33"/>
        <v>24000</v>
      </c>
      <c r="AD254" s="236">
        <f t="shared" si="33"/>
        <v>24000</v>
      </c>
      <c r="AE254" s="236">
        <f t="shared" si="33"/>
        <v>24000</v>
      </c>
      <c r="AF254" s="236">
        <f t="shared" si="33"/>
        <v>24000</v>
      </c>
      <c r="AG254" s="236">
        <f t="shared" si="33"/>
        <v>24000</v>
      </c>
      <c r="AH254" s="236">
        <f t="shared" si="33"/>
        <v>24000</v>
      </c>
      <c r="AI254" s="236">
        <f t="shared" si="33"/>
        <v>24000</v>
      </c>
      <c r="AJ254" s="236">
        <f t="shared" si="33"/>
        <v>24000</v>
      </c>
      <c r="AK254" s="236">
        <f>AJ254</f>
        <v>24000</v>
      </c>
    </row>
    <row r="255" spans="1:37" s="71" customFormat="1" x14ac:dyDescent="0.2">
      <c r="A255" s="692" t="s">
        <v>380</v>
      </c>
      <c r="B255" s="238">
        <f>B254/B253</f>
        <v>0.94</v>
      </c>
      <c r="C255" s="238">
        <f t="shared" ref="C255:AK255" si="34">C254/C253</f>
        <v>0.94</v>
      </c>
      <c r="D255" s="238">
        <f t="shared" si="34"/>
        <v>0.94</v>
      </c>
      <c r="E255" s="238">
        <f t="shared" si="34"/>
        <v>0.94</v>
      </c>
      <c r="F255" s="238">
        <f t="shared" si="34"/>
        <v>0.94</v>
      </c>
      <c r="G255" s="238">
        <f t="shared" si="34"/>
        <v>0.94</v>
      </c>
      <c r="H255" s="238">
        <f t="shared" si="34"/>
        <v>0.94</v>
      </c>
      <c r="I255" s="238">
        <f t="shared" si="34"/>
        <v>0.96</v>
      </c>
      <c r="J255" s="238">
        <f t="shared" si="34"/>
        <v>0.96</v>
      </c>
      <c r="K255" s="238">
        <f t="shared" si="34"/>
        <v>0.96</v>
      </c>
      <c r="L255" s="238">
        <f t="shared" si="34"/>
        <v>0.96</v>
      </c>
      <c r="M255" s="238">
        <f t="shared" si="34"/>
        <v>0.96</v>
      </c>
      <c r="N255" s="238">
        <f t="shared" si="34"/>
        <v>0.96</v>
      </c>
      <c r="O255" s="238">
        <f t="shared" si="34"/>
        <v>0.96</v>
      </c>
      <c r="P255" s="238">
        <f t="shared" si="34"/>
        <v>0.96</v>
      </c>
      <c r="Q255" s="238">
        <f t="shared" si="34"/>
        <v>0.96</v>
      </c>
      <c r="R255" s="238">
        <f t="shared" si="34"/>
        <v>0.96</v>
      </c>
      <c r="S255" s="238">
        <f t="shared" si="34"/>
        <v>0.96</v>
      </c>
      <c r="T255" s="238">
        <f t="shared" si="34"/>
        <v>0.96</v>
      </c>
      <c r="U255" s="238">
        <f t="shared" si="34"/>
        <v>0.96</v>
      </c>
      <c r="V255" s="238">
        <f t="shared" si="34"/>
        <v>0.96</v>
      </c>
      <c r="W255" s="238">
        <f t="shared" si="34"/>
        <v>0.96</v>
      </c>
      <c r="X255" s="238">
        <f t="shared" si="34"/>
        <v>0.96</v>
      </c>
      <c r="Y255" s="238">
        <f t="shared" si="34"/>
        <v>0.96</v>
      </c>
      <c r="Z255" s="238">
        <f t="shared" si="34"/>
        <v>0.96</v>
      </c>
      <c r="AA255" s="238">
        <f t="shared" si="34"/>
        <v>0.96</v>
      </c>
      <c r="AB255" s="238">
        <f t="shared" si="34"/>
        <v>0.96</v>
      </c>
      <c r="AC255" s="238">
        <f t="shared" si="34"/>
        <v>0.96</v>
      </c>
      <c r="AD255" s="238">
        <f t="shared" si="34"/>
        <v>0.96</v>
      </c>
      <c r="AE255" s="238">
        <f t="shared" si="34"/>
        <v>0.96</v>
      </c>
      <c r="AF255" s="238">
        <f t="shared" si="34"/>
        <v>0.96</v>
      </c>
      <c r="AG255" s="238">
        <f t="shared" si="34"/>
        <v>0.96</v>
      </c>
      <c r="AH255" s="238">
        <f t="shared" si="34"/>
        <v>0.96</v>
      </c>
      <c r="AI255" s="238">
        <f t="shared" si="34"/>
        <v>0.96</v>
      </c>
      <c r="AJ255" s="238">
        <f t="shared" si="34"/>
        <v>0.96</v>
      </c>
      <c r="AK255" s="238">
        <f t="shared" si="34"/>
        <v>0.96</v>
      </c>
    </row>
    <row r="256" spans="1:37" s="71" customFormat="1" x14ac:dyDescent="0.2">
      <c r="A256" s="691" t="s">
        <v>82</v>
      </c>
      <c r="B256" s="239">
        <f>B254/$B$39</f>
        <v>9400</v>
      </c>
      <c r="C256" s="240">
        <f t="shared" ref="C256:AJ256" si="35">C254/$B$39</f>
        <v>9400</v>
      </c>
      <c r="D256" s="239">
        <f t="shared" si="35"/>
        <v>9400</v>
      </c>
      <c r="E256" s="239">
        <f t="shared" si="35"/>
        <v>9400</v>
      </c>
      <c r="F256" s="239">
        <f t="shared" si="35"/>
        <v>9400</v>
      </c>
      <c r="G256" s="239">
        <f t="shared" si="35"/>
        <v>9400</v>
      </c>
      <c r="H256" s="239">
        <f t="shared" si="35"/>
        <v>9400</v>
      </c>
      <c r="I256" s="239">
        <f t="shared" si="35"/>
        <v>9600</v>
      </c>
      <c r="J256" s="239">
        <f t="shared" si="35"/>
        <v>9600</v>
      </c>
      <c r="K256" s="239">
        <f t="shared" si="35"/>
        <v>9600</v>
      </c>
      <c r="L256" s="239">
        <f t="shared" si="35"/>
        <v>9600</v>
      </c>
      <c r="M256" s="239">
        <f t="shared" si="35"/>
        <v>9600</v>
      </c>
      <c r="N256" s="239">
        <f t="shared" si="35"/>
        <v>9600</v>
      </c>
      <c r="O256" s="239">
        <f t="shared" si="35"/>
        <v>9600</v>
      </c>
      <c r="P256" s="239">
        <f t="shared" si="35"/>
        <v>9600</v>
      </c>
      <c r="Q256" s="239">
        <f t="shared" si="35"/>
        <v>9600</v>
      </c>
      <c r="R256" s="239">
        <f t="shared" si="35"/>
        <v>9600</v>
      </c>
      <c r="S256" s="239">
        <f t="shared" si="35"/>
        <v>9600</v>
      </c>
      <c r="T256" s="239">
        <f t="shared" si="35"/>
        <v>9600</v>
      </c>
      <c r="U256" s="239">
        <f t="shared" si="35"/>
        <v>9600</v>
      </c>
      <c r="V256" s="239">
        <f t="shared" si="35"/>
        <v>9600</v>
      </c>
      <c r="W256" s="239">
        <f t="shared" si="35"/>
        <v>9600</v>
      </c>
      <c r="X256" s="239">
        <f t="shared" si="35"/>
        <v>9600</v>
      </c>
      <c r="Y256" s="239">
        <f t="shared" si="35"/>
        <v>9600</v>
      </c>
      <c r="Z256" s="239">
        <f t="shared" si="35"/>
        <v>9600</v>
      </c>
      <c r="AA256" s="239">
        <f t="shared" si="35"/>
        <v>9600</v>
      </c>
      <c r="AB256" s="239">
        <f t="shared" si="35"/>
        <v>9600</v>
      </c>
      <c r="AC256" s="239">
        <f t="shared" si="35"/>
        <v>9600</v>
      </c>
      <c r="AD256" s="239">
        <f t="shared" si="35"/>
        <v>9600</v>
      </c>
      <c r="AE256" s="239">
        <f t="shared" si="35"/>
        <v>9600</v>
      </c>
      <c r="AF256" s="239">
        <f t="shared" si="35"/>
        <v>9600</v>
      </c>
      <c r="AG256" s="239">
        <f t="shared" si="35"/>
        <v>9600</v>
      </c>
      <c r="AH256" s="239">
        <f t="shared" si="35"/>
        <v>9600</v>
      </c>
      <c r="AI256" s="239">
        <f t="shared" si="35"/>
        <v>9600</v>
      </c>
      <c r="AJ256" s="239">
        <f t="shared" si="35"/>
        <v>9600</v>
      </c>
      <c r="AK256" s="239">
        <f>AK254/$B$39</f>
        <v>9600</v>
      </c>
    </row>
    <row r="257" spans="1:43" s="71" customFormat="1" ht="25.5" x14ac:dyDescent="0.2">
      <c r="A257" s="693" t="s">
        <v>517</v>
      </c>
      <c r="B257" s="239">
        <f t="shared" ref="B257:Q258" si="36">B253</f>
        <v>25000</v>
      </c>
      <c r="C257" s="239">
        <f t="shared" si="36"/>
        <v>25000</v>
      </c>
      <c r="D257" s="239">
        <f t="shared" si="36"/>
        <v>25000</v>
      </c>
      <c r="E257" s="239">
        <f t="shared" si="36"/>
        <v>25000</v>
      </c>
      <c r="F257" s="239">
        <f t="shared" si="36"/>
        <v>25000</v>
      </c>
      <c r="G257" s="239">
        <f t="shared" si="36"/>
        <v>25000</v>
      </c>
      <c r="H257" s="239">
        <f t="shared" si="36"/>
        <v>25000</v>
      </c>
      <c r="I257" s="239">
        <f t="shared" si="36"/>
        <v>25000</v>
      </c>
      <c r="J257" s="239">
        <f t="shared" si="36"/>
        <v>25000</v>
      </c>
      <c r="K257" s="239">
        <f t="shared" si="36"/>
        <v>25000</v>
      </c>
      <c r="L257" s="239">
        <f t="shared" si="36"/>
        <v>25000</v>
      </c>
      <c r="M257" s="239">
        <f t="shared" si="36"/>
        <v>25000</v>
      </c>
      <c r="N257" s="239">
        <f t="shared" si="36"/>
        <v>25000</v>
      </c>
      <c r="O257" s="239">
        <f t="shared" si="36"/>
        <v>25000</v>
      </c>
      <c r="P257" s="239">
        <f t="shared" si="36"/>
        <v>25000</v>
      </c>
      <c r="Q257" s="239">
        <f t="shared" si="36"/>
        <v>25000</v>
      </c>
      <c r="R257" s="239">
        <f t="shared" ref="R257:AJ257" si="37">R253</f>
        <v>25000</v>
      </c>
      <c r="S257" s="239">
        <f t="shared" si="37"/>
        <v>25000</v>
      </c>
      <c r="T257" s="239">
        <f t="shared" si="37"/>
        <v>25000</v>
      </c>
      <c r="U257" s="239">
        <f t="shared" si="37"/>
        <v>25000</v>
      </c>
      <c r="V257" s="239">
        <f t="shared" si="37"/>
        <v>25000</v>
      </c>
      <c r="W257" s="239">
        <f t="shared" si="37"/>
        <v>25000</v>
      </c>
      <c r="X257" s="239">
        <f t="shared" si="37"/>
        <v>25000</v>
      </c>
      <c r="Y257" s="239">
        <f t="shared" si="37"/>
        <v>25000</v>
      </c>
      <c r="Z257" s="239">
        <f t="shared" si="37"/>
        <v>25000</v>
      </c>
      <c r="AA257" s="239">
        <f t="shared" si="37"/>
        <v>25000</v>
      </c>
      <c r="AB257" s="239">
        <f t="shared" si="37"/>
        <v>25000</v>
      </c>
      <c r="AC257" s="239">
        <f t="shared" si="37"/>
        <v>25000</v>
      </c>
      <c r="AD257" s="239">
        <f t="shared" si="37"/>
        <v>25000</v>
      </c>
      <c r="AE257" s="239">
        <f t="shared" si="37"/>
        <v>25000</v>
      </c>
      <c r="AF257" s="239">
        <f t="shared" si="37"/>
        <v>25000</v>
      </c>
      <c r="AG257" s="239">
        <f t="shared" si="37"/>
        <v>25000</v>
      </c>
      <c r="AH257" s="239">
        <f t="shared" si="37"/>
        <v>25000</v>
      </c>
      <c r="AI257" s="239">
        <f t="shared" si="37"/>
        <v>25000</v>
      </c>
      <c r="AJ257" s="239">
        <f t="shared" si="37"/>
        <v>25000</v>
      </c>
      <c r="AK257" s="239">
        <f>AK253</f>
        <v>25000</v>
      </c>
    </row>
    <row r="258" spans="1:43" s="71" customFormat="1" x14ac:dyDescent="0.2">
      <c r="A258" s="691" t="s">
        <v>301</v>
      </c>
      <c r="B258" s="239">
        <f t="shared" si="36"/>
        <v>23500</v>
      </c>
      <c r="C258" s="239">
        <f t="shared" si="36"/>
        <v>23500</v>
      </c>
      <c r="D258" s="239">
        <f t="shared" si="36"/>
        <v>23500</v>
      </c>
      <c r="E258" s="239">
        <f t="shared" si="36"/>
        <v>23500</v>
      </c>
      <c r="F258" s="239">
        <f>E258</f>
        <v>23500</v>
      </c>
      <c r="G258" s="239">
        <f t="shared" ref="G258:AJ258" si="38">F258</f>
        <v>23500</v>
      </c>
      <c r="H258" s="239">
        <f t="shared" si="38"/>
        <v>23500</v>
      </c>
      <c r="I258" s="239">
        <f t="shared" si="38"/>
        <v>23500</v>
      </c>
      <c r="J258" s="239">
        <f t="shared" si="38"/>
        <v>23500</v>
      </c>
      <c r="K258" s="239">
        <f t="shared" si="38"/>
        <v>23500</v>
      </c>
      <c r="L258" s="239">
        <f t="shared" si="38"/>
        <v>23500</v>
      </c>
      <c r="M258" s="239">
        <f t="shared" si="38"/>
        <v>23500</v>
      </c>
      <c r="N258" s="239">
        <f t="shared" si="38"/>
        <v>23500</v>
      </c>
      <c r="O258" s="239">
        <f t="shared" si="38"/>
        <v>23500</v>
      </c>
      <c r="P258" s="239">
        <f t="shared" si="38"/>
        <v>23500</v>
      </c>
      <c r="Q258" s="239">
        <f t="shared" si="38"/>
        <v>23500</v>
      </c>
      <c r="R258" s="239">
        <f t="shared" si="38"/>
        <v>23500</v>
      </c>
      <c r="S258" s="239">
        <f t="shared" si="38"/>
        <v>23500</v>
      </c>
      <c r="T258" s="239">
        <f t="shared" si="38"/>
        <v>23500</v>
      </c>
      <c r="U258" s="239">
        <f t="shared" si="38"/>
        <v>23500</v>
      </c>
      <c r="V258" s="239">
        <f t="shared" si="38"/>
        <v>23500</v>
      </c>
      <c r="W258" s="239">
        <f t="shared" si="38"/>
        <v>23500</v>
      </c>
      <c r="X258" s="239">
        <f t="shared" si="38"/>
        <v>23500</v>
      </c>
      <c r="Y258" s="239">
        <f t="shared" si="38"/>
        <v>23500</v>
      </c>
      <c r="Z258" s="239">
        <f t="shared" si="38"/>
        <v>23500</v>
      </c>
      <c r="AA258" s="239">
        <f t="shared" si="38"/>
        <v>23500</v>
      </c>
      <c r="AB258" s="239">
        <f t="shared" si="38"/>
        <v>23500</v>
      </c>
      <c r="AC258" s="239">
        <f t="shared" si="38"/>
        <v>23500</v>
      </c>
      <c r="AD258" s="239">
        <f t="shared" si="38"/>
        <v>23500</v>
      </c>
      <c r="AE258" s="239">
        <f t="shared" si="38"/>
        <v>23500</v>
      </c>
      <c r="AF258" s="239">
        <f t="shared" si="38"/>
        <v>23500</v>
      </c>
      <c r="AG258" s="239">
        <f t="shared" si="38"/>
        <v>23500</v>
      </c>
      <c r="AH258" s="239">
        <f t="shared" si="38"/>
        <v>23500</v>
      </c>
      <c r="AI258" s="239">
        <f t="shared" si="38"/>
        <v>23500</v>
      </c>
      <c r="AJ258" s="239">
        <f t="shared" si="38"/>
        <v>23500</v>
      </c>
      <c r="AK258" s="239">
        <f>AJ258</f>
        <v>23500</v>
      </c>
    </row>
    <row r="259" spans="1:43" s="71" customFormat="1" ht="36.75" customHeight="1" x14ac:dyDescent="0.2">
      <c r="A259" s="694" t="s">
        <v>311</v>
      </c>
      <c r="B259" s="132"/>
      <c r="C259" s="132"/>
      <c r="D259" s="132"/>
      <c r="G259" s="75"/>
      <c r="H259" s="241"/>
      <c r="I259" s="242">
        <v>500</v>
      </c>
      <c r="J259" s="75" t="s">
        <v>294</v>
      </c>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row>
    <row r="260" spans="1:43" s="71" customFormat="1" x14ac:dyDescent="0.2">
      <c r="A260" s="227" t="s">
        <v>306</v>
      </c>
      <c r="B260" s="243">
        <f>B263*B254*365/1000</f>
        <v>943525</v>
      </c>
      <c r="C260" s="243">
        <f t="shared" ref="C260:AJ260" si="39">C263*C254*365/1000</f>
        <v>943525</v>
      </c>
      <c r="D260" s="243">
        <f t="shared" si="39"/>
        <v>943525</v>
      </c>
      <c r="E260" s="243">
        <f t="shared" si="39"/>
        <v>943525</v>
      </c>
      <c r="F260" s="243">
        <f t="shared" si="39"/>
        <v>943525</v>
      </c>
      <c r="G260" s="243">
        <f t="shared" si="39"/>
        <v>943525</v>
      </c>
      <c r="H260" s="243">
        <f t="shared" si="39"/>
        <v>943525</v>
      </c>
      <c r="I260" s="243">
        <f t="shared" si="39"/>
        <v>788400</v>
      </c>
      <c r="J260" s="243">
        <f t="shared" si="39"/>
        <v>788400</v>
      </c>
      <c r="K260" s="243">
        <f t="shared" si="39"/>
        <v>788400</v>
      </c>
      <c r="L260" s="243">
        <f t="shared" si="39"/>
        <v>788400</v>
      </c>
      <c r="M260" s="243">
        <f t="shared" si="39"/>
        <v>788400</v>
      </c>
      <c r="N260" s="243">
        <f t="shared" si="39"/>
        <v>788400</v>
      </c>
      <c r="O260" s="243">
        <f t="shared" si="39"/>
        <v>788400</v>
      </c>
      <c r="P260" s="243">
        <f t="shared" si="39"/>
        <v>788400</v>
      </c>
      <c r="Q260" s="243">
        <f t="shared" si="39"/>
        <v>788400</v>
      </c>
      <c r="R260" s="243">
        <f t="shared" si="39"/>
        <v>788400</v>
      </c>
      <c r="S260" s="243">
        <f t="shared" si="39"/>
        <v>788400</v>
      </c>
      <c r="T260" s="243">
        <f t="shared" si="39"/>
        <v>788400</v>
      </c>
      <c r="U260" s="243">
        <f t="shared" si="39"/>
        <v>788400</v>
      </c>
      <c r="V260" s="243">
        <f t="shared" si="39"/>
        <v>788400</v>
      </c>
      <c r="W260" s="243">
        <f t="shared" si="39"/>
        <v>788400</v>
      </c>
      <c r="X260" s="243">
        <f t="shared" si="39"/>
        <v>788400</v>
      </c>
      <c r="Y260" s="243">
        <f t="shared" si="39"/>
        <v>788400</v>
      </c>
      <c r="Z260" s="243">
        <f t="shared" si="39"/>
        <v>788400</v>
      </c>
      <c r="AA260" s="243">
        <f t="shared" si="39"/>
        <v>788400</v>
      </c>
      <c r="AB260" s="243">
        <f t="shared" si="39"/>
        <v>788400</v>
      </c>
      <c r="AC260" s="243">
        <f t="shared" si="39"/>
        <v>788400</v>
      </c>
      <c r="AD260" s="243">
        <f t="shared" si="39"/>
        <v>788400</v>
      </c>
      <c r="AE260" s="243">
        <f t="shared" si="39"/>
        <v>788400</v>
      </c>
      <c r="AF260" s="243">
        <f t="shared" si="39"/>
        <v>788400</v>
      </c>
      <c r="AG260" s="243">
        <f t="shared" si="39"/>
        <v>788400</v>
      </c>
      <c r="AH260" s="243">
        <f t="shared" si="39"/>
        <v>788400</v>
      </c>
      <c r="AI260" s="243">
        <f t="shared" si="39"/>
        <v>788400</v>
      </c>
      <c r="AJ260" s="243">
        <f t="shared" si="39"/>
        <v>788400</v>
      </c>
      <c r="AK260" s="243">
        <f>AK263*AK254*365/1000</f>
        <v>788400</v>
      </c>
    </row>
    <row r="261" spans="1:43" s="71" customFormat="1" x14ac:dyDescent="0.2">
      <c r="A261" s="227" t="s">
        <v>333</v>
      </c>
      <c r="B261" s="244">
        <f>B263*B254/1000</f>
        <v>2585</v>
      </c>
      <c r="C261" s="244">
        <f t="shared" ref="C261:AJ261" si="40">C263*C254/1000</f>
        <v>2585</v>
      </c>
      <c r="D261" s="244">
        <f t="shared" si="40"/>
        <v>2585</v>
      </c>
      <c r="E261" s="244">
        <f t="shared" si="40"/>
        <v>2585</v>
      </c>
      <c r="F261" s="244">
        <f t="shared" si="40"/>
        <v>2585</v>
      </c>
      <c r="G261" s="244">
        <f t="shared" si="40"/>
        <v>2585</v>
      </c>
      <c r="H261" s="244">
        <f t="shared" si="40"/>
        <v>2585</v>
      </c>
      <c r="I261" s="244">
        <f t="shared" si="40"/>
        <v>2160</v>
      </c>
      <c r="J261" s="244">
        <f t="shared" si="40"/>
        <v>2160</v>
      </c>
      <c r="K261" s="244">
        <f t="shared" si="40"/>
        <v>2160</v>
      </c>
      <c r="L261" s="244">
        <f t="shared" si="40"/>
        <v>2160</v>
      </c>
      <c r="M261" s="244">
        <f t="shared" si="40"/>
        <v>2160</v>
      </c>
      <c r="N261" s="244">
        <f t="shared" si="40"/>
        <v>2160</v>
      </c>
      <c r="O261" s="244">
        <f t="shared" si="40"/>
        <v>2160</v>
      </c>
      <c r="P261" s="244">
        <f t="shared" si="40"/>
        <v>2160</v>
      </c>
      <c r="Q261" s="244">
        <f t="shared" si="40"/>
        <v>2160</v>
      </c>
      <c r="R261" s="244">
        <f t="shared" si="40"/>
        <v>2160</v>
      </c>
      <c r="S261" s="244">
        <f t="shared" si="40"/>
        <v>2160</v>
      </c>
      <c r="T261" s="244">
        <f t="shared" si="40"/>
        <v>2160</v>
      </c>
      <c r="U261" s="244">
        <f t="shared" si="40"/>
        <v>2160</v>
      </c>
      <c r="V261" s="244">
        <f t="shared" si="40"/>
        <v>2160</v>
      </c>
      <c r="W261" s="244">
        <f t="shared" si="40"/>
        <v>2160</v>
      </c>
      <c r="X261" s="244">
        <f t="shared" si="40"/>
        <v>2160</v>
      </c>
      <c r="Y261" s="244">
        <f t="shared" si="40"/>
        <v>2160</v>
      </c>
      <c r="Z261" s="244">
        <f t="shared" si="40"/>
        <v>2160</v>
      </c>
      <c r="AA261" s="244">
        <f t="shared" si="40"/>
        <v>2160</v>
      </c>
      <c r="AB261" s="244">
        <f t="shared" si="40"/>
        <v>2160</v>
      </c>
      <c r="AC261" s="244">
        <f t="shared" si="40"/>
        <v>2160</v>
      </c>
      <c r="AD261" s="244">
        <f t="shared" si="40"/>
        <v>2160</v>
      </c>
      <c r="AE261" s="244">
        <f t="shared" si="40"/>
        <v>2160</v>
      </c>
      <c r="AF261" s="244">
        <f t="shared" si="40"/>
        <v>2160</v>
      </c>
      <c r="AG261" s="244">
        <f t="shared" si="40"/>
        <v>2160</v>
      </c>
      <c r="AH261" s="244">
        <f t="shared" si="40"/>
        <v>2160</v>
      </c>
      <c r="AI261" s="244">
        <f t="shared" si="40"/>
        <v>2160</v>
      </c>
      <c r="AJ261" s="244">
        <f t="shared" si="40"/>
        <v>2160</v>
      </c>
      <c r="AK261" s="244">
        <f>AK263*AK254/1000</f>
        <v>2160</v>
      </c>
    </row>
    <row r="262" spans="1:43" s="71" customFormat="1" x14ac:dyDescent="0.2">
      <c r="A262" s="227" t="s">
        <v>425</v>
      </c>
      <c r="B262" s="245">
        <v>0</v>
      </c>
      <c r="C262" s="134">
        <f>B262*(1+'Datu ievade'!C438)</f>
        <v>0</v>
      </c>
      <c r="D262" s="134">
        <f>C262*(1+'Datu ievade'!D438)</f>
        <v>0</v>
      </c>
      <c r="E262" s="134">
        <f>D262*(1+'Datu ievade'!E438)</f>
        <v>0</v>
      </c>
      <c r="F262" s="134">
        <f>E262*(1+'Datu ievade'!F438)</f>
        <v>0</v>
      </c>
      <c r="G262" s="134">
        <f>F262*(1+'Datu ievade'!G438)</f>
        <v>0</v>
      </c>
      <c r="H262" s="134">
        <f>G262*(1+'Datu ievade'!H438)</f>
        <v>0</v>
      </c>
      <c r="I262" s="134">
        <f>H262*(1+'Datu ievade'!I438)</f>
        <v>0</v>
      </c>
      <c r="J262" s="134">
        <f>I262*(1+'Datu ievade'!J438)</f>
        <v>0</v>
      </c>
      <c r="K262" s="134">
        <f>J262*(1+'Datu ievade'!K438)</f>
        <v>0</v>
      </c>
      <c r="L262" s="134">
        <f>K262*(1+'Datu ievade'!L438)</f>
        <v>0</v>
      </c>
      <c r="M262" s="134">
        <f>L262*(1+'Datu ievade'!M438)</f>
        <v>0</v>
      </c>
      <c r="N262" s="134">
        <f>M262*(1+'Datu ievade'!N438)</f>
        <v>0</v>
      </c>
      <c r="O262" s="134">
        <f>N262*(1+'Datu ievade'!O438)</f>
        <v>0</v>
      </c>
      <c r="P262" s="134">
        <f>O262*(1+'Datu ievade'!P438)</f>
        <v>0</v>
      </c>
      <c r="Q262" s="134">
        <f>P262*(1+'Datu ievade'!Q438)</f>
        <v>0</v>
      </c>
      <c r="R262" s="134">
        <f>Q262*(1+'Datu ievade'!R438)</f>
        <v>0</v>
      </c>
      <c r="S262" s="134">
        <f>R262*(1+'Datu ievade'!S438)</f>
        <v>0</v>
      </c>
      <c r="T262" s="134">
        <f>S262*(1+'Datu ievade'!T438)</f>
        <v>0</v>
      </c>
      <c r="U262" s="134">
        <f>T262*(1+'Datu ievade'!U438)</f>
        <v>0</v>
      </c>
      <c r="V262" s="134">
        <f>U262*(1+'Datu ievade'!V438)</f>
        <v>0</v>
      </c>
      <c r="W262" s="134">
        <f>V262*(1+'Datu ievade'!W438)</f>
        <v>0</v>
      </c>
      <c r="X262" s="134">
        <f>W262*(1+'Datu ievade'!X438)</f>
        <v>0</v>
      </c>
      <c r="Y262" s="134">
        <f>X262*(1+'Datu ievade'!Y438)</f>
        <v>0</v>
      </c>
      <c r="Z262" s="134">
        <f>Y262*(1+'Datu ievade'!Z438)</f>
        <v>0</v>
      </c>
      <c r="AA262" s="134">
        <f>Z262*(1+'Datu ievade'!AA438)</f>
        <v>0</v>
      </c>
      <c r="AB262" s="134">
        <f>AA262*(1+'Datu ievade'!AB438)</f>
        <v>0</v>
      </c>
      <c r="AC262" s="134">
        <f>AB262*(1+'Datu ievade'!AC438)</f>
        <v>0</v>
      </c>
      <c r="AD262" s="134">
        <f>AC262*(1+'Datu ievade'!AD438)</f>
        <v>0</v>
      </c>
      <c r="AE262" s="134">
        <f>AD262*(1+'Datu ievade'!AE438)</f>
        <v>0</v>
      </c>
      <c r="AF262" s="134">
        <f>AE262*(1+'Datu ievade'!AF438)</f>
        <v>0</v>
      </c>
      <c r="AG262" s="134">
        <f>AF262*(1+'Datu ievade'!AG438)</f>
        <v>0</v>
      </c>
      <c r="AH262" s="134">
        <f>AG262*(1+'Datu ievade'!AH438)</f>
        <v>0</v>
      </c>
      <c r="AI262" s="134">
        <f>AH262*(1+'Datu ievade'!AI438)</f>
        <v>0</v>
      </c>
      <c r="AJ262" s="134">
        <f>AI262*(1+'Datu ievade'!AJ438)</f>
        <v>0</v>
      </c>
      <c r="AK262" s="134">
        <f>AJ262*(1+'Datu ievade'!AK438)</f>
        <v>0</v>
      </c>
    </row>
    <row r="263" spans="1:43" s="71" customFormat="1" x14ac:dyDescent="0.2">
      <c r="A263" s="375" t="s">
        <v>295</v>
      </c>
      <c r="B263" s="246">
        <v>110</v>
      </c>
      <c r="C263" s="246">
        <v>110</v>
      </c>
      <c r="D263" s="246">
        <v>110</v>
      </c>
      <c r="E263" s="246">
        <v>110</v>
      </c>
      <c r="F263" s="246">
        <v>110</v>
      </c>
      <c r="G263" s="246">
        <v>110</v>
      </c>
      <c r="H263" s="246">
        <v>110</v>
      </c>
      <c r="I263" s="246">
        <v>90</v>
      </c>
      <c r="J263" s="246">
        <v>90</v>
      </c>
      <c r="K263" s="246">
        <f>J263</f>
        <v>90</v>
      </c>
      <c r="L263" s="246">
        <f t="shared" ref="L263:AK263" si="41">K263</f>
        <v>90</v>
      </c>
      <c r="M263" s="246">
        <f t="shared" si="41"/>
        <v>90</v>
      </c>
      <c r="N263" s="246">
        <f t="shared" si="41"/>
        <v>90</v>
      </c>
      <c r="O263" s="246">
        <f t="shared" si="41"/>
        <v>90</v>
      </c>
      <c r="P263" s="246">
        <f t="shared" si="41"/>
        <v>90</v>
      </c>
      <c r="Q263" s="246">
        <f t="shared" si="41"/>
        <v>90</v>
      </c>
      <c r="R263" s="246">
        <f t="shared" si="41"/>
        <v>90</v>
      </c>
      <c r="S263" s="246">
        <f t="shared" si="41"/>
        <v>90</v>
      </c>
      <c r="T263" s="246">
        <f t="shared" si="41"/>
        <v>90</v>
      </c>
      <c r="U263" s="246">
        <f t="shared" si="41"/>
        <v>90</v>
      </c>
      <c r="V263" s="246">
        <f t="shared" si="41"/>
        <v>90</v>
      </c>
      <c r="W263" s="246">
        <f t="shared" si="41"/>
        <v>90</v>
      </c>
      <c r="X263" s="246">
        <f t="shared" si="41"/>
        <v>90</v>
      </c>
      <c r="Y263" s="246">
        <f t="shared" si="41"/>
        <v>90</v>
      </c>
      <c r="Z263" s="246">
        <f t="shared" si="41"/>
        <v>90</v>
      </c>
      <c r="AA263" s="246">
        <f t="shared" si="41"/>
        <v>90</v>
      </c>
      <c r="AB263" s="246">
        <f t="shared" si="41"/>
        <v>90</v>
      </c>
      <c r="AC263" s="246">
        <f t="shared" si="41"/>
        <v>90</v>
      </c>
      <c r="AD263" s="246">
        <f t="shared" si="41"/>
        <v>90</v>
      </c>
      <c r="AE263" s="246">
        <f t="shared" si="41"/>
        <v>90</v>
      </c>
      <c r="AF263" s="246">
        <f t="shared" si="41"/>
        <v>90</v>
      </c>
      <c r="AG263" s="246">
        <f t="shared" si="41"/>
        <v>90</v>
      </c>
      <c r="AH263" s="246">
        <f t="shared" si="41"/>
        <v>90</v>
      </c>
      <c r="AI263" s="246">
        <f t="shared" si="41"/>
        <v>90</v>
      </c>
      <c r="AJ263" s="246">
        <f t="shared" si="41"/>
        <v>90</v>
      </c>
      <c r="AK263" s="246">
        <f t="shared" si="41"/>
        <v>90</v>
      </c>
    </row>
    <row r="264" spans="1:43" s="71" customFormat="1" x14ac:dyDescent="0.2">
      <c r="A264" s="695" t="s">
        <v>506</v>
      </c>
      <c r="B264" s="247"/>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247"/>
      <c r="AI264" s="247"/>
      <c r="AJ264" s="247"/>
      <c r="AK264" s="247"/>
      <c r="AL264" s="163"/>
      <c r="AM264" s="163"/>
      <c r="AN264" s="163"/>
      <c r="AO264" s="163"/>
    </row>
    <row r="265" spans="1:43" s="71" customFormat="1" x14ac:dyDescent="0.2">
      <c r="A265" s="375" t="s">
        <v>335</v>
      </c>
      <c r="B265" s="248">
        <f t="shared" ref="B265:AJ265" si="42">B267*B258*365/1000</f>
        <v>943525</v>
      </c>
      <c r="C265" s="248">
        <f t="shared" si="42"/>
        <v>943525</v>
      </c>
      <c r="D265" s="248">
        <f t="shared" si="42"/>
        <v>943525</v>
      </c>
      <c r="E265" s="248">
        <f t="shared" si="42"/>
        <v>943525</v>
      </c>
      <c r="F265" s="248">
        <f t="shared" si="42"/>
        <v>943525</v>
      </c>
      <c r="G265" s="248">
        <f t="shared" si="42"/>
        <v>943525</v>
      </c>
      <c r="H265" s="248">
        <f t="shared" si="42"/>
        <v>943525</v>
      </c>
      <c r="I265" s="248">
        <f t="shared" si="42"/>
        <v>943525</v>
      </c>
      <c r="J265" s="248">
        <f t="shared" si="42"/>
        <v>943525</v>
      </c>
      <c r="K265" s="248">
        <f t="shared" si="42"/>
        <v>943525</v>
      </c>
      <c r="L265" s="248">
        <f t="shared" si="42"/>
        <v>943525</v>
      </c>
      <c r="M265" s="248">
        <f t="shared" si="42"/>
        <v>943525</v>
      </c>
      <c r="N265" s="248">
        <f t="shared" si="42"/>
        <v>943525</v>
      </c>
      <c r="O265" s="248">
        <f t="shared" si="42"/>
        <v>943525</v>
      </c>
      <c r="P265" s="248">
        <f t="shared" si="42"/>
        <v>943525</v>
      </c>
      <c r="Q265" s="248">
        <f t="shared" si="42"/>
        <v>943525</v>
      </c>
      <c r="R265" s="248">
        <f t="shared" si="42"/>
        <v>943525</v>
      </c>
      <c r="S265" s="248">
        <f t="shared" si="42"/>
        <v>943525</v>
      </c>
      <c r="T265" s="248">
        <f t="shared" si="42"/>
        <v>943525</v>
      </c>
      <c r="U265" s="248">
        <f t="shared" si="42"/>
        <v>943525</v>
      </c>
      <c r="V265" s="248">
        <f t="shared" si="42"/>
        <v>943525</v>
      </c>
      <c r="W265" s="248">
        <f t="shared" si="42"/>
        <v>943525</v>
      </c>
      <c r="X265" s="248">
        <f t="shared" si="42"/>
        <v>943525</v>
      </c>
      <c r="Y265" s="248">
        <f t="shared" si="42"/>
        <v>943525</v>
      </c>
      <c r="Z265" s="248">
        <f t="shared" si="42"/>
        <v>943525</v>
      </c>
      <c r="AA265" s="248">
        <f t="shared" si="42"/>
        <v>943525</v>
      </c>
      <c r="AB265" s="248">
        <f t="shared" si="42"/>
        <v>943525</v>
      </c>
      <c r="AC265" s="248">
        <f t="shared" si="42"/>
        <v>943525</v>
      </c>
      <c r="AD265" s="248">
        <f t="shared" si="42"/>
        <v>943525</v>
      </c>
      <c r="AE265" s="248">
        <f t="shared" si="42"/>
        <v>943525</v>
      </c>
      <c r="AF265" s="248">
        <f t="shared" si="42"/>
        <v>943525</v>
      </c>
      <c r="AG265" s="248">
        <f t="shared" si="42"/>
        <v>943525</v>
      </c>
      <c r="AH265" s="248">
        <f t="shared" si="42"/>
        <v>943525</v>
      </c>
      <c r="AI265" s="248">
        <f t="shared" si="42"/>
        <v>943525</v>
      </c>
      <c r="AJ265" s="248">
        <f t="shared" si="42"/>
        <v>943525</v>
      </c>
      <c r="AK265" s="248">
        <f>AK267*AK258*365/1000</f>
        <v>943525</v>
      </c>
    </row>
    <row r="266" spans="1:43" s="71" customFormat="1" x14ac:dyDescent="0.2">
      <c r="A266" s="375" t="s">
        <v>336</v>
      </c>
      <c r="B266" s="249">
        <f>B267*B258/1000</f>
        <v>2585</v>
      </c>
      <c r="C266" s="249">
        <f t="shared" ref="C266:AJ266" si="43">C267*C258/1000</f>
        <v>2585</v>
      </c>
      <c r="D266" s="249">
        <f t="shared" si="43"/>
        <v>2585</v>
      </c>
      <c r="E266" s="249">
        <f t="shared" si="43"/>
        <v>2585</v>
      </c>
      <c r="F266" s="249">
        <f t="shared" si="43"/>
        <v>2585</v>
      </c>
      <c r="G266" s="249">
        <f t="shared" si="43"/>
        <v>2585</v>
      </c>
      <c r="H266" s="249">
        <f t="shared" si="43"/>
        <v>2585</v>
      </c>
      <c r="I266" s="249">
        <f t="shared" si="43"/>
        <v>2585</v>
      </c>
      <c r="J266" s="249">
        <f t="shared" si="43"/>
        <v>2585</v>
      </c>
      <c r="K266" s="249">
        <f t="shared" si="43"/>
        <v>2585</v>
      </c>
      <c r="L266" s="249">
        <f t="shared" si="43"/>
        <v>2585</v>
      </c>
      <c r="M266" s="249">
        <f t="shared" si="43"/>
        <v>2585</v>
      </c>
      <c r="N266" s="249">
        <f t="shared" si="43"/>
        <v>2585</v>
      </c>
      <c r="O266" s="249">
        <f t="shared" si="43"/>
        <v>2585</v>
      </c>
      <c r="P266" s="249">
        <f t="shared" si="43"/>
        <v>2585</v>
      </c>
      <c r="Q266" s="249">
        <f t="shared" si="43"/>
        <v>2585</v>
      </c>
      <c r="R266" s="249">
        <f t="shared" si="43"/>
        <v>2585</v>
      </c>
      <c r="S266" s="249">
        <f t="shared" si="43"/>
        <v>2585</v>
      </c>
      <c r="T266" s="249">
        <f t="shared" si="43"/>
        <v>2585</v>
      </c>
      <c r="U266" s="249">
        <f t="shared" si="43"/>
        <v>2585</v>
      </c>
      <c r="V266" s="249">
        <f t="shared" si="43"/>
        <v>2585</v>
      </c>
      <c r="W266" s="249">
        <f t="shared" si="43"/>
        <v>2585</v>
      </c>
      <c r="X266" s="249">
        <f t="shared" si="43"/>
        <v>2585</v>
      </c>
      <c r="Y266" s="249">
        <f t="shared" si="43"/>
        <v>2585</v>
      </c>
      <c r="Z266" s="249">
        <f t="shared" si="43"/>
        <v>2585</v>
      </c>
      <c r="AA266" s="249">
        <f t="shared" si="43"/>
        <v>2585</v>
      </c>
      <c r="AB266" s="249">
        <f t="shared" si="43"/>
        <v>2585</v>
      </c>
      <c r="AC266" s="249">
        <f t="shared" si="43"/>
        <v>2585</v>
      </c>
      <c r="AD266" s="249">
        <f t="shared" si="43"/>
        <v>2585</v>
      </c>
      <c r="AE266" s="249">
        <f t="shared" si="43"/>
        <v>2585</v>
      </c>
      <c r="AF266" s="249">
        <f t="shared" si="43"/>
        <v>2585</v>
      </c>
      <c r="AG266" s="249">
        <f t="shared" si="43"/>
        <v>2585</v>
      </c>
      <c r="AH266" s="249">
        <f t="shared" si="43"/>
        <v>2585</v>
      </c>
      <c r="AI266" s="249">
        <f t="shared" si="43"/>
        <v>2585</v>
      </c>
      <c r="AJ266" s="249">
        <f t="shared" si="43"/>
        <v>2585</v>
      </c>
      <c r="AK266" s="249">
        <f>AK267*AK258/1000</f>
        <v>2585</v>
      </c>
    </row>
    <row r="267" spans="1:43" s="71" customFormat="1" x14ac:dyDescent="0.2">
      <c r="A267" s="375" t="s">
        <v>337</v>
      </c>
      <c r="B267" s="246">
        <v>110</v>
      </c>
      <c r="C267" s="246">
        <v>110</v>
      </c>
      <c r="D267" s="246">
        <v>110</v>
      </c>
      <c r="E267" s="246">
        <v>110</v>
      </c>
      <c r="F267" s="246">
        <v>110</v>
      </c>
      <c r="G267" s="246">
        <v>110</v>
      </c>
      <c r="H267" s="246">
        <f>G267</f>
        <v>110</v>
      </c>
      <c r="I267" s="246">
        <f t="shared" ref="I267:AK267" si="44">H267</f>
        <v>110</v>
      </c>
      <c r="J267" s="246">
        <f t="shared" si="44"/>
        <v>110</v>
      </c>
      <c r="K267" s="246">
        <f t="shared" si="44"/>
        <v>110</v>
      </c>
      <c r="L267" s="246">
        <f t="shared" si="44"/>
        <v>110</v>
      </c>
      <c r="M267" s="246">
        <f t="shared" si="44"/>
        <v>110</v>
      </c>
      <c r="N267" s="246">
        <f t="shared" si="44"/>
        <v>110</v>
      </c>
      <c r="O267" s="246">
        <f t="shared" si="44"/>
        <v>110</v>
      </c>
      <c r="P267" s="246">
        <f t="shared" si="44"/>
        <v>110</v>
      </c>
      <c r="Q267" s="246">
        <f t="shared" si="44"/>
        <v>110</v>
      </c>
      <c r="R267" s="246">
        <f t="shared" si="44"/>
        <v>110</v>
      </c>
      <c r="S267" s="246">
        <f t="shared" si="44"/>
        <v>110</v>
      </c>
      <c r="T267" s="246">
        <f t="shared" si="44"/>
        <v>110</v>
      </c>
      <c r="U267" s="246">
        <f t="shared" si="44"/>
        <v>110</v>
      </c>
      <c r="V267" s="246">
        <f t="shared" si="44"/>
        <v>110</v>
      </c>
      <c r="W267" s="246">
        <f t="shared" si="44"/>
        <v>110</v>
      </c>
      <c r="X267" s="246">
        <f t="shared" si="44"/>
        <v>110</v>
      </c>
      <c r="Y267" s="246">
        <f t="shared" si="44"/>
        <v>110</v>
      </c>
      <c r="Z267" s="246">
        <f t="shared" si="44"/>
        <v>110</v>
      </c>
      <c r="AA267" s="246">
        <f t="shared" si="44"/>
        <v>110</v>
      </c>
      <c r="AB267" s="246">
        <f t="shared" si="44"/>
        <v>110</v>
      </c>
      <c r="AC267" s="246">
        <f t="shared" si="44"/>
        <v>110</v>
      </c>
      <c r="AD267" s="246">
        <f t="shared" si="44"/>
        <v>110</v>
      </c>
      <c r="AE267" s="246">
        <f t="shared" si="44"/>
        <v>110</v>
      </c>
      <c r="AF267" s="246">
        <f t="shared" si="44"/>
        <v>110</v>
      </c>
      <c r="AG267" s="246">
        <f t="shared" si="44"/>
        <v>110</v>
      </c>
      <c r="AH267" s="246">
        <f t="shared" si="44"/>
        <v>110</v>
      </c>
      <c r="AI267" s="246">
        <f t="shared" si="44"/>
        <v>110</v>
      </c>
      <c r="AJ267" s="246">
        <f t="shared" si="44"/>
        <v>110</v>
      </c>
      <c r="AK267" s="246">
        <f t="shared" si="44"/>
        <v>110</v>
      </c>
    </row>
    <row r="268" spans="1:43" s="71" customFormat="1" x14ac:dyDescent="0.2">
      <c r="A268" s="696" t="s">
        <v>303</v>
      </c>
      <c r="B268" s="250"/>
      <c r="C268" s="250"/>
      <c r="D268" s="250"/>
      <c r="E268" s="250"/>
      <c r="F268" s="250"/>
      <c r="G268" s="250"/>
      <c r="H268" s="250"/>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251"/>
      <c r="AL268" s="163"/>
    </row>
    <row r="269" spans="1:43" s="71" customFormat="1" x14ac:dyDescent="0.2">
      <c r="A269" s="375" t="s">
        <v>307</v>
      </c>
      <c r="B269" s="42">
        <v>135000</v>
      </c>
      <c r="C269" s="42">
        <v>135000</v>
      </c>
      <c r="D269" s="42">
        <v>135000</v>
      </c>
      <c r="E269" s="42">
        <v>135000</v>
      </c>
      <c r="F269" s="42">
        <v>135000</v>
      </c>
      <c r="G269" s="42">
        <v>135000</v>
      </c>
      <c r="H269" s="42">
        <v>135000</v>
      </c>
      <c r="I269" s="134">
        <f>H269</f>
        <v>135000</v>
      </c>
      <c r="J269" s="134">
        <f t="shared" ref="J269:AJ269" si="45">I269</f>
        <v>135000</v>
      </c>
      <c r="K269" s="134">
        <f t="shared" si="45"/>
        <v>135000</v>
      </c>
      <c r="L269" s="134">
        <f t="shared" si="45"/>
        <v>135000</v>
      </c>
      <c r="M269" s="134">
        <f t="shared" si="45"/>
        <v>135000</v>
      </c>
      <c r="N269" s="134">
        <f t="shared" si="45"/>
        <v>135000</v>
      </c>
      <c r="O269" s="134">
        <f t="shared" si="45"/>
        <v>135000</v>
      </c>
      <c r="P269" s="134">
        <f t="shared" si="45"/>
        <v>135000</v>
      </c>
      <c r="Q269" s="134">
        <f t="shared" si="45"/>
        <v>135000</v>
      </c>
      <c r="R269" s="134">
        <f t="shared" si="45"/>
        <v>135000</v>
      </c>
      <c r="S269" s="134">
        <f t="shared" si="45"/>
        <v>135000</v>
      </c>
      <c r="T269" s="134">
        <f t="shared" si="45"/>
        <v>135000</v>
      </c>
      <c r="U269" s="134">
        <f t="shared" si="45"/>
        <v>135000</v>
      </c>
      <c r="V269" s="134">
        <f t="shared" si="45"/>
        <v>135000</v>
      </c>
      <c r="W269" s="134">
        <f t="shared" si="45"/>
        <v>135000</v>
      </c>
      <c r="X269" s="134">
        <f t="shared" si="45"/>
        <v>135000</v>
      </c>
      <c r="Y269" s="134">
        <f t="shared" si="45"/>
        <v>135000</v>
      </c>
      <c r="Z269" s="134">
        <f t="shared" si="45"/>
        <v>135000</v>
      </c>
      <c r="AA269" s="134">
        <f t="shared" si="45"/>
        <v>135000</v>
      </c>
      <c r="AB269" s="134">
        <f t="shared" si="45"/>
        <v>135000</v>
      </c>
      <c r="AC269" s="134">
        <f t="shared" si="45"/>
        <v>135000</v>
      </c>
      <c r="AD269" s="134">
        <f t="shared" si="45"/>
        <v>135000</v>
      </c>
      <c r="AE269" s="134">
        <f t="shared" si="45"/>
        <v>135000</v>
      </c>
      <c r="AF269" s="134">
        <f t="shared" si="45"/>
        <v>135000</v>
      </c>
      <c r="AG269" s="134">
        <f t="shared" si="45"/>
        <v>135000</v>
      </c>
      <c r="AH269" s="134">
        <f t="shared" si="45"/>
        <v>135000</v>
      </c>
      <c r="AI269" s="134">
        <f t="shared" si="45"/>
        <v>135000</v>
      </c>
      <c r="AJ269" s="134">
        <f t="shared" si="45"/>
        <v>135000</v>
      </c>
      <c r="AK269" s="134">
        <f>AJ269</f>
        <v>135000</v>
      </c>
    </row>
    <row r="270" spans="1:43" s="71" customFormat="1" x14ac:dyDescent="0.2">
      <c r="A270" s="375" t="s">
        <v>334</v>
      </c>
      <c r="B270" s="253">
        <f>B269/365</f>
        <v>369.86301369863014</v>
      </c>
      <c r="C270" s="253">
        <f t="shared" ref="C270:AJ270" si="46">C269/365</f>
        <v>369.86301369863014</v>
      </c>
      <c r="D270" s="253">
        <f t="shared" si="46"/>
        <v>369.86301369863014</v>
      </c>
      <c r="E270" s="253">
        <f t="shared" si="46"/>
        <v>369.86301369863014</v>
      </c>
      <c r="F270" s="253">
        <f t="shared" si="46"/>
        <v>369.86301369863014</v>
      </c>
      <c r="G270" s="253">
        <f t="shared" si="46"/>
        <v>369.86301369863014</v>
      </c>
      <c r="H270" s="253">
        <f t="shared" si="46"/>
        <v>369.86301369863014</v>
      </c>
      <c r="I270" s="253">
        <f t="shared" si="46"/>
        <v>369.86301369863014</v>
      </c>
      <c r="J270" s="253">
        <f t="shared" si="46"/>
        <v>369.86301369863014</v>
      </c>
      <c r="K270" s="253">
        <f t="shared" si="46"/>
        <v>369.86301369863014</v>
      </c>
      <c r="L270" s="253">
        <f t="shared" si="46"/>
        <v>369.86301369863014</v>
      </c>
      <c r="M270" s="253">
        <f t="shared" si="46"/>
        <v>369.86301369863014</v>
      </c>
      <c r="N270" s="253">
        <f t="shared" si="46"/>
        <v>369.86301369863014</v>
      </c>
      <c r="O270" s="253">
        <f t="shared" si="46"/>
        <v>369.86301369863014</v>
      </c>
      <c r="P270" s="253">
        <f t="shared" si="46"/>
        <v>369.86301369863014</v>
      </c>
      <c r="Q270" s="253">
        <f t="shared" si="46"/>
        <v>369.86301369863014</v>
      </c>
      <c r="R270" s="253">
        <f t="shared" si="46"/>
        <v>369.86301369863014</v>
      </c>
      <c r="S270" s="253">
        <f t="shared" si="46"/>
        <v>369.86301369863014</v>
      </c>
      <c r="T270" s="253">
        <f t="shared" si="46"/>
        <v>369.86301369863014</v>
      </c>
      <c r="U270" s="253">
        <f t="shared" si="46"/>
        <v>369.86301369863014</v>
      </c>
      <c r="V270" s="253">
        <f t="shared" si="46"/>
        <v>369.86301369863014</v>
      </c>
      <c r="W270" s="253">
        <f t="shared" si="46"/>
        <v>369.86301369863014</v>
      </c>
      <c r="X270" s="253">
        <f t="shared" si="46"/>
        <v>369.86301369863014</v>
      </c>
      <c r="Y270" s="253">
        <f t="shared" si="46"/>
        <v>369.86301369863014</v>
      </c>
      <c r="Z270" s="253">
        <f t="shared" si="46"/>
        <v>369.86301369863014</v>
      </c>
      <c r="AA270" s="253">
        <f t="shared" si="46"/>
        <v>369.86301369863014</v>
      </c>
      <c r="AB270" s="253">
        <f t="shared" si="46"/>
        <v>369.86301369863014</v>
      </c>
      <c r="AC270" s="253">
        <f t="shared" si="46"/>
        <v>369.86301369863014</v>
      </c>
      <c r="AD270" s="253">
        <f t="shared" si="46"/>
        <v>369.86301369863014</v>
      </c>
      <c r="AE270" s="253">
        <f t="shared" si="46"/>
        <v>369.86301369863014</v>
      </c>
      <c r="AF270" s="253">
        <f t="shared" si="46"/>
        <v>369.86301369863014</v>
      </c>
      <c r="AG270" s="253">
        <f t="shared" si="46"/>
        <v>369.86301369863014</v>
      </c>
      <c r="AH270" s="253">
        <f t="shared" si="46"/>
        <v>369.86301369863014</v>
      </c>
      <c r="AI270" s="253">
        <f t="shared" si="46"/>
        <v>369.86301369863014</v>
      </c>
      <c r="AJ270" s="253">
        <f t="shared" si="46"/>
        <v>369.86301369863014</v>
      </c>
      <c r="AK270" s="253">
        <f>AK269/365</f>
        <v>369.86301369863014</v>
      </c>
    </row>
    <row r="271" spans="1:43" s="71" customFormat="1" x14ac:dyDescent="0.2">
      <c r="A271" s="375" t="s">
        <v>425</v>
      </c>
      <c r="B271" s="252">
        <v>0</v>
      </c>
      <c r="C271" s="252">
        <v>0</v>
      </c>
      <c r="D271" s="252">
        <v>0</v>
      </c>
      <c r="E271" s="252">
        <v>0</v>
      </c>
      <c r="F271" s="252">
        <v>0</v>
      </c>
      <c r="G271" s="252">
        <v>0</v>
      </c>
      <c r="H271" s="252">
        <v>0</v>
      </c>
      <c r="I271" s="134">
        <f>H271*(1+'Datu ievade'!I438)</f>
        <v>0</v>
      </c>
      <c r="J271" s="134">
        <f>I271*(1+'Datu ievade'!J438)</f>
        <v>0</v>
      </c>
      <c r="K271" s="134">
        <f>J271*(1+'Datu ievade'!K438)</f>
        <v>0</v>
      </c>
      <c r="L271" s="134">
        <f>K271*(1+'Datu ievade'!L438)</f>
        <v>0</v>
      </c>
      <c r="M271" s="134">
        <f>L271*(1+'Datu ievade'!M438)</f>
        <v>0</v>
      </c>
      <c r="N271" s="134">
        <f>M271*(1+'Datu ievade'!N438)</f>
        <v>0</v>
      </c>
      <c r="O271" s="134">
        <f>N271*(1+'Datu ievade'!O438)</f>
        <v>0</v>
      </c>
      <c r="P271" s="134">
        <f>O271*(1+'Datu ievade'!P438)</f>
        <v>0</v>
      </c>
      <c r="Q271" s="134">
        <f>P271*(1+'Datu ievade'!Q438)</f>
        <v>0</v>
      </c>
      <c r="R271" s="134">
        <f>Q271*(1+'Datu ievade'!R438)</f>
        <v>0</v>
      </c>
      <c r="S271" s="134">
        <f>R271*(1+'Datu ievade'!S438)</f>
        <v>0</v>
      </c>
      <c r="T271" s="134">
        <f>S271*(1+'Datu ievade'!T438)</f>
        <v>0</v>
      </c>
      <c r="U271" s="134">
        <f>T271*(1+'Datu ievade'!U438)</f>
        <v>0</v>
      </c>
      <c r="V271" s="134">
        <f>U271*(1+'Datu ievade'!V438)</f>
        <v>0</v>
      </c>
      <c r="W271" s="134">
        <f>V271*(1+'Datu ievade'!W438)</f>
        <v>0</v>
      </c>
      <c r="X271" s="134">
        <f>W271*(1+'Datu ievade'!X438)</f>
        <v>0</v>
      </c>
      <c r="Y271" s="134">
        <f>X271*(1+'Datu ievade'!Y438)</f>
        <v>0</v>
      </c>
      <c r="Z271" s="134">
        <f>Y271*(1+'Datu ievade'!Z438)</f>
        <v>0</v>
      </c>
      <c r="AA271" s="134">
        <f>Z271*(1+'Datu ievade'!AA438)</f>
        <v>0</v>
      </c>
      <c r="AB271" s="134">
        <f>AA271*(1+'Datu ievade'!AB438)</f>
        <v>0</v>
      </c>
      <c r="AC271" s="134">
        <f>AB271*(1+'Datu ievade'!AC438)</f>
        <v>0</v>
      </c>
      <c r="AD271" s="134">
        <f>AC271*(1+'Datu ievade'!AD438)</f>
        <v>0</v>
      </c>
      <c r="AE271" s="134">
        <f>AD271*(1+'Datu ievade'!AE438)</f>
        <v>0</v>
      </c>
      <c r="AF271" s="134">
        <f>AE271*(1+'Datu ievade'!AF438)</f>
        <v>0</v>
      </c>
      <c r="AG271" s="134">
        <f>AF271*(1+'Datu ievade'!AG438)</f>
        <v>0</v>
      </c>
      <c r="AH271" s="134">
        <f>AG271*(1+'Datu ievade'!AH438)</f>
        <v>0</v>
      </c>
      <c r="AI271" s="134">
        <f>AH271*(1+'Datu ievade'!AI438)</f>
        <v>0</v>
      </c>
      <c r="AJ271" s="134">
        <f>AI271*(1+'Datu ievade'!AJ438)</f>
        <v>0</v>
      </c>
      <c r="AK271" s="134">
        <f>AJ271*(1+'Datu ievade'!AK438)</f>
        <v>0</v>
      </c>
    </row>
    <row r="272" spans="1:43" s="71" customFormat="1" x14ac:dyDescent="0.2">
      <c r="A272" s="695" t="s">
        <v>305</v>
      </c>
      <c r="B272" s="254"/>
      <c r="C272" s="254"/>
      <c r="D272" s="254"/>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c r="AA272" s="255"/>
      <c r="AB272" s="255"/>
      <c r="AC272" s="255"/>
      <c r="AD272" s="255"/>
      <c r="AE272" s="255"/>
      <c r="AF272" s="255"/>
      <c r="AG272" s="255"/>
      <c r="AH272" s="255"/>
      <c r="AI272" s="255"/>
      <c r="AJ272" s="255"/>
      <c r="AK272" s="255"/>
      <c r="AL272" s="163"/>
      <c r="AM272" s="163"/>
      <c r="AN272" s="163"/>
      <c r="AO272" s="163"/>
      <c r="AP272" s="163"/>
      <c r="AQ272" s="163"/>
    </row>
    <row r="273" spans="1:44" s="71" customFormat="1" x14ac:dyDescent="0.2">
      <c r="A273" s="375" t="s">
        <v>307</v>
      </c>
      <c r="B273" s="243">
        <f>B269</f>
        <v>135000</v>
      </c>
      <c r="C273" s="243">
        <f>C269</f>
        <v>135000</v>
      </c>
      <c r="D273" s="243">
        <f>D269</f>
        <v>135000</v>
      </c>
      <c r="E273" s="256">
        <f>E269</f>
        <v>135000</v>
      </c>
      <c r="F273" s="256">
        <f>F269</f>
        <v>135000</v>
      </c>
      <c r="G273" s="256">
        <f>F273</f>
        <v>135000</v>
      </c>
      <c r="H273" s="256">
        <f t="shared" ref="H273:AJ273" si="47">G273</f>
        <v>135000</v>
      </c>
      <c r="I273" s="256">
        <f t="shared" si="47"/>
        <v>135000</v>
      </c>
      <c r="J273" s="256">
        <f t="shared" si="47"/>
        <v>135000</v>
      </c>
      <c r="K273" s="256">
        <f t="shared" si="47"/>
        <v>135000</v>
      </c>
      <c r="L273" s="256">
        <f t="shared" si="47"/>
        <v>135000</v>
      </c>
      <c r="M273" s="256">
        <f t="shared" si="47"/>
        <v>135000</v>
      </c>
      <c r="N273" s="256">
        <f t="shared" si="47"/>
        <v>135000</v>
      </c>
      <c r="O273" s="256">
        <f t="shared" si="47"/>
        <v>135000</v>
      </c>
      <c r="P273" s="256">
        <f t="shared" si="47"/>
        <v>135000</v>
      </c>
      <c r="Q273" s="256">
        <f t="shared" si="47"/>
        <v>135000</v>
      </c>
      <c r="R273" s="256">
        <f t="shared" si="47"/>
        <v>135000</v>
      </c>
      <c r="S273" s="256">
        <f t="shared" si="47"/>
        <v>135000</v>
      </c>
      <c r="T273" s="256">
        <f t="shared" si="47"/>
        <v>135000</v>
      </c>
      <c r="U273" s="256">
        <f t="shared" si="47"/>
        <v>135000</v>
      </c>
      <c r="V273" s="256">
        <f t="shared" si="47"/>
        <v>135000</v>
      </c>
      <c r="W273" s="256">
        <f t="shared" si="47"/>
        <v>135000</v>
      </c>
      <c r="X273" s="256">
        <f t="shared" si="47"/>
        <v>135000</v>
      </c>
      <c r="Y273" s="256">
        <f t="shared" si="47"/>
        <v>135000</v>
      </c>
      <c r="Z273" s="256">
        <f t="shared" si="47"/>
        <v>135000</v>
      </c>
      <c r="AA273" s="256">
        <f t="shared" si="47"/>
        <v>135000</v>
      </c>
      <c r="AB273" s="256">
        <f t="shared" si="47"/>
        <v>135000</v>
      </c>
      <c r="AC273" s="256">
        <f t="shared" si="47"/>
        <v>135000</v>
      </c>
      <c r="AD273" s="256">
        <f t="shared" si="47"/>
        <v>135000</v>
      </c>
      <c r="AE273" s="256">
        <f t="shared" si="47"/>
        <v>135000</v>
      </c>
      <c r="AF273" s="256">
        <f t="shared" si="47"/>
        <v>135000</v>
      </c>
      <c r="AG273" s="256">
        <f t="shared" si="47"/>
        <v>135000</v>
      </c>
      <c r="AH273" s="256">
        <f t="shared" si="47"/>
        <v>135000</v>
      </c>
      <c r="AI273" s="256">
        <f t="shared" si="47"/>
        <v>135000</v>
      </c>
      <c r="AJ273" s="256">
        <f t="shared" si="47"/>
        <v>135000</v>
      </c>
      <c r="AK273" s="256">
        <f>AJ273</f>
        <v>135000</v>
      </c>
    </row>
    <row r="274" spans="1:44" s="71" customFormat="1" x14ac:dyDescent="0.2">
      <c r="A274" s="375" t="s">
        <v>425</v>
      </c>
      <c r="B274" s="243">
        <f>B271</f>
        <v>0</v>
      </c>
      <c r="C274" s="243">
        <f>C271</f>
        <v>0</v>
      </c>
      <c r="D274" s="243">
        <f>D271</f>
        <v>0</v>
      </c>
      <c r="E274" s="256">
        <f>E271</f>
        <v>0</v>
      </c>
      <c r="F274" s="256">
        <f t="shared" ref="F274:AJ274" si="48">F271</f>
        <v>0</v>
      </c>
      <c r="G274" s="256">
        <f t="shared" si="48"/>
        <v>0</v>
      </c>
      <c r="H274" s="256">
        <f t="shared" si="48"/>
        <v>0</v>
      </c>
      <c r="I274" s="256">
        <f t="shared" si="48"/>
        <v>0</v>
      </c>
      <c r="J274" s="256">
        <f t="shared" si="48"/>
        <v>0</v>
      </c>
      <c r="K274" s="256">
        <f t="shared" si="48"/>
        <v>0</v>
      </c>
      <c r="L274" s="256">
        <f t="shared" si="48"/>
        <v>0</v>
      </c>
      <c r="M274" s="256">
        <f t="shared" si="48"/>
        <v>0</v>
      </c>
      <c r="N274" s="256">
        <f t="shared" si="48"/>
        <v>0</v>
      </c>
      <c r="O274" s="256">
        <f t="shared" si="48"/>
        <v>0</v>
      </c>
      <c r="P274" s="256">
        <f t="shared" si="48"/>
        <v>0</v>
      </c>
      <c r="Q274" s="256">
        <f t="shared" si="48"/>
        <v>0</v>
      </c>
      <c r="R274" s="256">
        <f t="shared" si="48"/>
        <v>0</v>
      </c>
      <c r="S274" s="256">
        <f t="shared" si="48"/>
        <v>0</v>
      </c>
      <c r="T274" s="256">
        <f t="shared" si="48"/>
        <v>0</v>
      </c>
      <c r="U274" s="256">
        <f t="shared" si="48"/>
        <v>0</v>
      </c>
      <c r="V274" s="256">
        <f t="shared" si="48"/>
        <v>0</v>
      </c>
      <c r="W274" s="256">
        <f t="shared" si="48"/>
        <v>0</v>
      </c>
      <c r="X274" s="256">
        <f t="shared" si="48"/>
        <v>0</v>
      </c>
      <c r="Y274" s="256">
        <f t="shared" si="48"/>
        <v>0</v>
      </c>
      <c r="Z274" s="256">
        <f t="shared" si="48"/>
        <v>0</v>
      </c>
      <c r="AA274" s="256">
        <f t="shared" si="48"/>
        <v>0</v>
      </c>
      <c r="AB274" s="256">
        <f t="shared" si="48"/>
        <v>0</v>
      </c>
      <c r="AC274" s="256">
        <f t="shared" si="48"/>
        <v>0</v>
      </c>
      <c r="AD274" s="256">
        <f t="shared" si="48"/>
        <v>0</v>
      </c>
      <c r="AE274" s="256">
        <f t="shared" si="48"/>
        <v>0</v>
      </c>
      <c r="AF274" s="256">
        <f t="shared" si="48"/>
        <v>0</v>
      </c>
      <c r="AG274" s="256">
        <f t="shared" si="48"/>
        <v>0</v>
      </c>
      <c r="AH274" s="256">
        <f t="shared" si="48"/>
        <v>0</v>
      </c>
      <c r="AI274" s="256">
        <f t="shared" si="48"/>
        <v>0</v>
      </c>
      <c r="AJ274" s="256">
        <f t="shared" si="48"/>
        <v>0</v>
      </c>
      <c r="AK274" s="256">
        <f>AK271</f>
        <v>0</v>
      </c>
    </row>
    <row r="275" spans="1:44" s="71" customFormat="1" x14ac:dyDescent="0.2">
      <c r="A275" s="696" t="s">
        <v>303</v>
      </c>
      <c r="B275" s="243"/>
      <c r="C275" s="243"/>
      <c r="D275" s="243"/>
      <c r="E275" s="256"/>
      <c r="F275" s="256"/>
      <c r="G275" s="256"/>
      <c r="H275" s="256"/>
      <c r="I275" s="256"/>
      <c r="J275" s="256"/>
      <c r="K275" s="256"/>
      <c r="L275" s="256"/>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row>
    <row r="276" spans="1:44" s="71" customFormat="1" x14ac:dyDescent="0.2">
      <c r="A276" s="227" t="s">
        <v>308</v>
      </c>
      <c r="B276" s="245">
        <v>120000</v>
      </c>
      <c r="C276" s="245">
        <v>120000</v>
      </c>
      <c r="D276" s="245">
        <v>120000</v>
      </c>
      <c r="E276" s="245">
        <v>120000</v>
      </c>
      <c r="F276" s="245">
        <v>120000</v>
      </c>
      <c r="G276" s="245">
        <v>120000</v>
      </c>
      <c r="H276" s="245">
        <v>120000</v>
      </c>
      <c r="I276" s="134">
        <f t="shared" ref="I276:AJ276" si="49">H276</f>
        <v>120000</v>
      </c>
      <c r="J276" s="134">
        <f t="shared" si="49"/>
        <v>120000</v>
      </c>
      <c r="K276" s="134">
        <f t="shared" si="49"/>
        <v>120000</v>
      </c>
      <c r="L276" s="134">
        <f t="shared" si="49"/>
        <v>120000</v>
      </c>
      <c r="M276" s="134">
        <f t="shared" si="49"/>
        <v>120000</v>
      </c>
      <c r="N276" s="134">
        <f t="shared" si="49"/>
        <v>120000</v>
      </c>
      <c r="O276" s="134">
        <f t="shared" si="49"/>
        <v>120000</v>
      </c>
      <c r="P276" s="134">
        <f t="shared" si="49"/>
        <v>120000</v>
      </c>
      <c r="Q276" s="134">
        <f t="shared" si="49"/>
        <v>120000</v>
      </c>
      <c r="R276" s="134">
        <f t="shared" si="49"/>
        <v>120000</v>
      </c>
      <c r="S276" s="134">
        <f t="shared" si="49"/>
        <v>120000</v>
      </c>
      <c r="T276" s="134">
        <f t="shared" si="49"/>
        <v>120000</v>
      </c>
      <c r="U276" s="134">
        <f t="shared" si="49"/>
        <v>120000</v>
      </c>
      <c r="V276" s="134">
        <f t="shared" si="49"/>
        <v>120000</v>
      </c>
      <c r="W276" s="134">
        <f t="shared" si="49"/>
        <v>120000</v>
      </c>
      <c r="X276" s="134">
        <f t="shared" si="49"/>
        <v>120000</v>
      </c>
      <c r="Y276" s="134">
        <f t="shared" si="49"/>
        <v>120000</v>
      </c>
      <c r="Z276" s="134">
        <f t="shared" si="49"/>
        <v>120000</v>
      </c>
      <c r="AA276" s="134">
        <f t="shared" si="49"/>
        <v>120000</v>
      </c>
      <c r="AB276" s="134">
        <f t="shared" si="49"/>
        <v>120000</v>
      </c>
      <c r="AC276" s="134">
        <f t="shared" si="49"/>
        <v>120000</v>
      </c>
      <c r="AD276" s="134">
        <f t="shared" si="49"/>
        <v>120000</v>
      </c>
      <c r="AE276" s="134">
        <f t="shared" si="49"/>
        <v>120000</v>
      </c>
      <c r="AF276" s="134">
        <f t="shared" si="49"/>
        <v>120000</v>
      </c>
      <c r="AG276" s="134">
        <f t="shared" si="49"/>
        <v>120000</v>
      </c>
      <c r="AH276" s="134">
        <f t="shared" si="49"/>
        <v>120000</v>
      </c>
      <c r="AI276" s="134">
        <f t="shared" si="49"/>
        <v>120000</v>
      </c>
      <c r="AJ276" s="134">
        <f t="shared" si="49"/>
        <v>120000</v>
      </c>
      <c r="AK276" s="134">
        <f>AJ276</f>
        <v>120000</v>
      </c>
    </row>
    <row r="277" spans="1:44" s="71" customFormat="1" x14ac:dyDescent="0.2">
      <c r="A277" s="227" t="s">
        <v>338</v>
      </c>
      <c r="B277" s="244">
        <f>B276/365</f>
        <v>328.76712328767121</v>
      </c>
      <c r="C277" s="244">
        <f t="shared" ref="C277:AJ277" si="50">C276/365</f>
        <v>328.76712328767121</v>
      </c>
      <c r="D277" s="244">
        <f t="shared" si="50"/>
        <v>328.76712328767121</v>
      </c>
      <c r="E277" s="244">
        <f t="shared" si="50"/>
        <v>328.76712328767121</v>
      </c>
      <c r="F277" s="244">
        <f t="shared" si="50"/>
        <v>328.76712328767121</v>
      </c>
      <c r="G277" s="244">
        <f t="shared" si="50"/>
        <v>328.76712328767121</v>
      </c>
      <c r="H277" s="244">
        <f t="shared" si="50"/>
        <v>328.76712328767121</v>
      </c>
      <c r="I277" s="244">
        <f t="shared" si="50"/>
        <v>328.76712328767121</v>
      </c>
      <c r="J277" s="244">
        <f t="shared" si="50"/>
        <v>328.76712328767121</v>
      </c>
      <c r="K277" s="244">
        <f t="shared" si="50"/>
        <v>328.76712328767121</v>
      </c>
      <c r="L277" s="244">
        <f t="shared" si="50"/>
        <v>328.76712328767121</v>
      </c>
      <c r="M277" s="244">
        <f t="shared" si="50"/>
        <v>328.76712328767121</v>
      </c>
      <c r="N277" s="244">
        <f t="shared" si="50"/>
        <v>328.76712328767121</v>
      </c>
      <c r="O277" s="244">
        <f t="shared" si="50"/>
        <v>328.76712328767121</v>
      </c>
      <c r="P277" s="244">
        <f t="shared" si="50"/>
        <v>328.76712328767121</v>
      </c>
      <c r="Q277" s="244">
        <f t="shared" si="50"/>
        <v>328.76712328767121</v>
      </c>
      <c r="R277" s="244">
        <f t="shared" si="50"/>
        <v>328.76712328767121</v>
      </c>
      <c r="S277" s="244">
        <f t="shared" si="50"/>
        <v>328.76712328767121</v>
      </c>
      <c r="T277" s="244">
        <f t="shared" si="50"/>
        <v>328.76712328767121</v>
      </c>
      <c r="U277" s="244">
        <f t="shared" si="50"/>
        <v>328.76712328767121</v>
      </c>
      <c r="V277" s="244">
        <f t="shared" si="50"/>
        <v>328.76712328767121</v>
      </c>
      <c r="W277" s="244">
        <f t="shared" si="50"/>
        <v>328.76712328767121</v>
      </c>
      <c r="X277" s="244">
        <f t="shared" si="50"/>
        <v>328.76712328767121</v>
      </c>
      <c r="Y277" s="244">
        <f t="shared" si="50"/>
        <v>328.76712328767121</v>
      </c>
      <c r="Z277" s="244">
        <f t="shared" si="50"/>
        <v>328.76712328767121</v>
      </c>
      <c r="AA277" s="244">
        <f t="shared" si="50"/>
        <v>328.76712328767121</v>
      </c>
      <c r="AB277" s="244">
        <f t="shared" si="50"/>
        <v>328.76712328767121</v>
      </c>
      <c r="AC277" s="244">
        <f t="shared" si="50"/>
        <v>328.76712328767121</v>
      </c>
      <c r="AD277" s="244">
        <f t="shared" si="50"/>
        <v>328.76712328767121</v>
      </c>
      <c r="AE277" s="244">
        <f t="shared" si="50"/>
        <v>328.76712328767121</v>
      </c>
      <c r="AF277" s="244">
        <f t="shared" si="50"/>
        <v>328.76712328767121</v>
      </c>
      <c r="AG277" s="244">
        <f t="shared" si="50"/>
        <v>328.76712328767121</v>
      </c>
      <c r="AH277" s="244">
        <f t="shared" si="50"/>
        <v>328.76712328767121</v>
      </c>
      <c r="AI277" s="244">
        <f t="shared" si="50"/>
        <v>328.76712328767121</v>
      </c>
      <c r="AJ277" s="244">
        <f t="shared" si="50"/>
        <v>328.76712328767121</v>
      </c>
      <c r="AK277" s="244">
        <f>AK276/365</f>
        <v>328.76712328767121</v>
      </c>
    </row>
    <row r="278" spans="1:44" s="71" customFormat="1" x14ac:dyDescent="0.2">
      <c r="A278" s="227" t="s">
        <v>425</v>
      </c>
      <c r="B278" s="245">
        <v>0</v>
      </c>
      <c r="C278" s="245">
        <v>0</v>
      </c>
      <c r="D278" s="245">
        <v>0</v>
      </c>
      <c r="E278" s="245">
        <v>0</v>
      </c>
      <c r="F278" s="245">
        <v>0</v>
      </c>
      <c r="G278" s="245">
        <v>0</v>
      </c>
      <c r="H278" s="245">
        <v>0</v>
      </c>
      <c r="I278" s="134">
        <f>H278*(1+'Datu ievade'!I438)</f>
        <v>0</v>
      </c>
      <c r="J278" s="134">
        <f>I278*(1+'Datu ievade'!J438)</f>
        <v>0</v>
      </c>
      <c r="K278" s="134">
        <f>J278*(1+'Datu ievade'!K438)</f>
        <v>0</v>
      </c>
      <c r="L278" s="134">
        <f>K278*(1+'Datu ievade'!L438)</f>
        <v>0</v>
      </c>
      <c r="M278" s="134">
        <f>L278*(1+'Datu ievade'!M438)</f>
        <v>0</v>
      </c>
      <c r="N278" s="134">
        <f>M278*(1+'Datu ievade'!N438)</f>
        <v>0</v>
      </c>
      <c r="O278" s="134">
        <f>N278*(1+'Datu ievade'!O438)</f>
        <v>0</v>
      </c>
      <c r="P278" s="134">
        <f>O278*(1+'Datu ievade'!P438)</f>
        <v>0</v>
      </c>
      <c r="Q278" s="134">
        <f>P278*(1+'Datu ievade'!Q438)</f>
        <v>0</v>
      </c>
      <c r="R278" s="134">
        <f>Q278*(1+'Datu ievade'!R438)</f>
        <v>0</v>
      </c>
      <c r="S278" s="134">
        <f>R278*(1+'Datu ievade'!S438)</f>
        <v>0</v>
      </c>
      <c r="T278" s="134">
        <f>S278*(1+'Datu ievade'!T438)</f>
        <v>0</v>
      </c>
      <c r="U278" s="134">
        <f>T278*(1+'Datu ievade'!U438)</f>
        <v>0</v>
      </c>
      <c r="V278" s="134">
        <f>U278*(1+'Datu ievade'!V438)</f>
        <v>0</v>
      </c>
      <c r="W278" s="134">
        <f>V278*(1+'Datu ievade'!W438)</f>
        <v>0</v>
      </c>
      <c r="X278" s="134">
        <f>W278*(1+'Datu ievade'!X438)</f>
        <v>0</v>
      </c>
      <c r="Y278" s="134">
        <f>X278*(1+'Datu ievade'!Y438)</f>
        <v>0</v>
      </c>
      <c r="Z278" s="134">
        <f>Y278*(1+'Datu ievade'!Z438)</f>
        <v>0</v>
      </c>
      <c r="AA278" s="134">
        <f>Z278*(1+'Datu ievade'!AA438)</f>
        <v>0</v>
      </c>
      <c r="AB278" s="134">
        <f>AA278*(1+'Datu ievade'!AB438)</f>
        <v>0</v>
      </c>
      <c r="AC278" s="134">
        <f>AB278*(1+'Datu ievade'!AC438)</f>
        <v>0</v>
      </c>
      <c r="AD278" s="134">
        <f>AC278*(1+'Datu ievade'!AD438)</f>
        <v>0</v>
      </c>
      <c r="AE278" s="134">
        <f>AD278*(1+'Datu ievade'!AE438)</f>
        <v>0</v>
      </c>
      <c r="AF278" s="134">
        <f>AE278*(1+'Datu ievade'!AF438)</f>
        <v>0</v>
      </c>
      <c r="AG278" s="134">
        <f>AF278*(1+'Datu ievade'!AG438)</f>
        <v>0</v>
      </c>
      <c r="AH278" s="134">
        <f>AG278*(1+'Datu ievade'!AH438)</f>
        <v>0</v>
      </c>
      <c r="AI278" s="134">
        <f>AH278*(1+'Datu ievade'!AI438)</f>
        <v>0</v>
      </c>
      <c r="AJ278" s="134">
        <f>AI278*(1+'Datu ievade'!AJ438)</f>
        <v>0</v>
      </c>
      <c r="AK278" s="134">
        <f>AJ278*(1+'Datu ievade'!AK438)</f>
        <v>0</v>
      </c>
    </row>
    <row r="279" spans="1:44" s="71" customFormat="1" x14ac:dyDescent="0.2">
      <c r="A279" s="697" t="s">
        <v>304</v>
      </c>
      <c r="B279" s="254"/>
      <c r="C279" s="254"/>
      <c r="D279" s="254"/>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c r="AA279" s="255"/>
      <c r="AB279" s="255"/>
      <c r="AC279" s="255"/>
      <c r="AD279" s="255"/>
      <c r="AE279" s="255"/>
      <c r="AF279" s="255"/>
      <c r="AG279" s="255"/>
      <c r="AH279" s="255"/>
      <c r="AI279" s="255"/>
      <c r="AJ279" s="255"/>
      <c r="AK279" s="255"/>
      <c r="AL279" s="163"/>
      <c r="AM279" s="163"/>
      <c r="AN279" s="163"/>
      <c r="AO279" s="163"/>
      <c r="AP279" s="163"/>
      <c r="AQ279" s="163"/>
      <c r="AR279" s="163"/>
    </row>
    <row r="280" spans="1:44" s="71" customFormat="1" x14ac:dyDescent="0.2">
      <c r="A280" s="227" t="s">
        <v>308</v>
      </c>
      <c r="B280" s="243">
        <f>B276</f>
        <v>120000</v>
      </c>
      <c r="C280" s="243">
        <f t="shared" ref="C280:AJ280" si="51">C276</f>
        <v>120000</v>
      </c>
      <c r="D280" s="243">
        <f t="shared" si="51"/>
        <v>120000</v>
      </c>
      <c r="E280" s="243">
        <f t="shared" si="51"/>
        <v>120000</v>
      </c>
      <c r="F280" s="243">
        <f t="shared" si="51"/>
        <v>120000</v>
      </c>
      <c r="G280" s="243">
        <f t="shared" si="51"/>
        <v>120000</v>
      </c>
      <c r="H280" s="243">
        <f t="shared" si="51"/>
        <v>120000</v>
      </c>
      <c r="I280" s="243">
        <f t="shared" si="51"/>
        <v>120000</v>
      </c>
      <c r="J280" s="243">
        <f t="shared" si="51"/>
        <v>120000</v>
      </c>
      <c r="K280" s="243">
        <f t="shared" si="51"/>
        <v>120000</v>
      </c>
      <c r="L280" s="243">
        <f t="shared" si="51"/>
        <v>120000</v>
      </c>
      <c r="M280" s="243">
        <f t="shared" si="51"/>
        <v>120000</v>
      </c>
      <c r="N280" s="243">
        <f t="shared" si="51"/>
        <v>120000</v>
      </c>
      <c r="O280" s="243">
        <f t="shared" si="51"/>
        <v>120000</v>
      </c>
      <c r="P280" s="243">
        <f t="shared" si="51"/>
        <v>120000</v>
      </c>
      <c r="Q280" s="243">
        <f t="shared" si="51"/>
        <v>120000</v>
      </c>
      <c r="R280" s="243">
        <f t="shared" si="51"/>
        <v>120000</v>
      </c>
      <c r="S280" s="243">
        <f t="shared" si="51"/>
        <v>120000</v>
      </c>
      <c r="T280" s="243">
        <f t="shared" si="51"/>
        <v>120000</v>
      </c>
      <c r="U280" s="243">
        <f t="shared" si="51"/>
        <v>120000</v>
      </c>
      <c r="V280" s="243">
        <f t="shared" si="51"/>
        <v>120000</v>
      </c>
      <c r="W280" s="243">
        <f t="shared" si="51"/>
        <v>120000</v>
      </c>
      <c r="X280" s="243">
        <f t="shared" si="51"/>
        <v>120000</v>
      </c>
      <c r="Y280" s="243">
        <f t="shared" si="51"/>
        <v>120000</v>
      </c>
      <c r="Z280" s="243">
        <f t="shared" si="51"/>
        <v>120000</v>
      </c>
      <c r="AA280" s="243">
        <f t="shared" si="51"/>
        <v>120000</v>
      </c>
      <c r="AB280" s="243">
        <f t="shared" si="51"/>
        <v>120000</v>
      </c>
      <c r="AC280" s="243">
        <f t="shared" si="51"/>
        <v>120000</v>
      </c>
      <c r="AD280" s="243">
        <f t="shared" si="51"/>
        <v>120000</v>
      </c>
      <c r="AE280" s="243">
        <f t="shared" si="51"/>
        <v>120000</v>
      </c>
      <c r="AF280" s="243">
        <f t="shared" si="51"/>
        <v>120000</v>
      </c>
      <c r="AG280" s="243">
        <f t="shared" si="51"/>
        <v>120000</v>
      </c>
      <c r="AH280" s="243">
        <f t="shared" si="51"/>
        <v>120000</v>
      </c>
      <c r="AI280" s="243">
        <f t="shared" si="51"/>
        <v>120000</v>
      </c>
      <c r="AJ280" s="243">
        <f t="shared" si="51"/>
        <v>120000</v>
      </c>
      <c r="AK280" s="243">
        <f>AK276</f>
        <v>120000</v>
      </c>
    </row>
    <row r="281" spans="1:44" s="71" customFormat="1" x14ac:dyDescent="0.2">
      <c r="A281" s="227" t="s">
        <v>425</v>
      </c>
      <c r="B281" s="243">
        <f>B278</f>
        <v>0</v>
      </c>
      <c r="C281" s="243">
        <f t="shared" ref="C281:AJ281" si="52">C278</f>
        <v>0</v>
      </c>
      <c r="D281" s="243">
        <f t="shared" si="52"/>
        <v>0</v>
      </c>
      <c r="E281" s="243">
        <f t="shared" si="52"/>
        <v>0</v>
      </c>
      <c r="F281" s="243">
        <f t="shared" si="52"/>
        <v>0</v>
      </c>
      <c r="G281" s="243">
        <f t="shared" si="52"/>
        <v>0</v>
      </c>
      <c r="H281" s="243">
        <f t="shared" si="52"/>
        <v>0</v>
      </c>
      <c r="I281" s="243">
        <f t="shared" si="52"/>
        <v>0</v>
      </c>
      <c r="J281" s="243">
        <f t="shared" si="52"/>
        <v>0</v>
      </c>
      <c r="K281" s="243">
        <f t="shared" si="52"/>
        <v>0</v>
      </c>
      <c r="L281" s="243">
        <f t="shared" si="52"/>
        <v>0</v>
      </c>
      <c r="M281" s="243">
        <f t="shared" si="52"/>
        <v>0</v>
      </c>
      <c r="N281" s="243">
        <f t="shared" si="52"/>
        <v>0</v>
      </c>
      <c r="O281" s="243">
        <f t="shared" si="52"/>
        <v>0</v>
      </c>
      <c r="P281" s="243">
        <f t="shared" si="52"/>
        <v>0</v>
      </c>
      <c r="Q281" s="243">
        <f t="shared" si="52"/>
        <v>0</v>
      </c>
      <c r="R281" s="243">
        <f t="shared" si="52"/>
        <v>0</v>
      </c>
      <c r="S281" s="243">
        <f t="shared" si="52"/>
        <v>0</v>
      </c>
      <c r="T281" s="243">
        <f t="shared" si="52"/>
        <v>0</v>
      </c>
      <c r="U281" s="243">
        <f t="shared" si="52"/>
        <v>0</v>
      </c>
      <c r="V281" s="243">
        <f t="shared" si="52"/>
        <v>0</v>
      </c>
      <c r="W281" s="243">
        <f t="shared" si="52"/>
        <v>0</v>
      </c>
      <c r="X281" s="243">
        <f t="shared" si="52"/>
        <v>0</v>
      </c>
      <c r="Y281" s="243">
        <f t="shared" si="52"/>
        <v>0</v>
      </c>
      <c r="Z281" s="243">
        <f t="shared" si="52"/>
        <v>0</v>
      </c>
      <c r="AA281" s="243">
        <f t="shared" si="52"/>
        <v>0</v>
      </c>
      <c r="AB281" s="243">
        <f t="shared" si="52"/>
        <v>0</v>
      </c>
      <c r="AC281" s="243">
        <f t="shared" si="52"/>
        <v>0</v>
      </c>
      <c r="AD281" s="243">
        <f t="shared" si="52"/>
        <v>0</v>
      </c>
      <c r="AE281" s="243">
        <f t="shared" si="52"/>
        <v>0</v>
      </c>
      <c r="AF281" s="243">
        <f t="shared" si="52"/>
        <v>0</v>
      </c>
      <c r="AG281" s="243">
        <f t="shared" si="52"/>
        <v>0</v>
      </c>
      <c r="AH281" s="243">
        <f t="shared" si="52"/>
        <v>0</v>
      </c>
      <c r="AI281" s="243">
        <f t="shared" si="52"/>
        <v>0</v>
      </c>
      <c r="AJ281" s="243">
        <f t="shared" si="52"/>
        <v>0</v>
      </c>
      <c r="AK281" s="243">
        <f>AK278</f>
        <v>0</v>
      </c>
    </row>
    <row r="282" spans="1:44" s="71" customFormat="1" ht="25.5" x14ac:dyDescent="0.2">
      <c r="A282" s="698" t="s">
        <v>309</v>
      </c>
      <c r="B282" s="257">
        <f t="shared" ref="B282:AJ282" si="53">B260+B269+B276</f>
        <v>1198525</v>
      </c>
      <c r="C282" s="257">
        <f t="shared" si="53"/>
        <v>1198525</v>
      </c>
      <c r="D282" s="257">
        <f t="shared" si="53"/>
        <v>1198525</v>
      </c>
      <c r="E282" s="257">
        <f t="shared" si="53"/>
        <v>1198525</v>
      </c>
      <c r="F282" s="257">
        <f t="shared" si="53"/>
        <v>1198525</v>
      </c>
      <c r="G282" s="257">
        <f t="shared" si="53"/>
        <v>1198525</v>
      </c>
      <c r="H282" s="257">
        <f t="shared" si="53"/>
        <v>1198525</v>
      </c>
      <c r="I282" s="257">
        <f t="shared" si="53"/>
        <v>1043400</v>
      </c>
      <c r="J282" s="257">
        <f t="shared" si="53"/>
        <v>1043400</v>
      </c>
      <c r="K282" s="257">
        <f t="shared" si="53"/>
        <v>1043400</v>
      </c>
      <c r="L282" s="257">
        <f t="shared" si="53"/>
        <v>1043400</v>
      </c>
      <c r="M282" s="257">
        <f t="shared" si="53"/>
        <v>1043400</v>
      </c>
      <c r="N282" s="257">
        <f t="shared" si="53"/>
        <v>1043400</v>
      </c>
      <c r="O282" s="257">
        <f t="shared" si="53"/>
        <v>1043400</v>
      </c>
      <c r="P282" s="257">
        <f t="shared" si="53"/>
        <v>1043400</v>
      </c>
      <c r="Q282" s="257">
        <f t="shared" si="53"/>
        <v>1043400</v>
      </c>
      <c r="R282" s="257">
        <f t="shared" si="53"/>
        <v>1043400</v>
      </c>
      <c r="S282" s="257">
        <f t="shared" si="53"/>
        <v>1043400</v>
      </c>
      <c r="T282" s="257">
        <f t="shared" si="53"/>
        <v>1043400</v>
      </c>
      <c r="U282" s="257">
        <f t="shared" si="53"/>
        <v>1043400</v>
      </c>
      <c r="V282" s="257">
        <f t="shared" si="53"/>
        <v>1043400</v>
      </c>
      <c r="W282" s="257">
        <f t="shared" si="53"/>
        <v>1043400</v>
      </c>
      <c r="X282" s="257">
        <f t="shared" si="53"/>
        <v>1043400</v>
      </c>
      <c r="Y282" s="257">
        <f t="shared" si="53"/>
        <v>1043400</v>
      </c>
      <c r="Z282" s="257">
        <f t="shared" si="53"/>
        <v>1043400</v>
      </c>
      <c r="AA282" s="257">
        <f t="shared" si="53"/>
        <v>1043400</v>
      </c>
      <c r="AB282" s="257">
        <f t="shared" si="53"/>
        <v>1043400</v>
      </c>
      <c r="AC282" s="257">
        <f t="shared" si="53"/>
        <v>1043400</v>
      </c>
      <c r="AD282" s="257">
        <f t="shared" si="53"/>
        <v>1043400</v>
      </c>
      <c r="AE282" s="257">
        <f t="shared" si="53"/>
        <v>1043400</v>
      </c>
      <c r="AF282" s="257">
        <f t="shared" si="53"/>
        <v>1043400</v>
      </c>
      <c r="AG282" s="257">
        <f t="shared" si="53"/>
        <v>1043400</v>
      </c>
      <c r="AH282" s="257">
        <f t="shared" si="53"/>
        <v>1043400</v>
      </c>
      <c r="AI282" s="257">
        <f t="shared" si="53"/>
        <v>1043400</v>
      </c>
      <c r="AJ282" s="257">
        <f t="shared" si="53"/>
        <v>1043400</v>
      </c>
      <c r="AK282" s="257">
        <f>AK260+AK269+AK276</f>
        <v>1043400</v>
      </c>
    </row>
    <row r="283" spans="1:44" s="71" customFormat="1" ht="25.5" x14ac:dyDescent="0.2">
      <c r="A283" s="697" t="s">
        <v>310</v>
      </c>
      <c r="B283" s="257">
        <f t="shared" ref="B283:AJ283" si="54">B265+B273+B280</f>
        <v>1198525</v>
      </c>
      <c r="C283" s="257">
        <f t="shared" si="54"/>
        <v>1198525</v>
      </c>
      <c r="D283" s="257">
        <f t="shared" si="54"/>
        <v>1198525</v>
      </c>
      <c r="E283" s="257">
        <f t="shared" si="54"/>
        <v>1198525</v>
      </c>
      <c r="F283" s="257">
        <f t="shared" si="54"/>
        <v>1198525</v>
      </c>
      <c r="G283" s="257">
        <f t="shared" si="54"/>
        <v>1198525</v>
      </c>
      <c r="H283" s="257">
        <f t="shared" si="54"/>
        <v>1198525</v>
      </c>
      <c r="I283" s="257">
        <f t="shared" si="54"/>
        <v>1198525</v>
      </c>
      <c r="J283" s="257">
        <f t="shared" si="54"/>
        <v>1198525</v>
      </c>
      <c r="K283" s="257">
        <f t="shared" si="54"/>
        <v>1198525</v>
      </c>
      <c r="L283" s="257">
        <f t="shared" si="54"/>
        <v>1198525</v>
      </c>
      <c r="M283" s="257">
        <f t="shared" si="54"/>
        <v>1198525</v>
      </c>
      <c r="N283" s="257">
        <f t="shared" si="54"/>
        <v>1198525</v>
      </c>
      <c r="O283" s="257">
        <f t="shared" si="54"/>
        <v>1198525</v>
      </c>
      <c r="P283" s="257">
        <f t="shared" si="54"/>
        <v>1198525</v>
      </c>
      <c r="Q283" s="257">
        <f t="shared" si="54"/>
        <v>1198525</v>
      </c>
      <c r="R283" s="257">
        <f t="shared" si="54"/>
        <v>1198525</v>
      </c>
      <c r="S283" s="257">
        <f t="shared" si="54"/>
        <v>1198525</v>
      </c>
      <c r="T283" s="257">
        <f t="shared" si="54"/>
        <v>1198525</v>
      </c>
      <c r="U283" s="257">
        <f t="shared" si="54"/>
        <v>1198525</v>
      </c>
      <c r="V283" s="257">
        <f t="shared" si="54"/>
        <v>1198525</v>
      </c>
      <c r="W283" s="257">
        <f t="shared" si="54"/>
        <v>1198525</v>
      </c>
      <c r="X283" s="257">
        <f t="shared" si="54"/>
        <v>1198525</v>
      </c>
      <c r="Y283" s="257">
        <f t="shared" si="54"/>
        <v>1198525</v>
      </c>
      <c r="Z283" s="257">
        <f t="shared" si="54"/>
        <v>1198525</v>
      </c>
      <c r="AA283" s="257">
        <f t="shared" si="54"/>
        <v>1198525</v>
      </c>
      <c r="AB283" s="257">
        <f t="shared" si="54"/>
        <v>1198525</v>
      </c>
      <c r="AC283" s="257">
        <f t="shared" si="54"/>
        <v>1198525</v>
      </c>
      <c r="AD283" s="257">
        <f t="shared" si="54"/>
        <v>1198525</v>
      </c>
      <c r="AE283" s="257">
        <f t="shared" si="54"/>
        <v>1198525</v>
      </c>
      <c r="AF283" s="257">
        <f t="shared" si="54"/>
        <v>1198525</v>
      </c>
      <c r="AG283" s="257">
        <f t="shared" si="54"/>
        <v>1198525</v>
      </c>
      <c r="AH283" s="257">
        <f t="shared" si="54"/>
        <v>1198525</v>
      </c>
      <c r="AI283" s="257">
        <f t="shared" si="54"/>
        <v>1198525</v>
      </c>
      <c r="AJ283" s="257">
        <f t="shared" si="54"/>
        <v>1198525</v>
      </c>
      <c r="AK283" s="257">
        <f>AK265+AK273+AK280</f>
        <v>1198525</v>
      </c>
    </row>
    <row r="284" spans="1:44" s="71" customFormat="1" x14ac:dyDescent="0.2">
      <c r="A284" s="278"/>
      <c r="B284" s="257">
        <f>B252</f>
        <v>2011</v>
      </c>
      <c r="C284" s="257">
        <f>B284+1</f>
        <v>2012</v>
      </c>
      <c r="D284" s="257">
        <f t="shared" ref="D284:AJ284" si="55">C284+1</f>
        <v>2013</v>
      </c>
      <c r="E284" s="257">
        <f t="shared" si="55"/>
        <v>2014</v>
      </c>
      <c r="F284" s="257">
        <f t="shared" si="55"/>
        <v>2015</v>
      </c>
      <c r="G284" s="257">
        <f t="shared" si="55"/>
        <v>2016</v>
      </c>
      <c r="H284" s="257">
        <f t="shared" si="55"/>
        <v>2017</v>
      </c>
      <c r="I284" s="257">
        <f t="shared" si="55"/>
        <v>2018</v>
      </c>
      <c r="J284" s="257">
        <f t="shared" si="55"/>
        <v>2019</v>
      </c>
      <c r="K284" s="257">
        <f t="shared" si="55"/>
        <v>2020</v>
      </c>
      <c r="L284" s="257">
        <f t="shared" si="55"/>
        <v>2021</v>
      </c>
      <c r="M284" s="257">
        <f t="shared" si="55"/>
        <v>2022</v>
      </c>
      <c r="N284" s="257">
        <f t="shared" si="55"/>
        <v>2023</v>
      </c>
      <c r="O284" s="257">
        <f t="shared" si="55"/>
        <v>2024</v>
      </c>
      <c r="P284" s="257">
        <f t="shared" si="55"/>
        <v>2025</v>
      </c>
      <c r="Q284" s="257">
        <f t="shared" si="55"/>
        <v>2026</v>
      </c>
      <c r="R284" s="257">
        <f t="shared" si="55"/>
        <v>2027</v>
      </c>
      <c r="S284" s="257">
        <f t="shared" si="55"/>
        <v>2028</v>
      </c>
      <c r="T284" s="257">
        <f t="shared" si="55"/>
        <v>2029</v>
      </c>
      <c r="U284" s="257">
        <f t="shared" si="55"/>
        <v>2030</v>
      </c>
      <c r="V284" s="257">
        <f t="shared" si="55"/>
        <v>2031</v>
      </c>
      <c r="W284" s="257">
        <f t="shared" si="55"/>
        <v>2032</v>
      </c>
      <c r="X284" s="257">
        <f t="shared" si="55"/>
        <v>2033</v>
      </c>
      <c r="Y284" s="257">
        <f t="shared" si="55"/>
        <v>2034</v>
      </c>
      <c r="Z284" s="257">
        <f t="shared" si="55"/>
        <v>2035</v>
      </c>
      <c r="AA284" s="257">
        <f t="shared" si="55"/>
        <v>2036</v>
      </c>
      <c r="AB284" s="257">
        <f t="shared" si="55"/>
        <v>2037</v>
      </c>
      <c r="AC284" s="257">
        <f t="shared" si="55"/>
        <v>2038</v>
      </c>
      <c r="AD284" s="257">
        <f t="shared" si="55"/>
        <v>2039</v>
      </c>
      <c r="AE284" s="257">
        <f t="shared" si="55"/>
        <v>2040</v>
      </c>
      <c r="AF284" s="257">
        <f t="shared" si="55"/>
        <v>2041</v>
      </c>
      <c r="AG284" s="257">
        <f t="shared" si="55"/>
        <v>2042</v>
      </c>
      <c r="AH284" s="257">
        <f t="shared" si="55"/>
        <v>2043</v>
      </c>
      <c r="AI284" s="257">
        <f t="shared" si="55"/>
        <v>2044</v>
      </c>
      <c r="AJ284" s="257">
        <f t="shared" si="55"/>
        <v>2045</v>
      </c>
      <c r="AK284" s="257">
        <f>AJ284+1</f>
        <v>2046</v>
      </c>
    </row>
    <row r="285" spans="1:44" s="71" customFormat="1" x14ac:dyDescent="0.2">
      <c r="A285" s="203" t="s">
        <v>59</v>
      </c>
      <c r="B285" s="258">
        <f>B252</f>
        <v>2011</v>
      </c>
      <c r="C285" s="258">
        <f t="shared" ref="C285:AK285" si="56">C252</f>
        <v>2012</v>
      </c>
      <c r="D285" s="258">
        <f t="shared" si="56"/>
        <v>2013</v>
      </c>
      <c r="E285" s="258">
        <f t="shared" si="56"/>
        <v>2014</v>
      </c>
      <c r="F285" s="258">
        <f t="shared" si="56"/>
        <v>2015</v>
      </c>
      <c r="G285" s="258">
        <f t="shared" si="56"/>
        <v>2016</v>
      </c>
      <c r="H285" s="258">
        <f t="shared" si="56"/>
        <v>2017</v>
      </c>
      <c r="I285" s="258">
        <f t="shared" si="56"/>
        <v>2018</v>
      </c>
      <c r="J285" s="258">
        <f t="shared" si="56"/>
        <v>2019</v>
      </c>
      <c r="K285" s="258">
        <f t="shared" si="56"/>
        <v>2020</v>
      </c>
      <c r="L285" s="258">
        <f t="shared" si="56"/>
        <v>2021</v>
      </c>
      <c r="M285" s="258">
        <f t="shared" si="56"/>
        <v>2022</v>
      </c>
      <c r="N285" s="258">
        <f t="shared" si="56"/>
        <v>2023</v>
      </c>
      <c r="O285" s="258">
        <f t="shared" si="56"/>
        <v>2024</v>
      </c>
      <c r="P285" s="258">
        <f t="shared" si="56"/>
        <v>2025</v>
      </c>
      <c r="Q285" s="258">
        <f t="shared" si="56"/>
        <v>2026</v>
      </c>
      <c r="R285" s="258">
        <f t="shared" si="56"/>
        <v>2027</v>
      </c>
      <c r="S285" s="258">
        <f t="shared" si="56"/>
        <v>2028</v>
      </c>
      <c r="T285" s="258">
        <f t="shared" si="56"/>
        <v>2029</v>
      </c>
      <c r="U285" s="258">
        <f t="shared" si="56"/>
        <v>2030</v>
      </c>
      <c r="V285" s="258">
        <f t="shared" si="56"/>
        <v>2031</v>
      </c>
      <c r="W285" s="258">
        <f t="shared" si="56"/>
        <v>2032</v>
      </c>
      <c r="X285" s="258">
        <f t="shared" si="56"/>
        <v>2033</v>
      </c>
      <c r="Y285" s="258">
        <f t="shared" si="56"/>
        <v>2034</v>
      </c>
      <c r="Z285" s="258">
        <f t="shared" si="56"/>
        <v>2035</v>
      </c>
      <c r="AA285" s="258">
        <f t="shared" si="56"/>
        <v>2036</v>
      </c>
      <c r="AB285" s="258">
        <f t="shared" si="56"/>
        <v>2037</v>
      </c>
      <c r="AC285" s="258">
        <f t="shared" si="56"/>
        <v>2038</v>
      </c>
      <c r="AD285" s="258">
        <f t="shared" si="56"/>
        <v>2039</v>
      </c>
      <c r="AE285" s="258">
        <f t="shared" si="56"/>
        <v>2040</v>
      </c>
      <c r="AF285" s="258">
        <f t="shared" si="56"/>
        <v>2041</v>
      </c>
      <c r="AG285" s="258">
        <f t="shared" si="56"/>
        <v>2042</v>
      </c>
      <c r="AH285" s="258">
        <f t="shared" si="56"/>
        <v>2043</v>
      </c>
      <c r="AI285" s="258">
        <f t="shared" si="56"/>
        <v>2044</v>
      </c>
      <c r="AJ285" s="258">
        <f t="shared" si="56"/>
        <v>2045</v>
      </c>
      <c r="AK285" s="258">
        <f t="shared" si="56"/>
        <v>2046</v>
      </c>
    </row>
    <row r="286" spans="1:44" s="71" customFormat="1" ht="33.75" x14ac:dyDescent="0.2">
      <c r="A286" s="699" t="s">
        <v>311</v>
      </c>
      <c r="B286" s="259"/>
      <c r="C286" s="259"/>
      <c r="D286" s="259"/>
      <c r="E286" s="260"/>
      <c r="F286" s="75"/>
      <c r="G286" s="75"/>
      <c r="H286" s="261"/>
      <c r="I286" s="242">
        <v>5300</v>
      </c>
      <c r="J286" s="75" t="s">
        <v>294</v>
      </c>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224"/>
      <c r="AI286" s="224"/>
      <c r="AJ286" s="75"/>
      <c r="AK286" s="75"/>
    </row>
    <row r="287" spans="1:44" s="71" customFormat="1" ht="25.5" x14ac:dyDescent="0.2">
      <c r="A287" s="690" t="s">
        <v>518</v>
      </c>
      <c r="B287" s="806">
        <v>25000</v>
      </c>
      <c r="C287" s="654">
        <v>25000</v>
      </c>
      <c r="D287" s="654">
        <v>25000</v>
      </c>
      <c r="E287" s="654">
        <v>25000</v>
      </c>
      <c r="F287" s="654">
        <v>25000</v>
      </c>
      <c r="G287" s="654">
        <v>25000</v>
      </c>
      <c r="H287" s="235">
        <f t="shared" ref="H287:AK287" si="57">G287</f>
        <v>25000</v>
      </c>
      <c r="I287" s="235">
        <f t="shared" si="57"/>
        <v>25000</v>
      </c>
      <c r="J287" s="236">
        <f t="shared" si="57"/>
        <v>25000</v>
      </c>
      <c r="K287" s="236">
        <f t="shared" si="57"/>
        <v>25000</v>
      </c>
      <c r="L287" s="236">
        <f t="shared" si="57"/>
        <v>25000</v>
      </c>
      <c r="M287" s="236">
        <f t="shared" si="57"/>
        <v>25000</v>
      </c>
      <c r="N287" s="236">
        <f t="shared" si="57"/>
        <v>25000</v>
      </c>
      <c r="O287" s="236">
        <f t="shared" si="57"/>
        <v>25000</v>
      </c>
      <c r="P287" s="236">
        <f t="shared" si="57"/>
        <v>25000</v>
      </c>
      <c r="Q287" s="236">
        <f t="shared" si="57"/>
        <v>25000</v>
      </c>
      <c r="R287" s="236">
        <f t="shared" si="57"/>
        <v>25000</v>
      </c>
      <c r="S287" s="236">
        <f t="shared" si="57"/>
        <v>25000</v>
      </c>
      <c r="T287" s="236">
        <f t="shared" si="57"/>
        <v>25000</v>
      </c>
      <c r="U287" s="236">
        <f t="shared" si="57"/>
        <v>25000</v>
      </c>
      <c r="V287" s="236">
        <f t="shared" si="57"/>
        <v>25000</v>
      </c>
      <c r="W287" s="236">
        <f t="shared" si="57"/>
        <v>25000</v>
      </c>
      <c r="X287" s="236">
        <f t="shared" si="57"/>
        <v>25000</v>
      </c>
      <c r="Y287" s="236">
        <f t="shared" si="57"/>
        <v>25000</v>
      </c>
      <c r="Z287" s="236">
        <f t="shared" si="57"/>
        <v>25000</v>
      </c>
      <c r="AA287" s="236">
        <f t="shared" si="57"/>
        <v>25000</v>
      </c>
      <c r="AB287" s="236">
        <f t="shared" si="57"/>
        <v>25000</v>
      </c>
      <c r="AC287" s="236">
        <f t="shared" si="57"/>
        <v>25000</v>
      </c>
      <c r="AD287" s="236">
        <f t="shared" si="57"/>
        <v>25000</v>
      </c>
      <c r="AE287" s="236">
        <f t="shared" si="57"/>
        <v>25000</v>
      </c>
      <c r="AF287" s="236">
        <f t="shared" si="57"/>
        <v>25000</v>
      </c>
      <c r="AG287" s="236">
        <f t="shared" si="57"/>
        <v>25000</v>
      </c>
      <c r="AH287" s="236">
        <f t="shared" si="57"/>
        <v>25000</v>
      </c>
      <c r="AI287" s="236">
        <f t="shared" si="57"/>
        <v>25000</v>
      </c>
      <c r="AJ287" s="236">
        <f t="shared" si="57"/>
        <v>25000</v>
      </c>
      <c r="AK287" s="236">
        <f t="shared" si="57"/>
        <v>25000</v>
      </c>
    </row>
    <row r="288" spans="1:44" s="71" customFormat="1" x14ac:dyDescent="0.2">
      <c r="A288" s="691" t="s">
        <v>296</v>
      </c>
      <c r="B288" s="237">
        <v>18500</v>
      </c>
      <c r="C288" s="237">
        <v>18500</v>
      </c>
      <c r="D288" s="237">
        <v>18500</v>
      </c>
      <c r="E288" s="237">
        <v>18500</v>
      </c>
      <c r="F288" s="237">
        <v>18500</v>
      </c>
      <c r="G288" s="237">
        <v>18500</v>
      </c>
      <c r="H288" s="237">
        <v>18500</v>
      </c>
      <c r="I288" s="655">
        <f>H288+I286</f>
        <v>23800</v>
      </c>
      <c r="J288" s="656">
        <f t="shared" ref="J288:AJ288" si="58">I288</f>
        <v>23800</v>
      </c>
      <c r="K288" s="656">
        <f t="shared" si="58"/>
        <v>23800</v>
      </c>
      <c r="L288" s="656">
        <f t="shared" si="58"/>
        <v>23800</v>
      </c>
      <c r="M288" s="208">
        <f t="shared" si="58"/>
        <v>23800</v>
      </c>
      <c r="N288" s="208">
        <f t="shared" si="58"/>
        <v>23800</v>
      </c>
      <c r="O288" s="208">
        <f t="shared" si="58"/>
        <v>23800</v>
      </c>
      <c r="P288" s="208">
        <f t="shared" si="58"/>
        <v>23800</v>
      </c>
      <c r="Q288" s="208">
        <f t="shared" si="58"/>
        <v>23800</v>
      </c>
      <c r="R288" s="208">
        <f t="shared" si="58"/>
        <v>23800</v>
      </c>
      <c r="S288" s="208">
        <f t="shared" si="58"/>
        <v>23800</v>
      </c>
      <c r="T288" s="208">
        <f t="shared" si="58"/>
        <v>23800</v>
      </c>
      <c r="U288" s="208">
        <f t="shared" si="58"/>
        <v>23800</v>
      </c>
      <c r="V288" s="208">
        <f t="shared" si="58"/>
        <v>23800</v>
      </c>
      <c r="W288" s="208">
        <f t="shared" si="58"/>
        <v>23800</v>
      </c>
      <c r="X288" s="208">
        <f t="shared" si="58"/>
        <v>23800</v>
      </c>
      <c r="Y288" s="208">
        <f t="shared" si="58"/>
        <v>23800</v>
      </c>
      <c r="Z288" s="208">
        <f t="shared" si="58"/>
        <v>23800</v>
      </c>
      <c r="AA288" s="208">
        <f t="shared" si="58"/>
        <v>23800</v>
      </c>
      <c r="AB288" s="208">
        <f t="shared" si="58"/>
        <v>23800</v>
      </c>
      <c r="AC288" s="208">
        <f t="shared" si="58"/>
        <v>23800</v>
      </c>
      <c r="AD288" s="208">
        <f t="shared" si="58"/>
        <v>23800</v>
      </c>
      <c r="AE288" s="208">
        <f t="shared" si="58"/>
        <v>23800</v>
      </c>
      <c r="AF288" s="208">
        <f t="shared" si="58"/>
        <v>23800</v>
      </c>
      <c r="AG288" s="208">
        <f t="shared" si="58"/>
        <v>23800</v>
      </c>
      <c r="AH288" s="208">
        <f t="shared" si="58"/>
        <v>23800</v>
      </c>
      <c r="AI288" s="208">
        <f t="shared" si="58"/>
        <v>23800</v>
      </c>
      <c r="AJ288" s="208">
        <f t="shared" si="58"/>
        <v>23800</v>
      </c>
      <c r="AK288" s="208">
        <f>AJ288</f>
        <v>23800</v>
      </c>
    </row>
    <row r="289" spans="1:37" s="71" customFormat="1" x14ac:dyDescent="0.2">
      <c r="A289" s="691" t="s">
        <v>381</v>
      </c>
      <c r="B289" s="238">
        <f>B288/B287</f>
        <v>0.74</v>
      </c>
      <c r="C289" s="238">
        <f t="shared" ref="C289:AK289" si="59">C288/C287</f>
        <v>0.74</v>
      </c>
      <c r="D289" s="238">
        <f t="shared" si="59"/>
        <v>0.74</v>
      </c>
      <c r="E289" s="238">
        <f t="shared" si="59"/>
        <v>0.74</v>
      </c>
      <c r="F289" s="238">
        <f t="shared" si="59"/>
        <v>0.74</v>
      </c>
      <c r="G289" s="238">
        <f t="shared" si="59"/>
        <v>0.74</v>
      </c>
      <c r="H289" s="238">
        <f t="shared" si="59"/>
        <v>0.74</v>
      </c>
      <c r="I289" s="238">
        <f t="shared" si="59"/>
        <v>0.95199999999999996</v>
      </c>
      <c r="J289" s="238">
        <f t="shared" si="59"/>
        <v>0.95199999999999996</v>
      </c>
      <c r="K289" s="238">
        <f t="shared" si="59"/>
        <v>0.95199999999999996</v>
      </c>
      <c r="L289" s="238">
        <f t="shared" si="59"/>
        <v>0.95199999999999996</v>
      </c>
      <c r="M289" s="238">
        <f t="shared" si="59"/>
        <v>0.95199999999999996</v>
      </c>
      <c r="N289" s="238">
        <f t="shared" si="59"/>
        <v>0.95199999999999996</v>
      </c>
      <c r="O289" s="238">
        <f t="shared" si="59"/>
        <v>0.95199999999999996</v>
      </c>
      <c r="P289" s="238">
        <f t="shared" si="59"/>
        <v>0.95199999999999996</v>
      </c>
      <c r="Q289" s="238">
        <f t="shared" si="59"/>
        <v>0.95199999999999996</v>
      </c>
      <c r="R289" s="238">
        <f t="shared" si="59"/>
        <v>0.95199999999999996</v>
      </c>
      <c r="S289" s="238">
        <f t="shared" si="59"/>
        <v>0.95199999999999996</v>
      </c>
      <c r="T289" s="238">
        <f t="shared" si="59"/>
        <v>0.95199999999999996</v>
      </c>
      <c r="U289" s="238">
        <f t="shared" si="59"/>
        <v>0.95199999999999996</v>
      </c>
      <c r="V289" s="238">
        <f t="shared" si="59"/>
        <v>0.95199999999999996</v>
      </c>
      <c r="W289" s="238">
        <f t="shared" si="59"/>
        <v>0.95199999999999996</v>
      </c>
      <c r="X289" s="238">
        <f t="shared" si="59"/>
        <v>0.95199999999999996</v>
      </c>
      <c r="Y289" s="238">
        <f t="shared" si="59"/>
        <v>0.95199999999999996</v>
      </c>
      <c r="Z289" s="238">
        <f t="shared" si="59"/>
        <v>0.95199999999999996</v>
      </c>
      <c r="AA289" s="238">
        <f t="shared" si="59"/>
        <v>0.95199999999999996</v>
      </c>
      <c r="AB289" s="238">
        <f t="shared" si="59"/>
        <v>0.95199999999999996</v>
      </c>
      <c r="AC289" s="238">
        <f t="shared" si="59"/>
        <v>0.95199999999999996</v>
      </c>
      <c r="AD289" s="238">
        <f t="shared" si="59"/>
        <v>0.95199999999999996</v>
      </c>
      <c r="AE289" s="238">
        <f t="shared" si="59"/>
        <v>0.95199999999999996</v>
      </c>
      <c r="AF289" s="238">
        <f t="shared" si="59"/>
        <v>0.95199999999999996</v>
      </c>
      <c r="AG289" s="238">
        <f t="shared" si="59"/>
        <v>0.95199999999999996</v>
      </c>
      <c r="AH289" s="238">
        <f t="shared" si="59"/>
        <v>0.95199999999999996</v>
      </c>
      <c r="AI289" s="238">
        <f t="shared" si="59"/>
        <v>0.95199999999999996</v>
      </c>
      <c r="AJ289" s="238">
        <f t="shared" si="59"/>
        <v>0.95199999999999996</v>
      </c>
      <c r="AK289" s="238">
        <f t="shared" si="59"/>
        <v>0.95199999999999996</v>
      </c>
    </row>
    <row r="290" spans="1:37" s="71" customFormat="1" x14ac:dyDescent="0.2">
      <c r="A290" s="691" t="s">
        <v>297</v>
      </c>
      <c r="B290" s="239">
        <f t="shared" ref="B290:AJ290" si="60">B288/$B$39</f>
        <v>7400</v>
      </c>
      <c r="C290" s="240">
        <f t="shared" si="60"/>
        <v>7400</v>
      </c>
      <c r="D290" s="239">
        <f t="shared" si="60"/>
        <v>7400</v>
      </c>
      <c r="E290" s="239">
        <f t="shared" si="60"/>
        <v>7400</v>
      </c>
      <c r="F290" s="239">
        <f t="shared" si="60"/>
        <v>7400</v>
      </c>
      <c r="G290" s="239">
        <f t="shared" si="60"/>
        <v>7400</v>
      </c>
      <c r="H290" s="239">
        <f t="shared" si="60"/>
        <v>7400</v>
      </c>
      <c r="I290" s="239">
        <f t="shared" si="60"/>
        <v>9520</v>
      </c>
      <c r="J290" s="239">
        <f t="shared" si="60"/>
        <v>9520</v>
      </c>
      <c r="K290" s="239">
        <f t="shared" si="60"/>
        <v>9520</v>
      </c>
      <c r="L290" s="239">
        <f t="shared" si="60"/>
        <v>9520</v>
      </c>
      <c r="M290" s="239">
        <f t="shared" si="60"/>
        <v>9520</v>
      </c>
      <c r="N290" s="239">
        <f t="shared" si="60"/>
        <v>9520</v>
      </c>
      <c r="O290" s="239">
        <f t="shared" si="60"/>
        <v>9520</v>
      </c>
      <c r="P290" s="239">
        <f t="shared" si="60"/>
        <v>9520</v>
      </c>
      <c r="Q290" s="239">
        <f t="shared" si="60"/>
        <v>9520</v>
      </c>
      <c r="R290" s="239">
        <f t="shared" si="60"/>
        <v>9520</v>
      </c>
      <c r="S290" s="239">
        <f t="shared" si="60"/>
        <v>9520</v>
      </c>
      <c r="T290" s="239">
        <f t="shared" si="60"/>
        <v>9520</v>
      </c>
      <c r="U290" s="239">
        <f t="shared" si="60"/>
        <v>9520</v>
      </c>
      <c r="V290" s="239">
        <f t="shared" si="60"/>
        <v>9520</v>
      </c>
      <c r="W290" s="239">
        <f t="shared" si="60"/>
        <v>9520</v>
      </c>
      <c r="X290" s="239">
        <f t="shared" si="60"/>
        <v>9520</v>
      </c>
      <c r="Y290" s="239">
        <f t="shared" si="60"/>
        <v>9520</v>
      </c>
      <c r="Z290" s="239">
        <f t="shared" si="60"/>
        <v>9520</v>
      </c>
      <c r="AA290" s="239">
        <f t="shared" si="60"/>
        <v>9520</v>
      </c>
      <c r="AB290" s="239">
        <f t="shared" si="60"/>
        <v>9520</v>
      </c>
      <c r="AC290" s="239">
        <f t="shared" si="60"/>
        <v>9520</v>
      </c>
      <c r="AD290" s="239">
        <f t="shared" si="60"/>
        <v>9520</v>
      </c>
      <c r="AE290" s="239">
        <f t="shared" si="60"/>
        <v>9520</v>
      </c>
      <c r="AF290" s="239">
        <f t="shared" si="60"/>
        <v>9520</v>
      </c>
      <c r="AG290" s="239">
        <f t="shared" si="60"/>
        <v>9520</v>
      </c>
      <c r="AH290" s="239">
        <f t="shared" si="60"/>
        <v>9520</v>
      </c>
      <c r="AI290" s="239">
        <f t="shared" si="60"/>
        <v>9520</v>
      </c>
      <c r="AJ290" s="239">
        <f t="shared" si="60"/>
        <v>9520</v>
      </c>
      <c r="AK290" s="239">
        <f>AK288/$B$39</f>
        <v>9520</v>
      </c>
    </row>
    <row r="291" spans="1:37" s="71" customFormat="1" x14ac:dyDescent="0.2">
      <c r="A291" s="700" t="s">
        <v>305</v>
      </c>
      <c r="B291" s="239"/>
      <c r="C291" s="239"/>
      <c r="D291" s="239"/>
      <c r="E291" s="239"/>
      <c r="F291" s="239"/>
      <c r="G291" s="239"/>
      <c r="H291" s="239"/>
      <c r="I291" s="239"/>
      <c r="J291" s="239"/>
      <c r="K291" s="239"/>
      <c r="L291" s="239"/>
      <c r="M291" s="239"/>
      <c r="N291" s="239"/>
      <c r="O291" s="239"/>
      <c r="P291" s="239"/>
      <c r="Q291" s="239"/>
      <c r="R291" s="239"/>
      <c r="S291" s="239"/>
      <c r="T291" s="239"/>
      <c r="U291" s="239"/>
      <c r="V291" s="239"/>
      <c r="W291" s="239"/>
      <c r="X291" s="239"/>
      <c r="Y291" s="239"/>
      <c r="Z291" s="239"/>
      <c r="AA291" s="239"/>
      <c r="AB291" s="239"/>
      <c r="AC291" s="239"/>
      <c r="AD291" s="239"/>
      <c r="AE291" s="239"/>
      <c r="AF291" s="239"/>
      <c r="AG291" s="239"/>
      <c r="AH291" s="239"/>
      <c r="AI291" s="239"/>
      <c r="AJ291" s="239"/>
      <c r="AK291" s="239"/>
    </row>
    <row r="292" spans="1:37" s="71" customFormat="1" x14ac:dyDescent="0.2">
      <c r="A292" s="691" t="s">
        <v>296</v>
      </c>
      <c r="B292" s="239">
        <f t="shared" ref="B292:H292" si="61">B288</f>
        <v>18500</v>
      </c>
      <c r="C292" s="239">
        <f t="shared" si="61"/>
        <v>18500</v>
      </c>
      <c r="D292" s="239">
        <f t="shared" si="61"/>
        <v>18500</v>
      </c>
      <c r="E292" s="239">
        <f t="shared" si="61"/>
        <v>18500</v>
      </c>
      <c r="F292" s="239">
        <f t="shared" si="61"/>
        <v>18500</v>
      </c>
      <c r="G292" s="239">
        <f t="shared" si="61"/>
        <v>18500</v>
      </c>
      <c r="H292" s="239">
        <f t="shared" si="61"/>
        <v>18500</v>
      </c>
      <c r="I292" s="239">
        <f t="shared" ref="I292:AJ292" si="62">H292</f>
        <v>18500</v>
      </c>
      <c r="J292" s="239">
        <f t="shared" si="62"/>
        <v>18500</v>
      </c>
      <c r="K292" s="239">
        <f t="shared" si="62"/>
        <v>18500</v>
      </c>
      <c r="L292" s="239">
        <f t="shared" si="62"/>
        <v>18500</v>
      </c>
      <c r="M292" s="239">
        <f t="shared" si="62"/>
        <v>18500</v>
      </c>
      <c r="N292" s="239">
        <f t="shared" si="62"/>
        <v>18500</v>
      </c>
      <c r="O292" s="239">
        <f t="shared" si="62"/>
        <v>18500</v>
      </c>
      <c r="P292" s="239">
        <f t="shared" si="62"/>
        <v>18500</v>
      </c>
      <c r="Q292" s="239">
        <f t="shared" si="62"/>
        <v>18500</v>
      </c>
      <c r="R292" s="239">
        <f t="shared" si="62"/>
        <v>18500</v>
      </c>
      <c r="S292" s="239">
        <f t="shared" si="62"/>
        <v>18500</v>
      </c>
      <c r="T292" s="239">
        <f t="shared" si="62"/>
        <v>18500</v>
      </c>
      <c r="U292" s="239">
        <f t="shared" si="62"/>
        <v>18500</v>
      </c>
      <c r="V292" s="239">
        <f t="shared" si="62"/>
        <v>18500</v>
      </c>
      <c r="W292" s="239">
        <f t="shared" si="62"/>
        <v>18500</v>
      </c>
      <c r="X292" s="239">
        <f t="shared" si="62"/>
        <v>18500</v>
      </c>
      <c r="Y292" s="239">
        <f t="shared" si="62"/>
        <v>18500</v>
      </c>
      <c r="Z292" s="239">
        <f t="shared" si="62"/>
        <v>18500</v>
      </c>
      <c r="AA292" s="239">
        <f t="shared" si="62"/>
        <v>18500</v>
      </c>
      <c r="AB292" s="239">
        <f t="shared" si="62"/>
        <v>18500</v>
      </c>
      <c r="AC292" s="239">
        <f t="shared" si="62"/>
        <v>18500</v>
      </c>
      <c r="AD292" s="239">
        <f t="shared" si="62"/>
        <v>18500</v>
      </c>
      <c r="AE292" s="239">
        <f t="shared" si="62"/>
        <v>18500</v>
      </c>
      <c r="AF292" s="239">
        <f t="shared" si="62"/>
        <v>18500</v>
      </c>
      <c r="AG292" s="239">
        <f t="shared" si="62"/>
        <v>18500</v>
      </c>
      <c r="AH292" s="239">
        <f t="shared" si="62"/>
        <v>18500</v>
      </c>
      <c r="AI292" s="239">
        <f t="shared" si="62"/>
        <v>18500</v>
      </c>
      <c r="AJ292" s="239">
        <f t="shared" si="62"/>
        <v>18500</v>
      </c>
      <c r="AK292" s="239">
        <f>AJ292</f>
        <v>18500</v>
      </c>
    </row>
    <row r="293" spans="1:37" s="71" customFormat="1" x14ac:dyDescent="0.2">
      <c r="A293" s="691" t="s">
        <v>297</v>
      </c>
      <c r="B293" s="239">
        <f>B290</f>
        <v>7400</v>
      </c>
      <c r="C293" s="239">
        <f>C290</f>
        <v>7400</v>
      </c>
      <c r="D293" s="239">
        <f>D290</f>
        <v>7400</v>
      </c>
      <c r="E293" s="239">
        <f>E290</f>
        <v>7400</v>
      </c>
      <c r="F293" s="239">
        <f>F292/$B$39</f>
        <v>7400</v>
      </c>
      <c r="G293" s="239">
        <f t="shared" ref="G293:AJ293" si="63">G292/$B$39</f>
        <v>7400</v>
      </c>
      <c r="H293" s="239">
        <f t="shared" si="63"/>
        <v>7400</v>
      </c>
      <c r="I293" s="239">
        <f t="shared" si="63"/>
        <v>7400</v>
      </c>
      <c r="J293" s="239">
        <f t="shared" si="63"/>
        <v>7400</v>
      </c>
      <c r="K293" s="239">
        <f t="shared" si="63"/>
        <v>7400</v>
      </c>
      <c r="L293" s="239">
        <f t="shared" si="63"/>
        <v>7400</v>
      </c>
      <c r="M293" s="239">
        <f t="shared" si="63"/>
        <v>7400</v>
      </c>
      <c r="N293" s="239">
        <f t="shared" si="63"/>
        <v>7400</v>
      </c>
      <c r="O293" s="239">
        <f t="shared" si="63"/>
        <v>7400</v>
      </c>
      <c r="P293" s="239">
        <f t="shared" si="63"/>
        <v>7400</v>
      </c>
      <c r="Q293" s="239">
        <f t="shared" si="63"/>
        <v>7400</v>
      </c>
      <c r="R293" s="239">
        <f t="shared" si="63"/>
        <v>7400</v>
      </c>
      <c r="S293" s="239">
        <f t="shared" si="63"/>
        <v>7400</v>
      </c>
      <c r="T293" s="239">
        <f t="shared" si="63"/>
        <v>7400</v>
      </c>
      <c r="U293" s="239">
        <f t="shared" si="63"/>
        <v>7400</v>
      </c>
      <c r="V293" s="239">
        <f t="shared" si="63"/>
        <v>7400</v>
      </c>
      <c r="W293" s="239">
        <f t="shared" si="63"/>
        <v>7400</v>
      </c>
      <c r="X293" s="239">
        <f t="shared" si="63"/>
        <v>7400</v>
      </c>
      <c r="Y293" s="239">
        <f t="shared" si="63"/>
        <v>7400</v>
      </c>
      <c r="Z293" s="239">
        <f t="shared" si="63"/>
        <v>7400</v>
      </c>
      <c r="AA293" s="239">
        <f t="shared" si="63"/>
        <v>7400</v>
      </c>
      <c r="AB293" s="239">
        <f t="shared" si="63"/>
        <v>7400</v>
      </c>
      <c r="AC293" s="239">
        <f t="shared" si="63"/>
        <v>7400</v>
      </c>
      <c r="AD293" s="239">
        <f t="shared" si="63"/>
        <v>7400</v>
      </c>
      <c r="AE293" s="239">
        <f t="shared" si="63"/>
        <v>7400</v>
      </c>
      <c r="AF293" s="239">
        <f t="shared" si="63"/>
        <v>7400</v>
      </c>
      <c r="AG293" s="239">
        <f t="shared" si="63"/>
        <v>7400</v>
      </c>
      <c r="AH293" s="239">
        <f t="shared" si="63"/>
        <v>7400</v>
      </c>
      <c r="AI293" s="239">
        <f t="shared" si="63"/>
        <v>7400</v>
      </c>
      <c r="AJ293" s="239">
        <f t="shared" si="63"/>
        <v>7400</v>
      </c>
      <c r="AK293" s="239">
        <f>AK292/$B$39</f>
        <v>7400</v>
      </c>
    </row>
    <row r="294" spans="1:37" s="71" customFormat="1" x14ac:dyDescent="0.2">
      <c r="A294" s="700" t="s">
        <v>303</v>
      </c>
      <c r="B294" s="262"/>
      <c r="C294" s="262"/>
      <c r="D294" s="262"/>
      <c r="E294" s="262"/>
      <c r="F294" s="262"/>
      <c r="G294" s="262"/>
      <c r="H294" s="262"/>
      <c r="I294" s="262"/>
      <c r="J294" s="262"/>
      <c r="K294" s="262"/>
      <c r="L294" s="262"/>
      <c r="M294" s="262"/>
      <c r="N294" s="262"/>
      <c r="O294" s="262"/>
      <c r="P294" s="262"/>
      <c r="Q294" s="262"/>
      <c r="R294" s="262"/>
      <c r="S294" s="262"/>
      <c r="T294" s="262"/>
      <c r="U294" s="262"/>
      <c r="V294" s="262"/>
      <c r="W294" s="262"/>
      <c r="X294" s="262"/>
      <c r="Y294" s="262"/>
      <c r="Z294" s="262"/>
      <c r="AA294" s="262"/>
      <c r="AB294" s="262"/>
      <c r="AC294" s="262"/>
      <c r="AD294" s="262"/>
      <c r="AE294" s="262"/>
      <c r="AF294" s="262"/>
      <c r="AG294" s="262"/>
      <c r="AH294" s="262"/>
      <c r="AI294" s="262"/>
      <c r="AJ294" s="262"/>
      <c r="AK294" s="262"/>
    </row>
    <row r="295" spans="1:37" s="71" customFormat="1" x14ac:dyDescent="0.2">
      <c r="A295" s="227" t="s">
        <v>312</v>
      </c>
      <c r="B295" s="243">
        <f>B298*B288*365/1000</f>
        <v>709012.5</v>
      </c>
      <c r="C295" s="243">
        <f t="shared" ref="C295:AJ295" si="64">C298*C288*365/1000</f>
        <v>709012.5</v>
      </c>
      <c r="D295" s="243">
        <f t="shared" si="64"/>
        <v>709012.5</v>
      </c>
      <c r="E295" s="243">
        <f t="shared" si="64"/>
        <v>709012.5</v>
      </c>
      <c r="F295" s="243">
        <f t="shared" si="64"/>
        <v>709012.5</v>
      </c>
      <c r="G295" s="243">
        <f t="shared" si="64"/>
        <v>709012.5</v>
      </c>
      <c r="H295" s="243">
        <f t="shared" si="64"/>
        <v>709012.5</v>
      </c>
      <c r="I295" s="243">
        <f t="shared" si="64"/>
        <v>738395</v>
      </c>
      <c r="J295" s="243">
        <f t="shared" si="64"/>
        <v>738395</v>
      </c>
      <c r="K295" s="243">
        <f t="shared" si="64"/>
        <v>738395</v>
      </c>
      <c r="L295" s="243">
        <f t="shared" si="64"/>
        <v>738395</v>
      </c>
      <c r="M295" s="243">
        <f t="shared" si="64"/>
        <v>738395</v>
      </c>
      <c r="N295" s="243">
        <f t="shared" si="64"/>
        <v>738395</v>
      </c>
      <c r="O295" s="243">
        <f t="shared" si="64"/>
        <v>738395</v>
      </c>
      <c r="P295" s="243">
        <f t="shared" si="64"/>
        <v>738395</v>
      </c>
      <c r="Q295" s="243">
        <f t="shared" si="64"/>
        <v>738395</v>
      </c>
      <c r="R295" s="243">
        <f t="shared" si="64"/>
        <v>738395</v>
      </c>
      <c r="S295" s="243">
        <f t="shared" si="64"/>
        <v>738395</v>
      </c>
      <c r="T295" s="243">
        <f t="shared" si="64"/>
        <v>738395</v>
      </c>
      <c r="U295" s="243">
        <f t="shared" si="64"/>
        <v>738395</v>
      </c>
      <c r="V295" s="243">
        <f t="shared" si="64"/>
        <v>738395</v>
      </c>
      <c r="W295" s="243">
        <f t="shared" si="64"/>
        <v>738395</v>
      </c>
      <c r="X295" s="243">
        <f t="shared" si="64"/>
        <v>738395</v>
      </c>
      <c r="Y295" s="243">
        <f t="shared" si="64"/>
        <v>738395</v>
      </c>
      <c r="Z295" s="243">
        <f t="shared" si="64"/>
        <v>738395</v>
      </c>
      <c r="AA295" s="243">
        <f t="shared" si="64"/>
        <v>738395</v>
      </c>
      <c r="AB295" s="243">
        <f t="shared" si="64"/>
        <v>738395</v>
      </c>
      <c r="AC295" s="243">
        <f t="shared" si="64"/>
        <v>738395</v>
      </c>
      <c r="AD295" s="243">
        <f t="shared" si="64"/>
        <v>738395</v>
      </c>
      <c r="AE295" s="243">
        <f t="shared" si="64"/>
        <v>738395</v>
      </c>
      <c r="AF295" s="243">
        <f t="shared" si="64"/>
        <v>738395</v>
      </c>
      <c r="AG295" s="243">
        <f t="shared" si="64"/>
        <v>738395</v>
      </c>
      <c r="AH295" s="243">
        <f t="shared" si="64"/>
        <v>738395</v>
      </c>
      <c r="AI295" s="243">
        <f t="shared" si="64"/>
        <v>738395</v>
      </c>
      <c r="AJ295" s="243">
        <f t="shared" si="64"/>
        <v>738395</v>
      </c>
      <c r="AK295" s="243">
        <f>AK298*AK288*365/1000</f>
        <v>738395</v>
      </c>
    </row>
    <row r="296" spans="1:37" s="71" customFormat="1" x14ac:dyDescent="0.2">
      <c r="A296" s="227" t="s">
        <v>339</v>
      </c>
      <c r="B296" s="244">
        <f>B295/365</f>
        <v>1942.5</v>
      </c>
      <c r="C296" s="244">
        <f t="shared" ref="C296:AJ296" si="65">C295/365</f>
        <v>1942.5</v>
      </c>
      <c r="D296" s="244">
        <f t="shared" si="65"/>
        <v>1942.5</v>
      </c>
      <c r="E296" s="244">
        <f t="shared" si="65"/>
        <v>1942.5</v>
      </c>
      <c r="F296" s="244">
        <f t="shared" si="65"/>
        <v>1942.5</v>
      </c>
      <c r="G296" s="244">
        <f t="shared" si="65"/>
        <v>1942.5</v>
      </c>
      <c r="H296" s="244">
        <f t="shared" si="65"/>
        <v>1942.5</v>
      </c>
      <c r="I296" s="244">
        <f t="shared" si="65"/>
        <v>2023</v>
      </c>
      <c r="J296" s="244">
        <f t="shared" si="65"/>
        <v>2023</v>
      </c>
      <c r="K296" s="244">
        <f t="shared" si="65"/>
        <v>2023</v>
      </c>
      <c r="L296" s="244">
        <f t="shared" si="65"/>
        <v>2023</v>
      </c>
      <c r="M296" s="244">
        <f t="shared" si="65"/>
        <v>2023</v>
      </c>
      <c r="N296" s="244">
        <f t="shared" si="65"/>
        <v>2023</v>
      </c>
      <c r="O296" s="244">
        <f t="shared" si="65"/>
        <v>2023</v>
      </c>
      <c r="P296" s="244">
        <f t="shared" si="65"/>
        <v>2023</v>
      </c>
      <c r="Q296" s="244">
        <f t="shared" si="65"/>
        <v>2023</v>
      </c>
      <c r="R296" s="244">
        <f t="shared" si="65"/>
        <v>2023</v>
      </c>
      <c r="S296" s="244">
        <f t="shared" si="65"/>
        <v>2023</v>
      </c>
      <c r="T296" s="244">
        <f t="shared" si="65"/>
        <v>2023</v>
      </c>
      <c r="U296" s="244">
        <f t="shared" si="65"/>
        <v>2023</v>
      </c>
      <c r="V296" s="244">
        <f t="shared" si="65"/>
        <v>2023</v>
      </c>
      <c r="W296" s="244">
        <f t="shared" si="65"/>
        <v>2023</v>
      </c>
      <c r="X296" s="244">
        <f t="shared" si="65"/>
        <v>2023</v>
      </c>
      <c r="Y296" s="244">
        <f t="shared" si="65"/>
        <v>2023</v>
      </c>
      <c r="Z296" s="244">
        <f t="shared" si="65"/>
        <v>2023</v>
      </c>
      <c r="AA296" s="244">
        <f t="shared" si="65"/>
        <v>2023</v>
      </c>
      <c r="AB296" s="244">
        <f t="shared" si="65"/>
        <v>2023</v>
      </c>
      <c r="AC296" s="244">
        <f t="shared" si="65"/>
        <v>2023</v>
      </c>
      <c r="AD296" s="244">
        <f t="shared" si="65"/>
        <v>2023</v>
      </c>
      <c r="AE296" s="244">
        <f t="shared" si="65"/>
        <v>2023</v>
      </c>
      <c r="AF296" s="244">
        <f t="shared" si="65"/>
        <v>2023</v>
      </c>
      <c r="AG296" s="244">
        <f t="shared" si="65"/>
        <v>2023</v>
      </c>
      <c r="AH296" s="244">
        <f t="shared" si="65"/>
        <v>2023</v>
      </c>
      <c r="AI296" s="244">
        <f t="shared" si="65"/>
        <v>2023</v>
      </c>
      <c r="AJ296" s="244">
        <f t="shared" si="65"/>
        <v>2023</v>
      </c>
      <c r="AK296" s="244">
        <f>AK295/365</f>
        <v>2023</v>
      </c>
    </row>
    <row r="297" spans="1:37" s="71" customFormat="1" x14ac:dyDescent="0.2">
      <c r="A297" s="227" t="s">
        <v>425</v>
      </c>
      <c r="B297" s="245">
        <v>0</v>
      </c>
      <c r="C297" s="245">
        <v>0</v>
      </c>
      <c r="D297" s="245">
        <v>0</v>
      </c>
      <c r="E297" s="245">
        <v>0</v>
      </c>
      <c r="F297" s="245">
        <v>0</v>
      </c>
      <c r="G297" s="245">
        <v>0</v>
      </c>
      <c r="H297" s="245">
        <v>0</v>
      </c>
      <c r="I297" s="263">
        <f>H297*(1+'Datu ievade'!I$438)</f>
        <v>0</v>
      </c>
      <c r="J297" s="263">
        <f>I297*(1+'Datu ievade'!J$438)</f>
        <v>0</v>
      </c>
      <c r="K297" s="263">
        <f>J297*(1+'Datu ievade'!K$438)</f>
        <v>0</v>
      </c>
      <c r="L297" s="263">
        <f>K297*(1+'Datu ievade'!L$438)</f>
        <v>0</v>
      </c>
      <c r="M297" s="263">
        <f>L297*(1+'Datu ievade'!M$438)</f>
        <v>0</v>
      </c>
      <c r="N297" s="263">
        <f>M297*(1+'Datu ievade'!N$438)</f>
        <v>0</v>
      </c>
      <c r="O297" s="263">
        <f>N297*(1+'Datu ievade'!O$438)</f>
        <v>0</v>
      </c>
      <c r="P297" s="263">
        <f>O297*(1+'Datu ievade'!P$438)</f>
        <v>0</v>
      </c>
      <c r="Q297" s="263">
        <f>P297*(1+'Datu ievade'!Q$438)</f>
        <v>0</v>
      </c>
      <c r="R297" s="263">
        <f>Q297*(1+'Datu ievade'!R$438)</f>
        <v>0</v>
      </c>
      <c r="S297" s="263">
        <f>R297*(1+'Datu ievade'!S$438)</f>
        <v>0</v>
      </c>
      <c r="T297" s="263">
        <f>S297*(1+'Datu ievade'!T$438)</f>
        <v>0</v>
      </c>
      <c r="U297" s="263">
        <f>T297*(1+'Datu ievade'!U$438)</f>
        <v>0</v>
      </c>
      <c r="V297" s="263">
        <f>U297*(1+'Datu ievade'!V$438)</f>
        <v>0</v>
      </c>
      <c r="W297" s="263">
        <f>V297*(1+'Datu ievade'!W$438)</f>
        <v>0</v>
      </c>
      <c r="X297" s="263">
        <f>W297*(1+'Datu ievade'!X$438)</f>
        <v>0</v>
      </c>
      <c r="Y297" s="263">
        <f>X297*(1+'Datu ievade'!Y$438)</f>
        <v>0</v>
      </c>
      <c r="Z297" s="263">
        <f>Y297*(1+'Datu ievade'!Z$438)</f>
        <v>0</v>
      </c>
      <c r="AA297" s="263">
        <f>Z297*(1+'Datu ievade'!AA$438)</f>
        <v>0</v>
      </c>
      <c r="AB297" s="263">
        <f>AA297*(1+'Datu ievade'!AB$438)</f>
        <v>0</v>
      </c>
      <c r="AC297" s="263">
        <f>AB297*(1+'Datu ievade'!AC$438)</f>
        <v>0</v>
      </c>
      <c r="AD297" s="263">
        <f>AC297*(1+'Datu ievade'!AD$438)</f>
        <v>0</v>
      </c>
      <c r="AE297" s="263">
        <f>AD297*(1+'Datu ievade'!AE$438)</f>
        <v>0</v>
      </c>
      <c r="AF297" s="263">
        <f>AE297*(1+'Datu ievade'!AF$438)</f>
        <v>0</v>
      </c>
      <c r="AG297" s="263">
        <f>AF297*(1+'Datu ievade'!AG$438)</f>
        <v>0</v>
      </c>
      <c r="AH297" s="263">
        <f>AG297*(1+'Datu ievade'!AH$438)</f>
        <v>0</v>
      </c>
      <c r="AI297" s="263">
        <f>AH297*(1+'Datu ievade'!AI$438)</f>
        <v>0</v>
      </c>
      <c r="AJ297" s="263">
        <f>AI297*(1+'Datu ievade'!AJ$438)</f>
        <v>0</v>
      </c>
      <c r="AK297" s="263">
        <f>AJ297*(1+'Datu ievade'!AK$438)</f>
        <v>0</v>
      </c>
    </row>
    <row r="298" spans="1:37" s="661" customFormat="1" x14ac:dyDescent="0.2">
      <c r="A298" s="69" t="s">
        <v>295</v>
      </c>
      <c r="B298" s="664">
        <v>105</v>
      </c>
      <c r="C298" s="664">
        <v>105</v>
      </c>
      <c r="D298" s="664">
        <v>105</v>
      </c>
      <c r="E298" s="664">
        <v>105</v>
      </c>
      <c r="F298" s="664">
        <v>105</v>
      </c>
      <c r="G298" s="664">
        <v>105</v>
      </c>
      <c r="H298" s="664">
        <v>105</v>
      </c>
      <c r="I298" s="664">
        <v>85</v>
      </c>
      <c r="J298" s="664">
        <v>85</v>
      </c>
      <c r="K298" s="664">
        <f>J298</f>
        <v>85</v>
      </c>
      <c r="L298" s="664">
        <f t="shared" ref="L298:AK298" si="66">K298</f>
        <v>85</v>
      </c>
      <c r="M298" s="664">
        <f t="shared" si="66"/>
        <v>85</v>
      </c>
      <c r="N298" s="664">
        <f t="shared" si="66"/>
        <v>85</v>
      </c>
      <c r="O298" s="664">
        <f t="shared" si="66"/>
        <v>85</v>
      </c>
      <c r="P298" s="664">
        <f t="shared" si="66"/>
        <v>85</v>
      </c>
      <c r="Q298" s="664">
        <f t="shared" si="66"/>
        <v>85</v>
      </c>
      <c r="R298" s="664">
        <f t="shared" si="66"/>
        <v>85</v>
      </c>
      <c r="S298" s="664">
        <f t="shared" si="66"/>
        <v>85</v>
      </c>
      <c r="T298" s="664">
        <f t="shared" si="66"/>
        <v>85</v>
      </c>
      <c r="U298" s="664">
        <f t="shared" si="66"/>
        <v>85</v>
      </c>
      <c r="V298" s="664">
        <f t="shared" si="66"/>
        <v>85</v>
      </c>
      <c r="W298" s="664">
        <f t="shared" si="66"/>
        <v>85</v>
      </c>
      <c r="X298" s="664">
        <f t="shared" si="66"/>
        <v>85</v>
      </c>
      <c r="Y298" s="664">
        <f t="shared" si="66"/>
        <v>85</v>
      </c>
      <c r="Z298" s="664">
        <f t="shared" si="66"/>
        <v>85</v>
      </c>
      <c r="AA298" s="664">
        <f t="shared" si="66"/>
        <v>85</v>
      </c>
      <c r="AB298" s="664">
        <f t="shared" si="66"/>
        <v>85</v>
      </c>
      <c r="AC298" s="664">
        <f t="shared" si="66"/>
        <v>85</v>
      </c>
      <c r="AD298" s="664">
        <f t="shared" si="66"/>
        <v>85</v>
      </c>
      <c r="AE298" s="664">
        <f t="shared" si="66"/>
        <v>85</v>
      </c>
      <c r="AF298" s="664">
        <f t="shared" si="66"/>
        <v>85</v>
      </c>
      <c r="AG298" s="664">
        <f t="shared" si="66"/>
        <v>85</v>
      </c>
      <c r="AH298" s="664">
        <f t="shared" si="66"/>
        <v>85</v>
      </c>
      <c r="AI298" s="664">
        <f t="shared" si="66"/>
        <v>85</v>
      </c>
      <c r="AJ298" s="664">
        <f t="shared" si="66"/>
        <v>85</v>
      </c>
      <c r="AK298" s="664">
        <f t="shared" si="66"/>
        <v>85</v>
      </c>
    </row>
    <row r="299" spans="1:37" s="661" customFormat="1" x14ac:dyDescent="0.2">
      <c r="A299" s="325" t="s">
        <v>305</v>
      </c>
      <c r="B299" s="264"/>
      <c r="C299" s="264"/>
      <c r="D299" s="264"/>
      <c r="E299" s="264"/>
      <c r="F299" s="264"/>
      <c r="G299" s="264"/>
      <c r="H299" s="264"/>
      <c r="I299" s="264"/>
      <c r="J299" s="264"/>
      <c r="K299" s="264"/>
      <c r="L299" s="264"/>
      <c r="M299" s="264"/>
      <c r="N299" s="264"/>
      <c r="O299" s="264"/>
      <c r="P299" s="264"/>
      <c r="Q299" s="264"/>
      <c r="R299" s="264"/>
      <c r="S299" s="264"/>
      <c r="T299" s="264"/>
      <c r="U299" s="264"/>
      <c r="V299" s="264"/>
      <c r="W299" s="264"/>
      <c r="X299" s="264"/>
      <c r="Y299" s="264"/>
      <c r="Z299" s="264"/>
      <c r="AA299" s="264"/>
      <c r="AB299" s="264"/>
      <c r="AC299" s="264"/>
      <c r="AD299" s="264"/>
      <c r="AE299" s="264"/>
      <c r="AF299" s="264"/>
      <c r="AG299" s="264"/>
      <c r="AH299" s="264"/>
      <c r="AI299" s="264"/>
      <c r="AJ299" s="264"/>
      <c r="AK299" s="264"/>
    </row>
    <row r="300" spans="1:37" s="71" customFormat="1" x14ac:dyDescent="0.2">
      <c r="A300" s="227" t="s">
        <v>312</v>
      </c>
      <c r="B300" s="248">
        <f>B302*B292*365/1000</f>
        <v>709012.5</v>
      </c>
      <c r="C300" s="248">
        <f t="shared" ref="C300:AJ300" si="67">C302*C292*365/1000</f>
        <v>709012.5</v>
      </c>
      <c r="D300" s="248">
        <f t="shared" si="67"/>
        <v>709012.5</v>
      </c>
      <c r="E300" s="248">
        <f t="shared" si="67"/>
        <v>709012.5</v>
      </c>
      <c r="F300" s="248">
        <f t="shared" si="67"/>
        <v>709012.5</v>
      </c>
      <c r="G300" s="248">
        <f t="shared" si="67"/>
        <v>709012.5</v>
      </c>
      <c r="H300" s="248">
        <f t="shared" si="67"/>
        <v>709012.5</v>
      </c>
      <c r="I300" s="248">
        <f t="shared" si="67"/>
        <v>709012.5</v>
      </c>
      <c r="J300" s="248">
        <f t="shared" si="67"/>
        <v>709012.5</v>
      </c>
      <c r="K300" s="248">
        <f t="shared" si="67"/>
        <v>709012.5</v>
      </c>
      <c r="L300" s="248">
        <f t="shared" si="67"/>
        <v>709012.5</v>
      </c>
      <c r="M300" s="248">
        <f t="shared" si="67"/>
        <v>709012.5</v>
      </c>
      <c r="N300" s="248">
        <f t="shared" si="67"/>
        <v>709012.5</v>
      </c>
      <c r="O300" s="248">
        <f t="shared" si="67"/>
        <v>709012.5</v>
      </c>
      <c r="P300" s="248">
        <f t="shared" si="67"/>
        <v>709012.5</v>
      </c>
      <c r="Q300" s="248">
        <f t="shared" si="67"/>
        <v>709012.5</v>
      </c>
      <c r="R300" s="248">
        <f t="shared" si="67"/>
        <v>709012.5</v>
      </c>
      <c r="S300" s="248">
        <f t="shared" si="67"/>
        <v>709012.5</v>
      </c>
      <c r="T300" s="248">
        <f t="shared" si="67"/>
        <v>709012.5</v>
      </c>
      <c r="U300" s="248">
        <f t="shared" si="67"/>
        <v>709012.5</v>
      </c>
      <c r="V300" s="248">
        <f t="shared" si="67"/>
        <v>709012.5</v>
      </c>
      <c r="W300" s="248">
        <f t="shared" si="67"/>
        <v>709012.5</v>
      </c>
      <c r="X300" s="248">
        <f t="shared" si="67"/>
        <v>709012.5</v>
      </c>
      <c r="Y300" s="248">
        <f t="shared" si="67"/>
        <v>709012.5</v>
      </c>
      <c r="Z300" s="248">
        <f t="shared" si="67"/>
        <v>709012.5</v>
      </c>
      <c r="AA300" s="248">
        <f t="shared" si="67"/>
        <v>709012.5</v>
      </c>
      <c r="AB300" s="248">
        <f t="shared" si="67"/>
        <v>709012.5</v>
      </c>
      <c r="AC300" s="248">
        <f t="shared" si="67"/>
        <v>709012.5</v>
      </c>
      <c r="AD300" s="248">
        <f t="shared" si="67"/>
        <v>709012.5</v>
      </c>
      <c r="AE300" s="248">
        <f t="shared" si="67"/>
        <v>709012.5</v>
      </c>
      <c r="AF300" s="248">
        <f t="shared" si="67"/>
        <v>709012.5</v>
      </c>
      <c r="AG300" s="248">
        <f t="shared" si="67"/>
        <v>709012.5</v>
      </c>
      <c r="AH300" s="248">
        <f t="shared" si="67"/>
        <v>709012.5</v>
      </c>
      <c r="AI300" s="248">
        <f t="shared" si="67"/>
        <v>709012.5</v>
      </c>
      <c r="AJ300" s="248">
        <f t="shared" si="67"/>
        <v>709012.5</v>
      </c>
      <c r="AK300" s="248">
        <f>AK302*AK292*365/1000</f>
        <v>709012.5</v>
      </c>
    </row>
    <row r="301" spans="1:37" s="71" customFormat="1" x14ac:dyDescent="0.2">
      <c r="A301" s="701" t="s">
        <v>425</v>
      </c>
      <c r="B301" s="245">
        <v>0</v>
      </c>
      <c r="C301" s="245">
        <v>0</v>
      </c>
      <c r="D301" s="245">
        <v>0</v>
      </c>
      <c r="E301" s="245">
        <v>0</v>
      </c>
      <c r="F301" s="245">
        <v>0</v>
      </c>
      <c r="G301" s="245">
        <v>0</v>
      </c>
      <c r="H301" s="245">
        <v>0</v>
      </c>
      <c r="I301" s="263">
        <f>H301*(1+'Datu ievade'!I$438)</f>
        <v>0</v>
      </c>
      <c r="J301" s="263">
        <f>I301*(1+'Datu ievade'!J$438)</f>
        <v>0</v>
      </c>
      <c r="K301" s="263">
        <f>J301*(1+'Datu ievade'!K$438)</f>
        <v>0</v>
      </c>
      <c r="L301" s="263">
        <f>K301*(1+'Datu ievade'!L$438)</f>
        <v>0</v>
      </c>
      <c r="M301" s="263">
        <f>L301*(1+'Datu ievade'!M$438)</f>
        <v>0</v>
      </c>
      <c r="N301" s="263">
        <f>M301*(1+'Datu ievade'!N$438)</f>
        <v>0</v>
      </c>
      <c r="O301" s="263">
        <f>N301*(1+'Datu ievade'!O$438)</f>
        <v>0</v>
      </c>
      <c r="P301" s="263">
        <f>O301*(1+'Datu ievade'!P$438)</f>
        <v>0</v>
      </c>
      <c r="Q301" s="263">
        <f>P301*(1+'Datu ievade'!Q$438)</f>
        <v>0</v>
      </c>
      <c r="R301" s="263">
        <f>Q301*(1+'Datu ievade'!R$438)</f>
        <v>0</v>
      </c>
      <c r="S301" s="263">
        <f>R301*(1+'Datu ievade'!S$438)</f>
        <v>0</v>
      </c>
      <c r="T301" s="263">
        <f>S301*(1+'Datu ievade'!T$438)</f>
        <v>0</v>
      </c>
      <c r="U301" s="263">
        <f>T301*(1+'Datu ievade'!U$438)</f>
        <v>0</v>
      </c>
      <c r="V301" s="263">
        <f>U301*(1+'Datu ievade'!V$438)</f>
        <v>0</v>
      </c>
      <c r="W301" s="263">
        <f>V301*(1+'Datu ievade'!W$438)</f>
        <v>0</v>
      </c>
      <c r="X301" s="263">
        <f>W301*(1+'Datu ievade'!X$438)</f>
        <v>0</v>
      </c>
      <c r="Y301" s="263">
        <f>X301*(1+'Datu ievade'!Y$438)</f>
        <v>0</v>
      </c>
      <c r="Z301" s="263">
        <f>Y301*(1+'Datu ievade'!Z$438)</f>
        <v>0</v>
      </c>
      <c r="AA301" s="263">
        <f>Z301*(1+'Datu ievade'!AA$438)</f>
        <v>0</v>
      </c>
      <c r="AB301" s="263">
        <f>AA301*(1+'Datu ievade'!AB$438)</f>
        <v>0</v>
      </c>
      <c r="AC301" s="263">
        <f>AB301*(1+'Datu ievade'!AC$438)</f>
        <v>0</v>
      </c>
      <c r="AD301" s="263">
        <f>AC301*(1+'Datu ievade'!AD$438)</f>
        <v>0</v>
      </c>
      <c r="AE301" s="263">
        <f>AD301*(1+'Datu ievade'!AE$438)</f>
        <v>0</v>
      </c>
      <c r="AF301" s="263">
        <f>AE301*(1+'Datu ievade'!AF$438)</f>
        <v>0</v>
      </c>
      <c r="AG301" s="263">
        <f>AF301*(1+'Datu ievade'!AG$438)</f>
        <v>0</v>
      </c>
      <c r="AH301" s="263">
        <f>AG301*(1+'Datu ievade'!AH$438)</f>
        <v>0</v>
      </c>
      <c r="AI301" s="263">
        <f>AH301*(1+'Datu ievade'!AI$438)</f>
        <v>0</v>
      </c>
      <c r="AJ301" s="263">
        <f>AI301*(1+'Datu ievade'!AJ$438)</f>
        <v>0</v>
      </c>
      <c r="AK301" s="263">
        <f>AJ301*(1+'Datu ievade'!AK$438)</f>
        <v>0</v>
      </c>
    </row>
    <row r="302" spans="1:37" s="71" customFormat="1" x14ac:dyDescent="0.2">
      <c r="A302" s="375" t="s">
        <v>295</v>
      </c>
      <c r="B302" s="265">
        <f>B298</f>
        <v>105</v>
      </c>
      <c r="C302" s="248">
        <f>C298</f>
        <v>105</v>
      </c>
      <c r="D302" s="248">
        <f>D298</f>
        <v>105</v>
      </c>
      <c r="E302" s="248">
        <f>E298</f>
        <v>105</v>
      </c>
      <c r="F302" s="248">
        <f>E302</f>
        <v>105</v>
      </c>
      <c r="G302" s="248">
        <f t="shared" ref="G302:AJ302" si="68">F302</f>
        <v>105</v>
      </c>
      <c r="H302" s="248">
        <f t="shared" si="68"/>
        <v>105</v>
      </c>
      <c r="I302" s="248">
        <f t="shared" si="68"/>
        <v>105</v>
      </c>
      <c r="J302" s="248">
        <f t="shared" si="68"/>
        <v>105</v>
      </c>
      <c r="K302" s="248">
        <f t="shared" si="68"/>
        <v>105</v>
      </c>
      <c r="L302" s="248">
        <f t="shared" si="68"/>
        <v>105</v>
      </c>
      <c r="M302" s="248">
        <f t="shared" si="68"/>
        <v>105</v>
      </c>
      <c r="N302" s="248">
        <f t="shared" si="68"/>
        <v>105</v>
      </c>
      <c r="O302" s="248">
        <f t="shared" si="68"/>
        <v>105</v>
      </c>
      <c r="P302" s="248">
        <f t="shared" si="68"/>
        <v>105</v>
      </c>
      <c r="Q302" s="248">
        <f t="shared" si="68"/>
        <v>105</v>
      </c>
      <c r="R302" s="248">
        <f t="shared" si="68"/>
        <v>105</v>
      </c>
      <c r="S302" s="248">
        <f t="shared" si="68"/>
        <v>105</v>
      </c>
      <c r="T302" s="248">
        <f t="shared" si="68"/>
        <v>105</v>
      </c>
      <c r="U302" s="248">
        <f t="shared" si="68"/>
        <v>105</v>
      </c>
      <c r="V302" s="248">
        <f t="shared" si="68"/>
        <v>105</v>
      </c>
      <c r="W302" s="248">
        <f t="shared" si="68"/>
        <v>105</v>
      </c>
      <c r="X302" s="248">
        <f t="shared" si="68"/>
        <v>105</v>
      </c>
      <c r="Y302" s="248">
        <f t="shared" si="68"/>
        <v>105</v>
      </c>
      <c r="Z302" s="248">
        <f t="shared" si="68"/>
        <v>105</v>
      </c>
      <c r="AA302" s="248">
        <f t="shared" si="68"/>
        <v>105</v>
      </c>
      <c r="AB302" s="248">
        <f t="shared" si="68"/>
        <v>105</v>
      </c>
      <c r="AC302" s="248">
        <f t="shared" si="68"/>
        <v>105</v>
      </c>
      <c r="AD302" s="248">
        <f t="shared" si="68"/>
        <v>105</v>
      </c>
      <c r="AE302" s="248">
        <f t="shared" si="68"/>
        <v>105</v>
      </c>
      <c r="AF302" s="248">
        <f t="shared" si="68"/>
        <v>105</v>
      </c>
      <c r="AG302" s="248">
        <f t="shared" si="68"/>
        <v>105</v>
      </c>
      <c r="AH302" s="248">
        <f t="shared" si="68"/>
        <v>105</v>
      </c>
      <c r="AI302" s="248">
        <f t="shared" si="68"/>
        <v>105</v>
      </c>
      <c r="AJ302" s="248">
        <f t="shared" si="68"/>
        <v>105</v>
      </c>
      <c r="AK302" s="248">
        <f>AJ302</f>
        <v>105</v>
      </c>
    </row>
    <row r="303" spans="1:37" s="661" customFormat="1" x14ac:dyDescent="0.2">
      <c r="A303" s="325" t="s">
        <v>303</v>
      </c>
      <c r="B303" s="264"/>
      <c r="C303" s="264"/>
      <c r="D303" s="264"/>
      <c r="E303" s="264"/>
      <c r="F303" s="264"/>
      <c r="G303" s="264"/>
      <c r="H303" s="264"/>
      <c r="I303" s="264"/>
      <c r="J303" s="264"/>
      <c r="K303" s="264"/>
      <c r="L303" s="264"/>
      <c r="M303" s="264"/>
      <c r="N303" s="264"/>
      <c r="O303" s="264"/>
      <c r="P303" s="264"/>
      <c r="Q303" s="264"/>
      <c r="R303" s="264"/>
      <c r="S303" s="264"/>
      <c r="T303" s="264"/>
      <c r="U303" s="264"/>
      <c r="V303" s="264"/>
      <c r="W303" s="264"/>
      <c r="X303" s="264"/>
      <c r="Y303" s="264"/>
      <c r="Z303" s="264"/>
      <c r="AA303" s="264"/>
      <c r="AB303" s="264"/>
      <c r="AC303" s="264"/>
      <c r="AD303" s="264"/>
      <c r="AE303" s="264"/>
      <c r="AF303" s="264"/>
      <c r="AG303" s="264"/>
      <c r="AH303" s="264"/>
      <c r="AI303" s="264"/>
      <c r="AJ303" s="264"/>
      <c r="AK303" s="264"/>
    </row>
    <row r="304" spans="1:37" s="71" customFormat="1" x14ac:dyDescent="0.2">
      <c r="A304" s="702" t="s">
        <v>313</v>
      </c>
      <c r="B304" s="194">
        <v>110000</v>
      </c>
      <c r="C304" s="194">
        <v>110000</v>
      </c>
      <c r="D304" s="194">
        <v>95000</v>
      </c>
      <c r="E304" s="194">
        <v>95000</v>
      </c>
      <c r="F304" s="194">
        <v>95000</v>
      </c>
      <c r="G304" s="194">
        <v>95000</v>
      </c>
      <c r="H304" s="133">
        <f t="shared" ref="H304:AJ304" si="69">G304</f>
        <v>95000</v>
      </c>
      <c r="I304" s="133">
        <f t="shared" si="69"/>
        <v>95000</v>
      </c>
      <c r="J304" s="133">
        <f t="shared" si="69"/>
        <v>95000</v>
      </c>
      <c r="K304" s="133">
        <f t="shared" si="69"/>
        <v>95000</v>
      </c>
      <c r="L304" s="133">
        <f t="shared" si="69"/>
        <v>95000</v>
      </c>
      <c r="M304" s="133">
        <f t="shared" si="69"/>
        <v>95000</v>
      </c>
      <c r="N304" s="133">
        <f t="shared" si="69"/>
        <v>95000</v>
      </c>
      <c r="O304" s="133">
        <f t="shared" si="69"/>
        <v>95000</v>
      </c>
      <c r="P304" s="133">
        <f t="shared" si="69"/>
        <v>95000</v>
      </c>
      <c r="Q304" s="133">
        <f t="shared" si="69"/>
        <v>95000</v>
      </c>
      <c r="R304" s="133">
        <f t="shared" si="69"/>
        <v>95000</v>
      </c>
      <c r="S304" s="133">
        <f t="shared" si="69"/>
        <v>95000</v>
      </c>
      <c r="T304" s="133">
        <f t="shared" si="69"/>
        <v>95000</v>
      </c>
      <c r="U304" s="133">
        <f t="shared" si="69"/>
        <v>95000</v>
      </c>
      <c r="V304" s="133">
        <f t="shared" si="69"/>
        <v>95000</v>
      </c>
      <c r="W304" s="133">
        <f t="shared" si="69"/>
        <v>95000</v>
      </c>
      <c r="X304" s="133">
        <f t="shared" si="69"/>
        <v>95000</v>
      </c>
      <c r="Y304" s="133">
        <f t="shared" si="69"/>
        <v>95000</v>
      </c>
      <c r="Z304" s="133">
        <f t="shared" si="69"/>
        <v>95000</v>
      </c>
      <c r="AA304" s="133">
        <f t="shared" si="69"/>
        <v>95000</v>
      </c>
      <c r="AB304" s="133">
        <f t="shared" si="69"/>
        <v>95000</v>
      </c>
      <c r="AC304" s="133">
        <f t="shared" si="69"/>
        <v>95000</v>
      </c>
      <c r="AD304" s="133">
        <f t="shared" si="69"/>
        <v>95000</v>
      </c>
      <c r="AE304" s="133">
        <f t="shared" si="69"/>
        <v>95000</v>
      </c>
      <c r="AF304" s="133">
        <f t="shared" si="69"/>
        <v>95000</v>
      </c>
      <c r="AG304" s="133">
        <f t="shared" si="69"/>
        <v>95000</v>
      </c>
      <c r="AH304" s="133">
        <f t="shared" si="69"/>
        <v>95000</v>
      </c>
      <c r="AI304" s="133">
        <f t="shared" si="69"/>
        <v>95000</v>
      </c>
      <c r="AJ304" s="133">
        <f t="shared" si="69"/>
        <v>95000</v>
      </c>
      <c r="AK304" s="133">
        <f>AJ304</f>
        <v>95000</v>
      </c>
    </row>
    <row r="305" spans="1:39" s="71" customFormat="1" x14ac:dyDescent="0.2">
      <c r="A305" s="702" t="s">
        <v>340</v>
      </c>
      <c r="B305" s="266">
        <f>B304/365</f>
        <v>301.36986301369865</v>
      </c>
      <c r="C305" s="266">
        <f t="shared" ref="C305:AJ305" si="70">C304/365</f>
        <v>301.36986301369865</v>
      </c>
      <c r="D305" s="266">
        <f t="shared" si="70"/>
        <v>260.27397260273972</v>
      </c>
      <c r="E305" s="266">
        <f t="shared" si="70"/>
        <v>260.27397260273972</v>
      </c>
      <c r="F305" s="266">
        <f t="shared" si="70"/>
        <v>260.27397260273972</v>
      </c>
      <c r="G305" s="266">
        <f t="shared" si="70"/>
        <v>260.27397260273972</v>
      </c>
      <c r="H305" s="266">
        <f t="shared" si="70"/>
        <v>260.27397260273972</v>
      </c>
      <c r="I305" s="266">
        <f t="shared" si="70"/>
        <v>260.27397260273972</v>
      </c>
      <c r="J305" s="266">
        <f t="shared" si="70"/>
        <v>260.27397260273972</v>
      </c>
      <c r="K305" s="266">
        <f t="shared" si="70"/>
        <v>260.27397260273972</v>
      </c>
      <c r="L305" s="266">
        <f t="shared" si="70"/>
        <v>260.27397260273972</v>
      </c>
      <c r="M305" s="266">
        <f t="shared" si="70"/>
        <v>260.27397260273972</v>
      </c>
      <c r="N305" s="266">
        <f t="shared" si="70"/>
        <v>260.27397260273972</v>
      </c>
      <c r="O305" s="266">
        <f t="shared" si="70"/>
        <v>260.27397260273972</v>
      </c>
      <c r="P305" s="266">
        <f t="shared" si="70"/>
        <v>260.27397260273972</v>
      </c>
      <c r="Q305" s="266">
        <f t="shared" si="70"/>
        <v>260.27397260273972</v>
      </c>
      <c r="R305" s="266">
        <f t="shared" si="70"/>
        <v>260.27397260273972</v>
      </c>
      <c r="S305" s="266">
        <f t="shared" si="70"/>
        <v>260.27397260273972</v>
      </c>
      <c r="T305" s="266">
        <f t="shared" si="70"/>
        <v>260.27397260273972</v>
      </c>
      <c r="U305" s="266">
        <f t="shared" si="70"/>
        <v>260.27397260273972</v>
      </c>
      <c r="V305" s="266">
        <f t="shared" si="70"/>
        <v>260.27397260273972</v>
      </c>
      <c r="W305" s="266">
        <f t="shared" si="70"/>
        <v>260.27397260273972</v>
      </c>
      <c r="X305" s="266">
        <f t="shared" si="70"/>
        <v>260.27397260273972</v>
      </c>
      <c r="Y305" s="266">
        <f t="shared" si="70"/>
        <v>260.27397260273972</v>
      </c>
      <c r="Z305" s="266">
        <f t="shared" si="70"/>
        <v>260.27397260273972</v>
      </c>
      <c r="AA305" s="266">
        <f t="shared" si="70"/>
        <v>260.27397260273972</v>
      </c>
      <c r="AB305" s="266">
        <f t="shared" si="70"/>
        <v>260.27397260273972</v>
      </c>
      <c r="AC305" s="266">
        <f t="shared" si="70"/>
        <v>260.27397260273972</v>
      </c>
      <c r="AD305" s="266">
        <f t="shared" si="70"/>
        <v>260.27397260273972</v>
      </c>
      <c r="AE305" s="266">
        <f t="shared" si="70"/>
        <v>260.27397260273972</v>
      </c>
      <c r="AF305" s="266">
        <f t="shared" si="70"/>
        <v>260.27397260273972</v>
      </c>
      <c r="AG305" s="266">
        <f t="shared" si="70"/>
        <v>260.27397260273972</v>
      </c>
      <c r="AH305" s="266">
        <f t="shared" si="70"/>
        <v>260.27397260273972</v>
      </c>
      <c r="AI305" s="266">
        <f t="shared" si="70"/>
        <v>260.27397260273972</v>
      </c>
      <c r="AJ305" s="266">
        <f t="shared" si="70"/>
        <v>260.27397260273972</v>
      </c>
      <c r="AK305" s="266">
        <f>AK304/365</f>
        <v>260.27397260273972</v>
      </c>
    </row>
    <row r="306" spans="1:39" s="71" customFormat="1" x14ac:dyDescent="0.2">
      <c r="A306" s="227" t="s">
        <v>426</v>
      </c>
      <c r="B306" s="245">
        <v>0</v>
      </c>
      <c r="C306" s="245">
        <v>0</v>
      </c>
      <c r="D306" s="245">
        <v>0</v>
      </c>
      <c r="E306" s="245">
        <v>0</v>
      </c>
      <c r="F306" s="245">
        <v>0</v>
      </c>
      <c r="G306" s="245">
        <v>0</v>
      </c>
      <c r="H306" s="245">
        <v>0</v>
      </c>
      <c r="I306" s="263">
        <f>H306*(1+'Datu ievade'!I$438)</f>
        <v>0</v>
      </c>
      <c r="J306" s="263">
        <f>I306*(1+'Datu ievade'!J$438)</f>
        <v>0</v>
      </c>
      <c r="K306" s="263">
        <f>J306*(1+'Datu ievade'!K$438)</f>
        <v>0</v>
      </c>
      <c r="L306" s="263">
        <f>K306*(1+'Datu ievade'!L$438)</f>
        <v>0</v>
      </c>
      <c r="M306" s="263">
        <f>L306*(1+'Datu ievade'!M$438)</f>
        <v>0</v>
      </c>
      <c r="N306" s="263">
        <f>M306*(1+'Datu ievade'!N$438)</f>
        <v>0</v>
      </c>
      <c r="O306" s="263">
        <f>N306*(1+'Datu ievade'!O$438)</f>
        <v>0</v>
      </c>
      <c r="P306" s="263">
        <f>O306*(1+'Datu ievade'!P$438)</f>
        <v>0</v>
      </c>
      <c r="Q306" s="263">
        <f>P306*(1+'Datu ievade'!Q$438)</f>
        <v>0</v>
      </c>
      <c r="R306" s="263">
        <f>Q306*(1+'Datu ievade'!R$438)</f>
        <v>0</v>
      </c>
      <c r="S306" s="263">
        <f>R306*(1+'Datu ievade'!S$438)</f>
        <v>0</v>
      </c>
      <c r="T306" s="263">
        <f>S306*(1+'Datu ievade'!T$438)</f>
        <v>0</v>
      </c>
      <c r="U306" s="263">
        <f>T306*(1+'Datu ievade'!U$438)</f>
        <v>0</v>
      </c>
      <c r="V306" s="263">
        <f>U306*(1+'Datu ievade'!V$438)</f>
        <v>0</v>
      </c>
      <c r="W306" s="263">
        <f>V306*(1+'Datu ievade'!W$438)</f>
        <v>0</v>
      </c>
      <c r="X306" s="263">
        <f>W306*(1+'Datu ievade'!X$438)</f>
        <v>0</v>
      </c>
      <c r="Y306" s="263">
        <f>X306*(1+'Datu ievade'!Y$438)</f>
        <v>0</v>
      </c>
      <c r="Z306" s="263">
        <f>Y306*(1+'Datu ievade'!Z$438)</f>
        <v>0</v>
      </c>
      <c r="AA306" s="263">
        <f>Z306*(1+'Datu ievade'!AA$438)</f>
        <v>0</v>
      </c>
      <c r="AB306" s="263">
        <f>AA306*(1+'Datu ievade'!AB$438)</f>
        <v>0</v>
      </c>
      <c r="AC306" s="263">
        <f>AB306*(1+'Datu ievade'!AC$438)</f>
        <v>0</v>
      </c>
      <c r="AD306" s="263">
        <f>AC306*(1+'Datu ievade'!AD$438)</f>
        <v>0</v>
      </c>
      <c r="AE306" s="263">
        <f>AD306*(1+'Datu ievade'!AE$438)</f>
        <v>0</v>
      </c>
      <c r="AF306" s="263">
        <f>AE306*(1+'Datu ievade'!AF$438)</f>
        <v>0</v>
      </c>
      <c r="AG306" s="263">
        <f>AF306*(1+'Datu ievade'!AG$438)</f>
        <v>0</v>
      </c>
      <c r="AH306" s="263">
        <f>AG306*(1+'Datu ievade'!AH$438)</f>
        <v>0</v>
      </c>
      <c r="AI306" s="263">
        <f>AH306*(1+'Datu ievade'!AI$438)</f>
        <v>0</v>
      </c>
      <c r="AJ306" s="263">
        <f>AI306*(1+'Datu ievade'!AJ$438)</f>
        <v>0</v>
      </c>
      <c r="AK306" s="263">
        <f>AJ306*(1+'Datu ievade'!AK$438)</f>
        <v>0</v>
      </c>
    </row>
    <row r="307" spans="1:39" s="661" customFormat="1" x14ac:dyDescent="0.2">
      <c r="A307" s="325" t="s">
        <v>305</v>
      </c>
      <c r="B307" s="662"/>
      <c r="C307" s="662"/>
      <c r="D307" s="662"/>
      <c r="E307" s="663"/>
      <c r="F307" s="663"/>
      <c r="G307" s="663"/>
      <c r="H307" s="663"/>
      <c r="I307" s="663"/>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3"/>
      <c r="AJ307" s="663"/>
      <c r="AK307" s="663"/>
    </row>
    <row r="308" spans="1:39" s="71" customFormat="1" x14ac:dyDescent="0.2">
      <c r="A308" s="702" t="s">
        <v>313</v>
      </c>
      <c r="B308" s="243">
        <f>B304</f>
        <v>110000</v>
      </c>
      <c r="C308" s="243">
        <f>C304</f>
        <v>110000</v>
      </c>
      <c r="D308" s="243">
        <f>D304</f>
        <v>95000</v>
      </c>
      <c r="E308" s="256">
        <f>E304</f>
        <v>95000</v>
      </c>
      <c r="F308" s="256">
        <f t="shared" ref="F308:AJ308" si="71">F304</f>
        <v>95000</v>
      </c>
      <c r="G308" s="256">
        <f t="shared" si="71"/>
        <v>95000</v>
      </c>
      <c r="H308" s="256">
        <f t="shared" si="71"/>
        <v>95000</v>
      </c>
      <c r="I308" s="256">
        <f t="shared" si="71"/>
        <v>95000</v>
      </c>
      <c r="J308" s="256">
        <f t="shared" si="71"/>
        <v>95000</v>
      </c>
      <c r="K308" s="256">
        <f t="shared" si="71"/>
        <v>95000</v>
      </c>
      <c r="L308" s="256">
        <f t="shared" si="71"/>
        <v>95000</v>
      </c>
      <c r="M308" s="256">
        <f t="shared" si="71"/>
        <v>95000</v>
      </c>
      <c r="N308" s="256">
        <f t="shared" si="71"/>
        <v>95000</v>
      </c>
      <c r="O308" s="256">
        <f t="shared" si="71"/>
        <v>95000</v>
      </c>
      <c r="P308" s="256">
        <f t="shared" si="71"/>
        <v>95000</v>
      </c>
      <c r="Q308" s="256">
        <f t="shared" si="71"/>
        <v>95000</v>
      </c>
      <c r="R308" s="256">
        <f t="shared" si="71"/>
        <v>95000</v>
      </c>
      <c r="S308" s="256">
        <f t="shared" si="71"/>
        <v>95000</v>
      </c>
      <c r="T308" s="256">
        <f t="shared" si="71"/>
        <v>95000</v>
      </c>
      <c r="U308" s="256">
        <f t="shared" si="71"/>
        <v>95000</v>
      </c>
      <c r="V308" s="256">
        <f t="shared" si="71"/>
        <v>95000</v>
      </c>
      <c r="W308" s="256">
        <f t="shared" si="71"/>
        <v>95000</v>
      </c>
      <c r="X308" s="256">
        <f t="shared" si="71"/>
        <v>95000</v>
      </c>
      <c r="Y308" s="256">
        <f t="shared" si="71"/>
        <v>95000</v>
      </c>
      <c r="Z308" s="256">
        <f t="shared" si="71"/>
        <v>95000</v>
      </c>
      <c r="AA308" s="256">
        <f t="shared" si="71"/>
        <v>95000</v>
      </c>
      <c r="AB308" s="256">
        <f t="shared" si="71"/>
        <v>95000</v>
      </c>
      <c r="AC308" s="256">
        <f t="shared" si="71"/>
        <v>95000</v>
      </c>
      <c r="AD308" s="256">
        <f t="shared" si="71"/>
        <v>95000</v>
      </c>
      <c r="AE308" s="256">
        <f t="shared" si="71"/>
        <v>95000</v>
      </c>
      <c r="AF308" s="256">
        <f t="shared" si="71"/>
        <v>95000</v>
      </c>
      <c r="AG308" s="256">
        <f t="shared" si="71"/>
        <v>95000</v>
      </c>
      <c r="AH308" s="256">
        <f t="shared" si="71"/>
        <v>95000</v>
      </c>
      <c r="AI308" s="256">
        <f t="shared" si="71"/>
        <v>95000</v>
      </c>
      <c r="AJ308" s="256">
        <f t="shared" si="71"/>
        <v>95000</v>
      </c>
      <c r="AK308" s="256">
        <f>AK304</f>
        <v>95000</v>
      </c>
    </row>
    <row r="309" spans="1:39" s="71" customFormat="1" x14ac:dyDescent="0.2">
      <c r="A309" s="227" t="s">
        <v>426</v>
      </c>
      <c r="B309" s="245">
        <v>0</v>
      </c>
      <c r="C309" s="245">
        <v>0</v>
      </c>
      <c r="D309" s="245">
        <v>0</v>
      </c>
      <c r="E309" s="245">
        <v>0</v>
      </c>
      <c r="F309" s="245">
        <v>0</v>
      </c>
      <c r="G309" s="245">
        <v>0</v>
      </c>
      <c r="H309" s="245">
        <v>0</v>
      </c>
      <c r="I309" s="263">
        <f>H309*(1+'Datu ievade'!I$438)</f>
        <v>0</v>
      </c>
      <c r="J309" s="263">
        <f>I309*(1+'Datu ievade'!J$438)</f>
        <v>0</v>
      </c>
      <c r="K309" s="263">
        <f>J309*(1+'Datu ievade'!K$438)</f>
        <v>0</v>
      </c>
      <c r="L309" s="263">
        <f>K309*(1+'Datu ievade'!L$438)</f>
        <v>0</v>
      </c>
      <c r="M309" s="263">
        <f>L309*(1+'Datu ievade'!M$438)</f>
        <v>0</v>
      </c>
      <c r="N309" s="263">
        <f>M309*(1+'Datu ievade'!N$438)</f>
        <v>0</v>
      </c>
      <c r="O309" s="263">
        <f>N309*(1+'Datu ievade'!O$438)</f>
        <v>0</v>
      </c>
      <c r="P309" s="263">
        <f>O309*(1+'Datu ievade'!P$438)</f>
        <v>0</v>
      </c>
      <c r="Q309" s="263">
        <f>P309*(1+'Datu ievade'!Q$438)</f>
        <v>0</v>
      </c>
      <c r="R309" s="263">
        <f>Q309*(1+'Datu ievade'!R$438)</f>
        <v>0</v>
      </c>
      <c r="S309" s="263">
        <f>R309*(1+'Datu ievade'!S$438)</f>
        <v>0</v>
      </c>
      <c r="T309" s="263">
        <f>S309*(1+'Datu ievade'!T$438)</f>
        <v>0</v>
      </c>
      <c r="U309" s="263">
        <f>T309*(1+'Datu ievade'!U$438)</f>
        <v>0</v>
      </c>
      <c r="V309" s="263">
        <f>U309*(1+'Datu ievade'!V$438)</f>
        <v>0</v>
      </c>
      <c r="W309" s="263">
        <f>V309*(1+'Datu ievade'!W$438)</f>
        <v>0</v>
      </c>
      <c r="X309" s="263">
        <f>W309*(1+'Datu ievade'!X$438)</f>
        <v>0</v>
      </c>
      <c r="Y309" s="263">
        <f>X309*(1+'Datu ievade'!Y$438)</f>
        <v>0</v>
      </c>
      <c r="Z309" s="263">
        <f>Y309*(1+'Datu ievade'!Z$438)</f>
        <v>0</v>
      </c>
      <c r="AA309" s="263">
        <f>Z309*(1+'Datu ievade'!AA$438)</f>
        <v>0</v>
      </c>
      <c r="AB309" s="263">
        <f>AA309*(1+'Datu ievade'!AB$438)</f>
        <v>0</v>
      </c>
      <c r="AC309" s="263">
        <f>AB309*(1+'Datu ievade'!AC$438)</f>
        <v>0</v>
      </c>
      <c r="AD309" s="263">
        <f>AC309*(1+'Datu ievade'!AD$438)</f>
        <v>0</v>
      </c>
      <c r="AE309" s="263">
        <f>AD309*(1+'Datu ievade'!AE$438)</f>
        <v>0</v>
      </c>
      <c r="AF309" s="263">
        <f>AE309*(1+'Datu ievade'!AF$438)</f>
        <v>0</v>
      </c>
      <c r="AG309" s="263">
        <f>AF309*(1+'Datu ievade'!AG$438)</f>
        <v>0</v>
      </c>
      <c r="AH309" s="263">
        <f>AG309*(1+'Datu ievade'!AH$438)</f>
        <v>0</v>
      </c>
      <c r="AI309" s="263">
        <f>AH309*(1+'Datu ievade'!AI$438)</f>
        <v>0</v>
      </c>
      <c r="AJ309" s="263">
        <f>AI309*(1+'Datu ievade'!AJ$438)</f>
        <v>0</v>
      </c>
      <c r="AK309" s="263">
        <f>AJ309*(1+'Datu ievade'!AK$438)</f>
        <v>0</v>
      </c>
    </row>
    <row r="310" spans="1:39" s="661" customFormat="1" x14ac:dyDescent="0.2">
      <c r="A310" s="703" t="s">
        <v>303</v>
      </c>
      <c r="B310" s="657"/>
      <c r="C310" s="657"/>
      <c r="D310" s="657"/>
      <c r="E310" s="658"/>
      <c r="F310" s="658"/>
      <c r="G310" s="658"/>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9"/>
      <c r="AH310" s="660"/>
      <c r="AI310" s="660"/>
      <c r="AJ310" s="659"/>
      <c r="AK310" s="659"/>
    </row>
    <row r="311" spans="1:39" s="71" customFormat="1" x14ac:dyDescent="0.2">
      <c r="A311" s="152" t="s">
        <v>341</v>
      </c>
      <c r="B311" s="267">
        <v>85000</v>
      </c>
      <c r="C311" s="267">
        <v>85000</v>
      </c>
      <c r="D311" s="267">
        <v>70000</v>
      </c>
      <c r="E311" s="267">
        <v>70000</v>
      </c>
      <c r="F311" s="267">
        <v>70000</v>
      </c>
      <c r="G311" s="267">
        <v>70000</v>
      </c>
      <c r="H311" s="207">
        <f t="shared" ref="H311:AJ311" si="72">G311</f>
        <v>70000</v>
      </c>
      <c r="I311" s="207">
        <f t="shared" si="72"/>
        <v>70000</v>
      </c>
      <c r="J311" s="207">
        <f t="shared" si="72"/>
        <v>70000</v>
      </c>
      <c r="K311" s="207">
        <f t="shared" si="72"/>
        <v>70000</v>
      </c>
      <c r="L311" s="207">
        <f t="shared" si="72"/>
        <v>70000</v>
      </c>
      <c r="M311" s="207">
        <f t="shared" si="72"/>
        <v>70000</v>
      </c>
      <c r="N311" s="207">
        <f t="shared" si="72"/>
        <v>70000</v>
      </c>
      <c r="O311" s="207">
        <f t="shared" si="72"/>
        <v>70000</v>
      </c>
      <c r="P311" s="207">
        <f t="shared" si="72"/>
        <v>70000</v>
      </c>
      <c r="Q311" s="207">
        <f t="shared" si="72"/>
        <v>70000</v>
      </c>
      <c r="R311" s="207">
        <f t="shared" si="72"/>
        <v>70000</v>
      </c>
      <c r="S311" s="207">
        <f t="shared" si="72"/>
        <v>70000</v>
      </c>
      <c r="T311" s="207">
        <f t="shared" si="72"/>
        <v>70000</v>
      </c>
      <c r="U311" s="207">
        <f t="shared" si="72"/>
        <v>70000</v>
      </c>
      <c r="V311" s="207">
        <f t="shared" si="72"/>
        <v>70000</v>
      </c>
      <c r="W311" s="207">
        <f t="shared" si="72"/>
        <v>70000</v>
      </c>
      <c r="X311" s="207">
        <f t="shared" si="72"/>
        <v>70000</v>
      </c>
      <c r="Y311" s="207">
        <f t="shared" si="72"/>
        <v>70000</v>
      </c>
      <c r="Z311" s="207">
        <f t="shared" si="72"/>
        <v>70000</v>
      </c>
      <c r="AA311" s="207">
        <f t="shared" si="72"/>
        <v>70000</v>
      </c>
      <c r="AB311" s="207">
        <f t="shared" si="72"/>
        <v>70000</v>
      </c>
      <c r="AC311" s="207">
        <f t="shared" si="72"/>
        <v>70000</v>
      </c>
      <c r="AD311" s="207">
        <f t="shared" si="72"/>
        <v>70000</v>
      </c>
      <c r="AE311" s="207">
        <f t="shared" si="72"/>
        <v>70000</v>
      </c>
      <c r="AF311" s="207">
        <f t="shared" si="72"/>
        <v>70000</v>
      </c>
      <c r="AG311" s="207">
        <f t="shared" si="72"/>
        <v>70000</v>
      </c>
      <c r="AH311" s="207">
        <f t="shared" si="72"/>
        <v>70000</v>
      </c>
      <c r="AI311" s="207">
        <f t="shared" si="72"/>
        <v>70000</v>
      </c>
      <c r="AJ311" s="207">
        <f t="shared" si="72"/>
        <v>70000</v>
      </c>
      <c r="AK311" s="207">
        <f>AJ311</f>
        <v>70000</v>
      </c>
    </row>
    <row r="312" spans="1:39" s="71" customFormat="1" x14ac:dyDescent="0.2">
      <c r="A312" s="152" t="s">
        <v>342</v>
      </c>
      <c r="B312" s="268">
        <f>B311/365</f>
        <v>232.87671232876713</v>
      </c>
      <c r="C312" s="268">
        <f t="shared" ref="C312:AJ312" si="73">C311/365</f>
        <v>232.87671232876713</v>
      </c>
      <c r="D312" s="268">
        <f t="shared" si="73"/>
        <v>191.78082191780823</v>
      </c>
      <c r="E312" s="268">
        <f t="shared" si="73"/>
        <v>191.78082191780823</v>
      </c>
      <c r="F312" s="268">
        <f t="shared" si="73"/>
        <v>191.78082191780823</v>
      </c>
      <c r="G312" s="268">
        <f t="shared" si="73"/>
        <v>191.78082191780823</v>
      </c>
      <c r="H312" s="268">
        <f t="shared" si="73"/>
        <v>191.78082191780823</v>
      </c>
      <c r="I312" s="268">
        <f t="shared" si="73"/>
        <v>191.78082191780823</v>
      </c>
      <c r="J312" s="268">
        <f t="shared" si="73"/>
        <v>191.78082191780823</v>
      </c>
      <c r="K312" s="268">
        <f t="shared" si="73"/>
        <v>191.78082191780823</v>
      </c>
      <c r="L312" s="268">
        <f t="shared" si="73"/>
        <v>191.78082191780823</v>
      </c>
      <c r="M312" s="268">
        <f t="shared" si="73"/>
        <v>191.78082191780823</v>
      </c>
      <c r="N312" s="268">
        <f t="shared" si="73"/>
        <v>191.78082191780823</v>
      </c>
      <c r="O312" s="268">
        <f t="shared" si="73"/>
        <v>191.78082191780823</v>
      </c>
      <c r="P312" s="268">
        <f t="shared" si="73"/>
        <v>191.78082191780823</v>
      </c>
      <c r="Q312" s="268">
        <f t="shared" si="73"/>
        <v>191.78082191780823</v>
      </c>
      <c r="R312" s="268">
        <f t="shared" si="73"/>
        <v>191.78082191780823</v>
      </c>
      <c r="S312" s="268">
        <f t="shared" si="73"/>
        <v>191.78082191780823</v>
      </c>
      <c r="T312" s="268">
        <f t="shared" si="73"/>
        <v>191.78082191780823</v>
      </c>
      <c r="U312" s="268">
        <f t="shared" si="73"/>
        <v>191.78082191780823</v>
      </c>
      <c r="V312" s="268">
        <f t="shared" si="73"/>
        <v>191.78082191780823</v>
      </c>
      <c r="W312" s="268">
        <f t="shared" si="73"/>
        <v>191.78082191780823</v>
      </c>
      <c r="X312" s="268">
        <f t="shared" si="73"/>
        <v>191.78082191780823</v>
      </c>
      <c r="Y312" s="268">
        <f t="shared" si="73"/>
        <v>191.78082191780823</v>
      </c>
      <c r="Z312" s="268">
        <f t="shared" si="73"/>
        <v>191.78082191780823</v>
      </c>
      <c r="AA312" s="268">
        <f t="shared" si="73"/>
        <v>191.78082191780823</v>
      </c>
      <c r="AB312" s="268">
        <f t="shared" si="73"/>
        <v>191.78082191780823</v>
      </c>
      <c r="AC312" s="268">
        <f t="shared" si="73"/>
        <v>191.78082191780823</v>
      </c>
      <c r="AD312" s="268">
        <f t="shared" si="73"/>
        <v>191.78082191780823</v>
      </c>
      <c r="AE312" s="268">
        <f t="shared" si="73"/>
        <v>191.78082191780823</v>
      </c>
      <c r="AF312" s="268">
        <f t="shared" si="73"/>
        <v>191.78082191780823</v>
      </c>
      <c r="AG312" s="268">
        <f t="shared" si="73"/>
        <v>191.78082191780823</v>
      </c>
      <c r="AH312" s="268">
        <f t="shared" si="73"/>
        <v>191.78082191780823</v>
      </c>
      <c r="AI312" s="268">
        <f t="shared" si="73"/>
        <v>191.78082191780823</v>
      </c>
      <c r="AJ312" s="268">
        <f t="shared" si="73"/>
        <v>191.78082191780823</v>
      </c>
      <c r="AK312" s="268">
        <f>AK311/365</f>
        <v>191.78082191780823</v>
      </c>
    </row>
    <row r="313" spans="1:39" s="71" customFormat="1" x14ac:dyDescent="0.2">
      <c r="A313" s="152" t="s">
        <v>426</v>
      </c>
      <c r="B313" s="245">
        <v>0</v>
      </c>
      <c r="C313" s="245">
        <v>0</v>
      </c>
      <c r="D313" s="245">
        <v>0</v>
      </c>
      <c r="E313" s="245">
        <v>0</v>
      </c>
      <c r="F313" s="245">
        <v>0</v>
      </c>
      <c r="G313" s="245">
        <v>0</v>
      </c>
      <c r="H313" s="245">
        <v>0</v>
      </c>
      <c r="I313" s="263">
        <f>H313*(1+'Datu ievade'!I$438)</f>
        <v>0</v>
      </c>
      <c r="J313" s="263">
        <f>I313*(1+'Datu ievade'!J$438)</f>
        <v>0</v>
      </c>
      <c r="K313" s="263">
        <f>J313*(1+'Datu ievade'!K$438)</f>
        <v>0</v>
      </c>
      <c r="L313" s="263">
        <f>K313*(1+'Datu ievade'!L$438)</f>
        <v>0</v>
      </c>
      <c r="M313" s="263">
        <f>L313*(1+'Datu ievade'!M$438)</f>
        <v>0</v>
      </c>
      <c r="N313" s="263">
        <f>M313*(1+'Datu ievade'!N$438)</f>
        <v>0</v>
      </c>
      <c r="O313" s="263">
        <f>N313*(1+'Datu ievade'!O$438)</f>
        <v>0</v>
      </c>
      <c r="P313" s="263">
        <f>O313*(1+'Datu ievade'!P$438)</f>
        <v>0</v>
      </c>
      <c r="Q313" s="263">
        <f>P313*(1+'Datu ievade'!Q$438)</f>
        <v>0</v>
      </c>
      <c r="R313" s="263">
        <f>Q313*(1+'Datu ievade'!R$438)</f>
        <v>0</v>
      </c>
      <c r="S313" s="263">
        <f>R313*(1+'Datu ievade'!S$438)</f>
        <v>0</v>
      </c>
      <c r="T313" s="263">
        <f>S313*(1+'Datu ievade'!T$438)</f>
        <v>0</v>
      </c>
      <c r="U313" s="263">
        <f>T313*(1+'Datu ievade'!U$438)</f>
        <v>0</v>
      </c>
      <c r="V313" s="263">
        <f>U313*(1+'Datu ievade'!V$438)</f>
        <v>0</v>
      </c>
      <c r="W313" s="263">
        <f>V313*(1+'Datu ievade'!W$438)</f>
        <v>0</v>
      </c>
      <c r="X313" s="263">
        <f>W313*(1+'Datu ievade'!X$438)</f>
        <v>0</v>
      </c>
      <c r="Y313" s="263">
        <f>X313*(1+'Datu ievade'!Y$438)</f>
        <v>0</v>
      </c>
      <c r="Z313" s="263">
        <f>Y313*(1+'Datu ievade'!Z$438)</f>
        <v>0</v>
      </c>
      <c r="AA313" s="263">
        <f>Z313*(1+'Datu ievade'!AA$438)</f>
        <v>0</v>
      </c>
      <c r="AB313" s="263">
        <f>AA313*(1+'Datu ievade'!AB$438)</f>
        <v>0</v>
      </c>
      <c r="AC313" s="263">
        <f>AB313*(1+'Datu ievade'!AC$438)</f>
        <v>0</v>
      </c>
      <c r="AD313" s="263">
        <f>AC313*(1+'Datu ievade'!AD$438)</f>
        <v>0</v>
      </c>
      <c r="AE313" s="263">
        <f>AD313*(1+'Datu ievade'!AE$438)</f>
        <v>0</v>
      </c>
      <c r="AF313" s="263">
        <f>AE313*(1+'Datu ievade'!AF$438)</f>
        <v>0</v>
      </c>
      <c r="AG313" s="263">
        <f>AF313*(1+'Datu ievade'!AG$438)</f>
        <v>0</v>
      </c>
      <c r="AH313" s="263">
        <f>AG313*(1+'Datu ievade'!AH$438)</f>
        <v>0</v>
      </c>
      <c r="AI313" s="263">
        <f>AH313*(1+'Datu ievade'!AI$438)</f>
        <v>0</v>
      </c>
      <c r="AJ313" s="263">
        <f>AI313*(1+'Datu ievade'!AJ$438)</f>
        <v>0</v>
      </c>
      <c r="AK313" s="263">
        <f>AJ313*(1+'Datu ievade'!AK$438)</f>
        <v>0</v>
      </c>
    </row>
    <row r="314" spans="1:39" s="661" customFormat="1" x14ac:dyDescent="0.2">
      <c r="A314" s="704" t="s">
        <v>305</v>
      </c>
      <c r="B314" s="665"/>
      <c r="C314" s="665"/>
      <c r="D314" s="665"/>
      <c r="E314" s="666"/>
      <c r="F314" s="666"/>
      <c r="G314" s="666"/>
      <c r="H314" s="666"/>
      <c r="I314" s="666"/>
      <c r="J314" s="666"/>
      <c r="K314" s="666"/>
      <c r="L314" s="666"/>
      <c r="M314" s="666"/>
      <c r="N314" s="666"/>
      <c r="O314" s="666"/>
      <c r="P314" s="666"/>
      <c r="Q314" s="666"/>
      <c r="R314" s="666"/>
      <c r="S314" s="666"/>
      <c r="T314" s="666"/>
      <c r="U314" s="666"/>
      <c r="V314" s="666"/>
      <c r="W314" s="666"/>
      <c r="X314" s="666"/>
      <c r="Y314" s="666"/>
      <c r="Z314" s="666"/>
      <c r="AA314" s="666"/>
      <c r="AB314" s="666"/>
      <c r="AC314" s="666"/>
      <c r="AD314" s="666"/>
      <c r="AE314" s="666"/>
      <c r="AF314" s="666"/>
      <c r="AG314" s="666"/>
      <c r="AH314" s="666"/>
      <c r="AI314" s="666"/>
      <c r="AJ314" s="666"/>
      <c r="AK314" s="666"/>
    </row>
    <row r="315" spans="1:39" s="71" customFormat="1" x14ac:dyDescent="0.2">
      <c r="A315" s="152" t="s">
        <v>341</v>
      </c>
      <c r="B315" s="269">
        <f>B311</f>
        <v>85000</v>
      </c>
      <c r="C315" s="269">
        <f>C311</f>
        <v>85000</v>
      </c>
      <c r="D315" s="269">
        <f>D311</f>
        <v>70000</v>
      </c>
      <c r="E315" s="270">
        <f>E311</f>
        <v>70000</v>
      </c>
      <c r="F315" s="270">
        <f t="shared" ref="F315:AJ315" si="74">F311</f>
        <v>70000</v>
      </c>
      <c r="G315" s="270">
        <f t="shared" si="74"/>
        <v>70000</v>
      </c>
      <c r="H315" s="270">
        <f t="shared" si="74"/>
        <v>70000</v>
      </c>
      <c r="I315" s="270">
        <f t="shared" si="74"/>
        <v>70000</v>
      </c>
      <c r="J315" s="270">
        <f t="shared" si="74"/>
        <v>70000</v>
      </c>
      <c r="K315" s="270">
        <f t="shared" si="74"/>
        <v>70000</v>
      </c>
      <c r="L315" s="270">
        <f t="shared" si="74"/>
        <v>70000</v>
      </c>
      <c r="M315" s="270">
        <f t="shared" si="74"/>
        <v>70000</v>
      </c>
      <c r="N315" s="270">
        <f t="shared" si="74"/>
        <v>70000</v>
      </c>
      <c r="O315" s="270">
        <f t="shared" si="74"/>
        <v>70000</v>
      </c>
      <c r="P315" s="270">
        <f t="shared" si="74"/>
        <v>70000</v>
      </c>
      <c r="Q315" s="270">
        <f t="shared" si="74"/>
        <v>70000</v>
      </c>
      <c r="R315" s="270">
        <f t="shared" si="74"/>
        <v>70000</v>
      </c>
      <c r="S315" s="270">
        <f t="shared" si="74"/>
        <v>70000</v>
      </c>
      <c r="T315" s="270">
        <f t="shared" si="74"/>
        <v>70000</v>
      </c>
      <c r="U315" s="270">
        <f t="shared" si="74"/>
        <v>70000</v>
      </c>
      <c r="V315" s="270">
        <f t="shared" si="74"/>
        <v>70000</v>
      </c>
      <c r="W315" s="270">
        <f t="shared" si="74"/>
        <v>70000</v>
      </c>
      <c r="X315" s="270">
        <f t="shared" si="74"/>
        <v>70000</v>
      </c>
      <c r="Y315" s="270">
        <f t="shared" si="74"/>
        <v>70000</v>
      </c>
      <c r="Z315" s="270">
        <f t="shared" si="74"/>
        <v>70000</v>
      </c>
      <c r="AA315" s="270">
        <f t="shared" si="74"/>
        <v>70000</v>
      </c>
      <c r="AB315" s="270">
        <f t="shared" si="74"/>
        <v>70000</v>
      </c>
      <c r="AC315" s="270">
        <f t="shared" si="74"/>
        <v>70000</v>
      </c>
      <c r="AD315" s="270">
        <f t="shared" si="74"/>
        <v>70000</v>
      </c>
      <c r="AE315" s="270">
        <f t="shared" si="74"/>
        <v>70000</v>
      </c>
      <c r="AF315" s="270">
        <f t="shared" si="74"/>
        <v>70000</v>
      </c>
      <c r="AG315" s="270">
        <f t="shared" si="74"/>
        <v>70000</v>
      </c>
      <c r="AH315" s="270">
        <f t="shared" si="74"/>
        <v>70000</v>
      </c>
      <c r="AI315" s="270">
        <f t="shared" si="74"/>
        <v>70000</v>
      </c>
      <c r="AJ315" s="270">
        <f t="shared" si="74"/>
        <v>70000</v>
      </c>
      <c r="AK315" s="270">
        <f>AK311</f>
        <v>70000</v>
      </c>
    </row>
    <row r="316" spans="1:39" s="71" customFormat="1" x14ac:dyDescent="0.2">
      <c r="A316" s="152" t="s">
        <v>426</v>
      </c>
      <c r="B316" s="245">
        <v>0</v>
      </c>
      <c r="C316" s="245">
        <v>0</v>
      </c>
      <c r="D316" s="245">
        <v>0</v>
      </c>
      <c r="E316" s="245">
        <v>0</v>
      </c>
      <c r="F316" s="245">
        <v>0</v>
      </c>
      <c r="G316" s="245">
        <v>0</v>
      </c>
      <c r="H316" s="245">
        <v>0</v>
      </c>
      <c r="I316" s="263">
        <f>H316*(1+'Datu ievade'!I$438)</f>
        <v>0</v>
      </c>
      <c r="J316" s="263">
        <f>I316*(1+'Datu ievade'!J$438)</f>
        <v>0</v>
      </c>
      <c r="K316" s="263">
        <f>J316*(1+'Datu ievade'!K$438)</f>
        <v>0</v>
      </c>
      <c r="L316" s="263">
        <f>K316*(1+'Datu ievade'!L$438)</f>
        <v>0</v>
      </c>
      <c r="M316" s="263">
        <f>L316*(1+'Datu ievade'!M$438)</f>
        <v>0</v>
      </c>
      <c r="N316" s="263">
        <f>M316*(1+'Datu ievade'!N$438)</f>
        <v>0</v>
      </c>
      <c r="O316" s="263">
        <f>N316*(1+'Datu ievade'!O$438)</f>
        <v>0</v>
      </c>
      <c r="P316" s="263">
        <f>O316*(1+'Datu ievade'!P$438)</f>
        <v>0</v>
      </c>
      <c r="Q316" s="263">
        <f>P316*(1+'Datu ievade'!Q$438)</f>
        <v>0</v>
      </c>
      <c r="R316" s="263">
        <f>Q316*(1+'Datu ievade'!R$438)</f>
        <v>0</v>
      </c>
      <c r="S316" s="263">
        <f>R316*(1+'Datu ievade'!S$438)</f>
        <v>0</v>
      </c>
      <c r="T316" s="263">
        <f>S316*(1+'Datu ievade'!T$438)</f>
        <v>0</v>
      </c>
      <c r="U316" s="263">
        <f>T316*(1+'Datu ievade'!U$438)</f>
        <v>0</v>
      </c>
      <c r="V316" s="263">
        <f>U316*(1+'Datu ievade'!V$438)</f>
        <v>0</v>
      </c>
      <c r="W316" s="263">
        <f>V316*(1+'Datu ievade'!W$438)</f>
        <v>0</v>
      </c>
      <c r="X316" s="263">
        <f>W316*(1+'Datu ievade'!X$438)</f>
        <v>0</v>
      </c>
      <c r="Y316" s="263">
        <f>X316*(1+'Datu ievade'!Y$438)</f>
        <v>0</v>
      </c>
      <c r="Z316" s="263">
        <f>Y316*(1+'Datu ievade'!Z$438)</f>
        <v>0</v>
      </c>
      <c r="AA316" s="263">
        <f>Z316*(1+'Datu ievade'!AA$438)</f>
        <v>0</v>
      </c>
      <c r="AB316" s="263">
        <f>AA316*(1+'Datu ievade'!AB$438)</f>
        <v>0</v>
      </c>
      <c r="AC316" s="263">
        <f>AB316*(1+'Datu ievade'!AC$438)</f>
        <v>0</v>
      </c>
      <c r="AD316" s="263">
        <f>AC316*(1+'Datu ievade'!AD$438)</f>
        <v>0</v>
      </c>
      <c r="AE316" s="263">
        <f>AD316*(1+'Datu ievade'!AE$438)</f>
        <v>0</v>
      </c>
      <c r="AF316" s="263">
        <f>AE316*(1+'Datu ievade'!AF$438)</f>
        <v>0</v>
      </c>
      <c r="AG316" s="263">
        <f>AF316*(1+'Datu ievade'!AG$438)</f>
        <v>0</v>
      </c>
      <c r="AH316" s="263">
        <f>AG316*(1+'Datu ievade'!AH$438)</f>
        <v>0</v>
      </c>
      <c r="AI316" s="263">
        <f>AH316*(1+'Datu ievade'!AI$438)</f>
        <v>0</v>
      </c>
      <c r="AJ316" s="263">
        <f>AI316*(1+'Datu ievade'!AJ$438)</f>
        <v>0</v>
      </c>
      <c r="AK316" s="263">
        <f>AJ316*(1+'Datu ievade'!AK$438)</f>
        <v>0</v>
      </c>
    </row>
    <row r="317" spans="1:39" s="71" customFormat="1" ht="25.5" x14ac:dyDescent="0.2">
      <c r="A317" s="699" t="s">
        <v>316</v>
      </c>
      <c r="B317" s="271">
        <f t="shared" ref="B317:AJ317" si="75">B311+B304+B295</f>
        <v>904012.5</v>
      </c>
      <c r="C317" s="271">
        <f t="shared" si="75"/>
        <v>904012.5</v>
      </c>
      <c r="D317" s="271">
        <f t="shared" si="75"/>
        <v>874012.5</v>
      </c>
      <c r="E317" s="271">
        <f t="shared" si="75"/>
        <v>874012.5</v>
      </c>
      <c r="F317" s="271">
        <f t="shared" si="75"/>
        <v>874012.5</v>
      </c>
      <c r="G317" s="271">
        <f t="shared" si="75"/>
        <v>874012.5</v>
      </c>
      <c r="H317" s="271">
        <f t="shared" si="75"/>
        <v>874012.5</v>
      </c>
      <c r="I317" s="271">
        <f t="shared" si="75"/>
        <v>903395</v>
      </c>
      <c r="J317" s="271">
        <f t="shared" si="75"/>
        <v>903395</v>
      </c>
      <c r="K317" s="271">
        <f t="shared" si="75"/>
        <v>903395</v>
      </c>
      <c r="L317" s="271">
        <f t="shared" si="75"/>
        <v>903395</v>
      </c>
      <c r="M317" s="271">
        <f t="shared" si="75"/>
        <v>903395</v>
      </c>
      <c r="N317" s="271">
        <f t="shared" si="75"/>
        <v>903395</v>
      </c>
      <c r="O317" s="271">
        <f t="shared" si="75"/>
        <v>903395</v>
      </c>
      <c r="P317" s="271">
        <f t="shared" si="75"/>
        <v>903395</v>
      </c>
      <c r="Q317" s="271">
        <f t="shared" si="75"/>
        <v>903395</v>
      </c>
      <c r="R317" s="271">
        <f t="shared" si="75"/>
        <v>903395</v>
      </c>
      <c r="S317" s="271">
        <f t="shared" si="75"/>
        <v>903395</v>
      </c>
      <c r="T317" s="271">
        <f t="shared" si="75"/>
        <v>903395</v>
      </c>
      <c r="U317" s="271">
        <f t="shared" si="75"/>
        <v>903395</v>
      </c>
      <c r="V317" s="271">
        <f t="shared" si="75"/>
        <v>903395</v>
      </c>
      <c r="W317" s="271">
        <f t="shared" si="75"/>
        <v>903395</v>
      </c>
      <c r="X317" s="271">
        <f t="shared" si="75"/>
        <v>903395</v>
      </c>
      <c r="Y317" s="271">
        <f t="shared" si="75"/>
        <v>903395</v>
      </c>
      <c r="Z317" s="271">
        <f t="shared" si="75"/>
        <v>903395</v>
      </c>
      <c r="AA317" s="271">
        <f t="shared" si="75"/>
        <v>903395</v>
      </c>
      <c r="AB317" s="271">
        <f t="shared" si="75"/>
        <v>903395</v>
      </c>
      <c r="AC317" s="271">
        <f t="shared" si="75"/>
        <v>903395</v>
      </c>
      <c r="AD317" s="271">
        <f t="shared" si="75"/>
        <v>903395</v>
      </c>
      <c r="AE317" s="271">
        <f t="shared" si="75"/>
        <v>903395</v>
      </c>
      <c r="AF317" s="271">
        <f t="shared" si="75"/>
        <v>903395</v>
      </c>
      <c r="AG317" s="271">
        <f t="shared" si="75"/>
        <v>903395</v>
      </c>
      <c r="AH317" s="271">
        <f t="shared" si="75"/>
        <v>903395</v>
      </c>
      <c r="AI317" s="271">
        <f t="shared" si="75"/>
        <v>903395</v>
      </c>
      <c r="AJ317" s="271">
        <f t="shared" si="75"/>
        <v>903395</v>
      </c>
      <c r="AK317" s="271">
        <f>AK311+AK304+AK295</f>
        <v>903395</v>
      </c>
    </row>
    <row r="318" spans="1:39" s="71" customFormat="1" ht="25.5" x14ac:dyDescent="0.2">
      <c r="A318" s="699" t="s">
        <v>314</v>
      </c>
      <c r="B318" s="271">
        <f>B300+B308+B315</f>
        <v>904012.5</v>
      </c>
      <c r="C318" s="271">
        <f t="shared" ref="C318:AJ318" si="76">C300+C308+C315</f>
        <v>904012.5</v>
      </c>
      <c r="D318" s="271">
        <f t="shared" si="76"/>
        <v>874012.5</v>
      </c>
      <c r="E318" s="271">
        <f t="shared" si="76"/>
        <v>874012.5</v>
      </c>
      <c r="F318" s="271">
        <f t="shared" si="76"/>
        <v>874012.5</v>
      </c>
      <c r="G318" s="271">
        <f t="shared" si="76"/>
        <v>874012.5</v>
      </c>
      <c r="H318" s="271">
        <f t="shared" si="76"/>
        <v>874012.5</v>
      </c>
      <c r="I318" s="271">
        <f t="shared" si="76"/>
        <v>874012.5</v>
      </c>
      <c r="J318" s="271">
        <f t="shared" si="76"/>
        <v>874012.5</v>
      </c>
      <c r="K318" s="271">
        <f t="shared" si="76"/>
        <v>874012.5</v>
      </c>
      <c r="L318" s="271">
        <f t="shared" si="76"/>
        <v>874012.5</v>
      </c>
      <c r="M318" s="271">
        <f t="shared" si="76"/>
        <v>874012.5</v>
      </c>
      <c r="N318" s="271">
        <f t="shared" si="76"/>
        <v>874012.5</v>
      </c>
      <c r="O318" s="271">
        <f t="shared" si="76"/>
        <v>874012.5</v>
      </c>
      <c r="P318" s="271">
        <f t="shared" si="76"/>
        <v>874012.5</v>
      </c>
      <c r="Q318" s="271">
        <f t="shared" si="76"/>
        <v>874012.5</v>
      </c>
      <c r="R318" s="271">
        <f t="shared" si="76"/>
        <v>874012.5</v>
      </c>
      <c r="S318" s="271">
        <f t="shared" si="76"/>
        <v>874012.5</v>
      </c>
      <c r="T318" s="271">
        <f t="shared" si="76"/>
        <v>874012.5</v>
      </c>
      <c r="U318" s="271">
        <f t="shared" si="76"/>
        <v>874012.5</v>
      </c>
      <c r="V318" s="271">
        <f t="shared" si="76"/>
        <v>874012.5</v>
      </c>
      <c r="W318" s="271">
        <f t="shared" si="76"/>
        <v>874012.5</v>
      </c>
      <c r="X318" s="271">
        <f t="shared" si="76"/>
        <v>874012.5</v>
      </c>
      <c r="Y318" s="271">
        <f t="shared" si="76"/>
        <v>874012.5</v>
      </c>
      <c r="Z318" s="271">
        <f t="shared" si="76"/>
        <v>874012.5</v>
      </c>
      <c r="AA318" s="271">
        <f t="shared" si="76"/>
        <v>874012.5</v>
      </c>
      <c r="AB318" s="271">
        <f t="shared" si="76"/>
        <v>874012.5</v>
      </c>
      <c r="AC318" s="271">
        <f t="shared" si="76"/>
        <v>874012.5</v>
      </c>
      <c r="AD318" s="271">
        <f t="shared" si="76"/>
        <v>874012.5</v>
      </c>
      <c r="AE318" s="271">
        <f t="shared" si="76"/>
        <v>874012.5</v>
      </c>
      <c r="AF318" s="271">
        <f t="shared" si="76"/>
        <v>874012.5</v>
      </c>
      <c r="AG318" s="271">
        <f t="shared" si="76"/>
        <v>874012.5</v>
      </c>
      <c r="AH318" s="271">
        <f t="shared" si="76"/>
        <v>874012.5</v>
      </c>
      <c r="AI318" s="271">
        <f t="shared" si="76"/>
        <v>874012.5</v>
      </c>
      <c r="AJ318" s="271">
        <f t="shared" si="76"/>
        <v>874012.5</v>
      </c>
      <c r="AK318" s="271">
        <f>AK300+AK308+AK315</f>
        <v>874012.5</v>
      </c>
    </row>
    <row r="319" spans="1:39" s="71" customFormat="1" ht="15" x14ac:dyDescent="0.2">
      <c r="A319" s="705" t="s">
        <v>60</v>
      </c>
      <c r="B319" s="273">
        <v>0.02</v>
      </c>
      <c r="C319" s="273">
        <v>0.02</v>
      </c>
      <c r="D319" s="273">
        <v>0.05</v>
      </c>
      <c r="E319" s="273">
        <v>0.05</v>
      </c>
      <c r="F319" s="273">
        <v>0.05</v>
      </c>
      <c r="G319" s="273">
        <v>0.05</v>
      </c>
      <c r="H319" s="273">
        <f t="shared" ref="H319:AJ319" si="77">G319</f>
        <v>0.05</v>
      </c>
      <c r="I319" s="273">
        <f>H319</f>
        <v>0.05</v>
      </c>
      <c r="J319" s="273">
        <f t="shared" si="77"/>
        <v>0.05</v>
      </c>
      <c r="K319" s="273">
        <v>0.04</v>
      </c>
      <c r="L319" s="273">
        <f t="shared" si="77"/>
        <v>0.04</v>
      </c>
      <c r="M319" s="273">
        <f t="shared" si="77"/>
        <v>0.04</v>
      </c>
      <c r="N319" s="273">
        <f>M319</f>
        <v>0.04</v>
      </c>
      <c r="O319" s="273">
        <v>0.04</v>
      </c>
      <c r="P319" s="273">
        <f t="shared" si="77"/>
        <v>0.04</v>
      </c>
      <c r="Q319" s="273">
        <f t="shared" si="77"/>
        <v>0.04</v>
      </c>
      <c r="R319" s="273">
        <f t="shared" si="77"/>
        <v>0.04</v>
      </c>
      <c r="S319" s="273">
        <v>0.03</v>
      </c>
      <c r="T319" s="273">
        <f t="shared" si="77"/>
        <v>0.03</v>
      </c>
      <c r="U319" s="273">
        <f t="shared" si="77"/>
        <v>0.03</v>
      </c>
      <c r="V319" s="273">
        <f t="shared" si="77"/>
        <v>0.03</v>
      </c>
      <c r="W319" s="273">
        <f t="shared" si="77"/>
        <v>0.03</v>
      </c>
      <c r="X319" s="273">
        <f t="shared" si="77"/>
        <v>0.03</v>
      </c>
      <c r="Y319" s="273">
        <f t="shared" si="77"/>
        <v>0.03</v>
      </c>
      <c r="Z319" s="273">
        <f t="shared" si="77"/>
        <v>0.03</v>
      </c>
      <c r="AA319" s="273">
        <f t="shared" si="77"/>
        <v>0.03</v>
      </c>
      <c r="AB319" s="273">
        <f>AA319</f>
        <v>0.03</v>
      </c>
      <c r="AC319" s="273">
        <f t="shared" si="77"/>
        <v>0.03</v>
      </c>
      <c r="AD319" s="273">
        <f t="shared" si="77"/>
        <v>0.03</v>
      </c>
      <c r="AE319" s="273">
        <f t="shared" si="77"/>
        <v>0.03</v>
      </c>
      <c r="AF319" s="273">
        <f t="shared" si="77"/>
        <v>0.03</v>
      </c>
      <c r="AG319" s="274">
        <f t="shared" si="77"/>
        <v>0.03</v>
      </c>
      <c r="AH319" s="274">
        <f t="shared" si="77"/>
        <v>0.03</v>
      </c>
      <c r="AI319" s="274">
        <f>AH319</f>
        <v>0.03</v>
      </c>
      <c r="AJ319" s="274">
        <f t="shared" si="77"/>
        <v>0.03</v>
      </c>
      <c r="AK319" s="274">
        <f>AJ319</f>
        <v>0.03</v>
      </c>
    </row>
    <row r="320" spans="1:39" x14ac:dyDescent="0.2">
      <c r="AH320" s="275"/>
      <c r="AI320" s="275"/>
      <c r="AJ320" s="75"/>
      <c r="AL320" s="71"/>
      <c r="AM320" s="71"/>
    </row>
    <row r="321" spans="1:36" ht="15" x14ac:dyDescent="0.2">
      <c r="A321" s="272" t="s">
        <v>61</v>
      </c>
      <c r="B321" s="807"/>
      <c r="C321" s="807"/>
      <c r="D321" s="807"/>
      <c r="E321" s="807"/>
      <c r="F321" s="807"/>
      <c r="G321" s="807"/>
      <c r="H321" s="807">
        <v>0</v>
      </c>
      <c r="I321" s="807">
        <v>0</v>
      </c>
      <c r="J321" s="807">
        <v>0</v>
      </c>
      <c r="K321" s="647"/>
      <c r="L321" s="647"/>
      <c r="M321" s="647"/>
      <c r="N321" s="647"/>
      <c r="O321" s="647"/>
      <c r="P321" s="647"/>
      <c r="Q321" s="647"/>
      <c r="R321" s="647"/>
      <c r="S321" s="647"/>
      <c r="T321" s="647"/>
      <c r="U321" s="647"/>
      <c r="V321" s="647"/>
      <c r="W321" s="647"/>
      <c r="AH321" s="275"/>
      <c r="AI321" s="275"/>
      <c r="AJ321" s="75"/>
    </row>
    <row r="322" spans="1:36" ht="15.75" x14ac:dyDescent="0.2">
      <c r="A322" s="706" t="s">
        <v>332</v>
      </c>
      <c r="B322" s="808"/>
      <c r="C322" s="808"/>
      <c r="D322" s="808"/>
      <c r="E322" s="809">
        <f t="shared" ref="E322:J322" ca="1" si="78">E321+C111+C117+B164</f>
        <v>1136000</v>
      </c>
      <c r="F322" s="809">
        <f t="shared" ca="1" si="78"/>
        <v>289413.52</v>
      </c>
      <c r="G322" s="809">
        <f t="shared" ca="1" si="78"/>
        <v>573150.62</v>
      </c>
      <c r="H322" s="809">
        <f t="shared" ca="1" si="78"/>
        <v>0</v>
      </c>
      <c r="I322" s="809">
        <f t="shared" ca="1" si="78"/>
        <v>0</v>
      </c>
      <c r="J322" s="809">
        <f t="shared" si="78"/>
        <v>0</v>
      </c>
      <c r="K322" s="647"/>
      <c r="L322" s="647"/>
      <c r="M322" s="647"/>
      <c r="N322" s="647"/>
      <c r="O322" s="647"/>
      <c r="P322" s="647"/>
      <c r="Q322" s="647"/>
      <c r="R322" s="647"/>
      <c r="S322" s="647"/>
      <c r="T322" s="647"/>
      <c r="U322" s="647"/>
      <c r="V322" s="647"/>
      <c r="W322" s="647"/>
      <c r="AH322" s="275"/>
      <c r="AI322" s="275"/>
      <c r="AJ322" s="75"/>
    </row>
    <row r="323" spans="1:36" ht="31.5" x14ac:dyDescent="0.2">
      <c r="A323" s="706" t="s">
        <v>520</v>
      </c>
      <c r="B323" s="732"/>
      <c r="C323" s="732"/>
      <c r="D323" s="732"/>
      <c r="E323" s="733"/>
      <c r="F323" s="733"/>
      <c r="G323" s="733"/>
      <c r="H323" s="733"/>
      <c r="I323" s="733"/>
      <c r="J323" s="733"/>
      <c r="K323" s="732"/>
      <c r="L323" s="732"/>
      <c r="M323" s="732"/>
      <c r="N323" s="732"/>
      <c r="O323" s="732"/>
      <c r="P323" s="732"/>
      <c r="Q323" s="732"/>
      <c r="R323" s="732"/>
      <c r="S323" s="732"/>
      <c r="T323" s="732"/>
      <c r="U323" s="732"/>
      <c r="V323" s="732"/>
      <c r="W323" s="732"/>
      <c r="X323" s="732"/>
      <c r="Y323" s="732"/>
      <c r="Z323" s="732"/>
      <c r="AA323" s="732"/>
      <c r="AB323" s="732"/>
      <c r="AC323" s="732"/>
      <c r="AD323" s="732"/>
      <c r="AE323" s="732"/>
      <c r="AF323" s="732"/>
      <c r="AG323" s="732"/>
      <c r="AH323" s="732"/>
      <c r="AI323" s="275"/>
      <c r="AJ323" s="75"/>
    </row>
    <row r="324" spans="1:36" s="71" customFormat="1" ht="31.5" x14ac:dyDescent="0.2">
      <c r="A324" s="276" t="s">
        <v>427</v>
      </c>
      <c r="B324" s="228"/>
      <c r="C324" s="228"/>
      <c r="D324" s="228"/>
      <c r="E324" s="228"/>
      <c r="F324" s="228"/>
      <c r="G324" s="228"/>
      <c r="H324" s="228"/>
      <c r="I324" s="228"/>
      <c r="J324" s="228"/>
      <c r="K324" s="277"/>
      <c r="L324" s="277"/>
      <c r="M324" s="277"/>
      <c r="N324" s="277"/>
      <c r="O324" s="277"/>
      <c r="P324" s="277"/>
      <c r="Q324" s="277"/>
      <c r="R324" s="277"/>
      <c r="S324" s="277"/>
      <c r="T324" s="277"/>
      <c r="U324" s="277"/>
      <c r="V324" s="277"/>
      <c r="W324" s="277"/>
      <c r="X324" s="277"/>
      <c r="Y324" s="277"/>
      <c r="Z324" s="81"/>
      <c r="AA324" s="81"/>
      <c r="AB324" s="81"/>
      <c r="AC324" s="81"/>
      <c r="AD324" s="81"/>
      <c r="AE324" s="81"/>
      <c r="AF324" s="81"/>
      <c r="AG324" s="277"/>
      <c r="AH324" s="277"/>
      <c r="AI324" s="275"/>
      <c r="AJ324" s="75"/>
    </row>
    <row r="325" spans="1:36" s="71" customFormat="1" x14ac:dyDescent="0.2">
      <c r="A325" s="278" t="s">
        <v>62</v>
      </c>
      <c r="B325" s="279">
        <f>B32</f>
        <v>2014</v>
      </c>
      <c r="C325" s="280">
        <f>B325+1</f>
        <v>2015</v>
      </c>
      <c r="D325" s="280">
        <f t="shared" ref="D325:AG325" si="79">C325+1</f>
        <v>2016</v>
      </c>
      <c r="E325" s="280">
        <f t="shared" si="79"/>
        <v>2017</v>
      </c>
      <c r="F325" s="280">
        <f t="shared" si="79"/>
        <v>2018</v>
      </c>
      <c r="G325" s="280">
        <f t="shared" si="79"/>
        <v>2019</v>
      </c>
      <c r="H325" s="280">
        <f t="shared" si="79"/>
        <v>2020</v>
      </c>
      <c r="I325" s="280">
        <f t="shared" si="79"/>
        <v>2021</v>
      </c>
      <c r="J325" s="280">
        <f t="shared" si="79"/>
        <v>2022</v>
      </c>
      <c r="K325" s="280">
        <f t="shared" si="79"/>
        <v>2023</v>
      </c>
      <c r="L325" s="280">
        <f t="shared" si="79"/>
        <v>2024</v>
      </c>
      <c r="M325" s="280">
        <f t="shared" si="79"/>
        <v>2025</v>
      </c>
      <c r="N325" s="280">
        <f t="shared" si="79"/>
        <v>2026</v>
      </c>
      <c r="O325" s="280">
        <f t="shared" si="79"/>
        <v>2027</v>
      </c>
      <c r="P325" s="280">
        <f t="shared" si="79"/>
        <v>2028</v>
      </c>
      <c r="Q325" s="280">
        <f t="shared" si="79"/>
        <v>2029</v>
      </c>
      <c r="R325" s="280">
        <f t="shared" si="79"/>
        <v>2030</v>
      </c>
      <c r="S325" s="280">
        <f t="shared" si="79"/>
        <v>2031</v>
      </c>
      <c r="T325" s="280">
        <f t="shared" si="79"/>
        <v>2032</v>
      </c>
      <c r="U325" s="280">
        <f t="shared" si="79"/>
        <v>2033</v>
      </c>
      <c r="V325" s="280">
        <f t="shared" si="79"/>
        <v>2034</v>
      </c>
      <c r="W325" s="280">
        <f t="shared" si="79"/>
        <v>2035</v>
      </c>
      <c r="X325" s="280">
        <f t="shared" si="79"/>
        <v>2036</v>
      </c>
      <c r="Y325" s="280">
        <f t="shared" si="79"/>
        <v>2037</v>
      </c>
      <c r="Z325" s="280">
        <f t="shared" si="79"/>
        <v>2038</v>
      </c>
      <c r="AA325" s="280">
        <f t="shared" si="79"/>
        <v>2039</v>
      </c>
      <c r="AB325" s="280">
        <f t="shared" si="79"/>
        <v>2040</v>
      </c>
      <c r="AC325" s="280">
        <f t="shared" si="79"/>
        <v>2041</v>
      </c>
      <c r="AD325" s="280">
        <f t="shared" si="79"/>
        <v>2042</v>
      </c>
      <c r="AE325" s="280">
        <f t="shared" si="79"/>
        <v>2043</v>
      </c>
      <c r="AF325" s="280">
        <f t="shared" si="79"/>
        <v>2044</v>
      </c>
      <c r="AG325" s="280">
        <f t="shared" si="79"/>
        <v>2045</v>
      </c>
      <c r="AH325" s="280">
        <f>AG325+1</f>
        <v>2046</v>
      </c>
      <c r="AI325" s="275"/>
      <c r="AJ325" s="75"/>
    </row>
    <row r="326" spans="1:36" s="283" customFormat="1" x14ac:dyDescent="0.2">
      <c r="A326" s="707" t="s">
        <v>315</v>
      </c>
      <c r="B326" s="254"/>
      <c r="C326" s="254"/>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c r="Z326" s="254"/>
      <c r="AA326" s="254"/>
      <c r="AB326" s="254"/>
      <c r="AC326" s="254"/>
      <c r="AD326" s="254"/>
      <c r="AE326" s="254"/>
      <c r="AF326" s="254"/>
      <c r="AG326" s="716"/>
      <c r="AH326" s="716"/>
      <c r="AI326" s="275"/>
      <c r="AJ326" s="75"/>
    </row>
    <row r="327" spans="1:36" s="283" customFormat="1" x14ac:dyDescent="0.2">
      <c r="A327" s="684" t="s">
        <v>392</v>
      </c>
      <c r="B327" s="685">
        <v>55628</v>
      </c>
      <c r="C327" s="685">
        <v>52520</v>
      </c>
      <c r="D327" s="685">
        <v>50420</v>
      </c>
      <c r="E327" s="685">
        <v>24380</v>
      </c>
      <c r="F327" s="685">
        <v>0</v>
      </c>
      <c r="G327" s="685">
        <v>0</v>
      </c>
      <c r="H327" s="685">
        <v>0</v>
      </c>
      <c r="I327" s="685">
        <v>0</v>
      </c>
      <c r="J327" s="685">
        <v>0</v>
      </c>
      <c r="K327" s="685">
        <v>0</v>
      </c>
      <c r="L327" s="685">
        <v>0</v>
      </c>
      <c r="M327" s="682"/>
      <c r="N327" s="682"/>
      <c r="O327" s="682"/>
      <c r="P327" s="682"/>
      <c r="Q327" s="682"/>
      <c r="R327" s="682"/>
      <c r="S327" s="682"/>
      <c r="T327" s="682"/>
      <c r="U327" s="682"/>
      <c r="V327" s="682"/>
      <c r="W327" s="682"/>
      <c r="X327" s="682"/>
      <c r="Y327" s="682"/>
      <c r="Z327" s="682"/>
      <c r="AA327" s="682"/>
      <c r="AB327" s="682"/>
      <c r="AC327" s="682"/>
      <c r="AD327" s="682"/>
      <c r="AE327" s="682"/>
      <c r="AF327" s="682"/>
      <c r="AG327" s="683"/>
      <c r="AH327" s="683"/>
      <c r="AI327" s="275"/>
      <c r="AJ327" s="75"/>
    </row>
    <row r="328" spans="1:36" s="283" customFormat="1" x14ac:dyDescent="0.2">
      <c r="A328" s="684" t="s">
        <v>393</v>
      </c>
      <c r="B328" s="685">
        <v>32750</v>
      </c>
      <c r="C328" s="685">
        <v>31325</v>
      </c>
      <c r="D328" s="685">
        <v>29900</v>
      </c>
      <c r="E328" s="685">
        <v>21524</v>
      </c>
      <c r="F328" s="685">
        <v>0</v>
      </c>
      <c r="G328" s="685">
        <v>0</v>
      </c>
      <c r="H328" s="685">
        <v>0</v>
      </c>
      <c r="I328" s="685">
        <v>0</v>
      </c>
      <c r="J328" s="685">
        <v>0</v>
      </c>
      <c r="K328" s="685">
        <v>0</v>
      </c>
      <c r="L328" s="685">
        <v>0</v>
      </c>
      <c r="M328" s="682"/>
      <c r="N328" s="682"/>
      <c r="O328" s="682"/>
      <c r="P328" s="682"/>
      <c r="Q328" s="682"/>
      <c r="R328" s="682"/>
      <c r="S328" s="682"/>
      <c r="T328" s="682"/>
      <c r="U328" s="682"/>
      <c r="V328" s="682"/>
      <c r="W328" s="682"/>
      <c r="X328" s="682"/>
      <c r="Y328" s="682"/>
      <c r="Z328" s="682"/>
      <c r="AA328" s="682"/>
      <c r="AB328" s="682"/>
      <c r="AC328" s="682"/>
      <c r="AD328" s="682"/>
      <c r="AE328" s="682"/>
      <c r="AF328" s="682"/>
      <c r="AG328" s="683"/>
      <c r="AH328" s="683"/>
      <c r="AI328" s="275"/>
      <c r="AJ328" s="75"/>
    </row>
    <row r="329" spans="1:36" s="283" customFormat="1" x14ac:dyDescent="0.2">
      <c r="A329" s="684" t="s">
        <v>391</v>
      </c>
      <c r="B329" s="685">
        <v>1650</v>
      </c>
      <c r="C329" s="685">
        <v>1500</v>
      </c>
      <c r="D329" s="685">
        <v>32830</v>
      </c>
      <c r="E329" s="685">
        <v>16755</v>
      </c>
      <c r="F329" s="685">
        <v>0</v>
      </c>
      <c r="G329" s="685">
        <v>0</v>
      </c>
      <c r="H329" s="685">
        <v>0</v>
      </c>
      <c r="I329" s="685">
        <v>0</v>
      </c>
      <c r="J329" s="685">
        <v>0</v>
      </c>
      <c r="K329" s="685">
        <v>0</v>
      </c>
      <c r="L329" s="685">
        <v>0</v>
      </c>
      <c r="M329" s="682"/>
      <c r="N329" s="682"/>
      <c r="O329" s="682"/>
      <c r="P329" s="682"/>
      <c r="Q329" s="682"/>
      <c r="R329" s="682"/>
      <c r="S329" s="682"/>
      <c r="T329" s="682"/>
      <c r="U329" s="682"/>
      <c r="V329" s="682"/>
      <c r="W329" s="682"/>
      <c r="X329" s="682"/>
      <c r="Y329" s="682"/>
      <c r="Z329" s="682"/>
      <c r="AA329" s="682"/>
      <c r="AB329" s="682"/>
      <c r="AC329" s="682"/>
      <c r="AD329" s="682"/>
      <c r="AE329" s="682"/>
      <c r="AF329" s="682"/>
      <c r="AG329" s="683"/>
      <c r="AH329" s="683"/>
      <c r="AI329" s="275"/>
      <c r="AJ329" s="75"/>
    </row>
    <row r="330" spans="1:36" s="283" customFormat="1" x14ac:dyDescent="0.2">
      <c r="A330" s="684" t="s">
        <v>389</v>
      </c>
      <c r="B330" s="685">
        <v>92968</v>
      </c>
      <c r="C330" s="685">
        <v>91728</v>
      </c>
      <c r="D330" s="685">
        <v>88964</v>
      </c>
      <c r="E330" s="685">
        <v>86201</v>
      </c>
      <c r="F330" s="685">
        <v>83437</v>
      </c>
      <c r="G330" s="685">
        <v>80670</v>
      </c>
      <c r="H330" s="685">
        <v>77900</v>
      </c>
      <c r="I330" s="685">
        <v>75130</v>
      </c>
      <c r="J330" s="685">
        <v>24767</v>
      </c>
      <c r="K330" s="685">
        <v>0</v>
      </c>
      <c r="L330" s="685">
        <v>0</v>
      </c>
      <c r="M330" s="682"/>
      <c r="N330" s="682"/>
      <c r="O330" s="682"/>
      <c r="P330" s="682"/>
      <c r="Q330" s="682"/>
      <c r="R330" s="682"/>
      <c r="S330" s="682"/>
      <c r="T330" s="682"/>
      <c r="U330" s="682"/>
      <c r="V330" s="682"/>
      <c r="W330" s="682"/>
      <c r="X330" s="682"/>
      <c r="Y330" s="682"/>
      <c r="Z330" s="682"/>
      <c r="AA330" s="682"/>
      <c r="AB330" s="682"/>
      <c r="AC330" s="682"/>
      <c r="AD330" s="682"/>
      <c r="AE330" s="682"/>
      <c r="AF330" s="682"/>
      <c r="AG330" s="683"/>
      <c r="AH330" s="683"/>
      <c r="AI330" s="275"/>
      <c r="AJ330" s="75"/>
    </row>
    <row r="331" spans="1:36" s="283" customFormat="1" ht="25.5" x14ac:dyDescent="0.2">
      <c r="A331" s="684" t="s">
        <v>394</v>
      </c>
      <c r="B331" s="685">
        <v>50583</v>
      </c>
      <c r="C331" s="685">
        <v>48000</v>
      </c>
      <c r="D331" s="685">
        <v>45500</v>
      </c>
      <c r="E331" s="685">
        <v>43000</v>
      </c>
      <c r="F331" s="685">
        <v>40500</v>
      </c>
      <c r="G331" s="685">
        <v>38000</v>
      </c>
      <c r="H331" s="685">
        <v>35500</v>
      </c>
      <c r="I331" s="685">
        <v>32000</v>
      </c>
      <c r="J331" s="685">
        <v>25000</v>
      </c>
      <c r="K331" s="685">
        <v>0</v>
      </c>
      <c r="L331" s="685">
        <v>0</v>
      </c>
      <c r="M331" s="682"/>
      <c r="N331" s="682"/>
      <c r="O331" s="682"/>
      <c r="P331" s="682"/>
      <c r="Q331" s="682"/>
      <c r="R331" s="682"/>
      <c r="S331" s="682"/>
      <c r="T331" s="682"/>
      <c r="U331" s="682"/>
      <c r="V331" s="682"/>
      <c r="W331" s="682"/>
      <c r="X331" s="682"/>
      <c r="Y331" s="682"/>
      <c r="Z331" s="682"/>
      <c r="AA331" s="682"/>
      <c r="AB331" s="682"/>
      <c r="AC331" s="682"/>
      <c r="AD331" s="682"/>
      <c r="AE331" s="682"/>
      <c r="AF331" s="682"/>
      <c r="AG331" s="683"/>
      <c r="AH331" s="683"/>
      <c r="AI331" s="275"/>
      <c r="AJ331" s="75"/>
    </row>
    <row r="332" spans="1:36" s="283" customFormat="1" x14ac:dyDescent="0.2">
      <c r="A332" s="684" t="s">
        <v>472</v>
      </c>
      <c r="B332" s="685">
        <v>48350</v>
      </c>
      <c r="C332" s="685">
        <v>161212</v>
      </c>
      <c r="D332" s="685">
        <v>151212</v>
      </c>
      <c r="E332" s="685">
        <v>141212</v>
      </c>
      <c r="F332" s="685">
        <v>131212</v>
      </c>
      <c r="G332" s="685">
        <v>121212</v>
      </c>
      <c r="H332" s="685">
        <v>121212</v>
      </c>
      <c r="I332" s="685">
        <v>111212</v>
      </c>
      <c r="J332" s="685">
        <v>101212</v>
      </c>
      <c r="K332" s="685">
        <v>60304</v>
      </c>
      <c r="L332" s="685">
        <v>0</v>
      </c>
      <c r="M332" s="682"/>
      <c r="N332" s="682"/>
      <c r="O332" s="682"/>
      <c r="P332" s="682"/>
      <c r="Q332" s="682"/>
      <c r="R332" s="682"/>
      <c r="S332" s="682"/>
      <c r="T332" s="682"/>
      <c r="U332" s="682"/>
      <c r="V332" s="682"/>
      <c r="W332" s="682"/>
      <c r="X332" s="682"/>
      <c r="Y332" s="682"/>
      <c r="Z332" s="682"/>
      <c r="AA332" s="682"/>
      <c r="AB332" s="682"/>
      <c r="AC332" s="682"/>
      <c r="AD332" s="682"/>
      <c r="AE332" s="682"/>
      <c r="AF332" s="682"/>
      <c r="AG332" s="683"/>
      <c r="AH332" s="683"/>
      <c r="AI332" s="275"/>
      <c r="AJ332" s="75"/>
    </row>
    <row r="333" spans="1:36" s="283" customFormat="1" x14ac:dyDescent="0.2">
      <c r="A333" s="684" t="s">
        <v>395</v>
      </c>
      <c r="B333" s="685">
        <v>24200</v>
      </c>
      <c r="C333" s="685">
        <v>80600</v>
      </c>
      <c r="D333" s="685">
        <v>70600</v>
      </c>
      <c r="E333" s="685">
        <v>60600</v>
      </c>
      <c r="F333" s="685">
        <v>60600</v>
      </c>
      <c r="G333" s="685">
        <v>60600</v>
      </c>
      <c r="H333" s="685">
        <v>60600</v>
      </c>
      <c r="I333" s="685">
        <v>60600</v>
      </c>
      <c r="J333" s="685">
        <v>60600</v>
      </c>
      <c r="K333" s="685">
        <v>15200</v>
      </c>
      <c r="L333" s="685">
        <v>0</v>
      </c>
      <c r="M333" s="682"/>
      <c r="N333" s="682"/>
      <c r="O333" s="682"/>
      <c r="P333" s="682"/>
      <c r="Q333" s="682"/>
      <c r="R333" s="682"/>
      <c r="S333" s="682"/>
      <c r="T333" s="682"/>
      <c r="U333" s="682"/>
      <c r="V333" s="682"/>
      <c r="W333" s="682"/>
      <c r="X333" s="682"/>
      <c r="Y333" s="682"/>
      <c r="Z333" s="682"/>
      <c r="AA333" s="682"/>
      <c r="AB333" s="682"/>
      <c r="AC333" s="682"/>
      <c r="AD333" s="682"/>
      <c r="AE333" s="682"/>
      <c r="AF333" s="682"/>
      <c r="AG333" s="683"/>
      <c r="AH333" s="683"/>
      <c r="AI333" s="275"/>
      <c r="AJ333" s="75"/>
    </row>
    <row r="334" spans="1:36" s="283" customFormat="1" ht="25.5" x14ac:dyDescent="0.2">
      <c r="A334" s="684" t="s">
        <v>390</v>
      </c>
      <c r="B334" s="685">
        <v>27491</v>
      </c>
      <c r="C334" s="685">
        <v>36654</v>
      </c>
      <c r="D334" s="685">
        <v>91615</v>
      </c>
      <c r="E334" s="685">
        <v>105927</v>
      </c>
      <c r="F334" s="685">
        <v>101345</v>
      </c>
      <c r="G334" s="685">
        <v>96763</v>
      </c>
      <c r="H334" s="685">
        <v>92182</v>
      </c>
      <c r="I334" s="685">
        <v>87654</v>
      </c>
      <c r="J334" s="685">
        <v>83126</v>
      </c>
      <c r="K334" s="685">
        <v>78598</v>
      </c>
      <c r="L334" s="685">
        <v>18569</v>
      </c>
      <c r="M334" s="682"/>
      <c r="N334" s="682"/>
      <c r="O334" s="682"/>
      <c r="P334" s="682"/>
      <c r="Q334" s="682"/>
      <c r="R334" s="682"/>
      <c r="S334" s="682"/>
      <c r="T334" s="682"/>
      <c r="U334" s="682"/>
      <c r="V334" s="682"/>
      <c r="W334" s="682"/>
      <c r="X334" s="682"/>
      <c r="Y334" s="682"/>
      <c r="Z334" s="682"/>
      <c r="AA334" s="682"/>
      <c r="AB334" s="682"/>
      <c r="AC334" s="682"/>
      <c r="AD334" s="682"/>
      <c r="AE334" s="682"/>
      <c r="AF334" s="682"/>
      <c r="AG334" s="683"/>
      <c r="AH334" s="683"/>
      <c r="AI334" s="275"/>
      <c r="AJ334" s="75"/>
    </row>
    <row r="335" spans="1:36" s="283" customFormat="1" x14ac:dyDescent="0.2">
      <c r="A335" s="711"/>
      <c r="B335" s="682"/>
      <c r="C335" s="682"/>
      <c r="D335" s="682"/>
      <c r="E335" s="682"/>
      <c r="F335" s="682"/>
      <c r="G335" s="682"/>
      <c r="H335" s="682"/>
      <c r="I335" s="682"/>
      <c r="J335" s="682"/>
      <c r="K335" s="682"/>
      <c r="L335" s="682"/>
      <c r="M335" s="682"/>
      <c r="N335" s="682"/>
      <c r="O335" s="682"/>
      <c r="P335" s="682"/>
      <c r="Q335" s="682"/>
      <c r="R335" s="682"/>
      <c r="S335" s="682"/>
      <c r="T335" s="682"/>
      <c r="U335" s="682"/>
      <c r="V335" s="682"/>
      <c r="W335" s="682"/>
      <c r="X335" s="682"/>
      <c r="Y335" s="682"/>
      <c r="Z335" s="682"/>
      <c r="AA335" s="682"/>
      <c r="AB335" s="682"/>
      <c r="AC335" s="682"/>
      <c r="AD335" s="682"/>
      <c r="AE335" s="682"/>
      <c r="AF335" s="682"/>
      <c r="AG335" s="683"/>
      <c r="AH335" s="683"/>
      <c r="AI335" s="275"/>
      <c r="AJ335" s="75"/>
    </row>
    <row r="336" spans="1:36" s="283" customFormat="1" x14ac:dyDescent="0.2">
      <c r="A336" s="711"/>
      <c r="B336" s="682"/>
      <c r="C336" s="682"/>
      <c r="D336" s="682"/>
      <c r="E336" s="682"/>
      <c r="F336" s="682"/>
      <c r="G336" s="682"/>
      <c r="H336" s="682"/>
      <c r="I336" s="682"/>
      <c r="J336" s="682"/>
      <c r="K336" s="682"/>
      <c r="L336" s="682"/>
      <c r="M336" s="682"/>
      <c r="N336" s="682"/>
      <c r="O336" s="682"/>
      <c r="P336" s="682"/>
      <c r="Q336" s="682"/>
      <c r="R336" s="682"/>
      <c r="S336" s="682"/>
      <c r="T336" s="682"/>
      <c r="U336" s="682"/>
      <c r="V336" s="682"/>
      <c r="W336" s="682"/>
      <c r="X336" s="682"/>
      <c r="Y336" s="682"/>
      <c r="Z336" s="682"/>
      <c r="AA336" s="682"/>
      <c r="AB336" s="682"/>
      <c r="AC336" s="682"/>
      <c r="AD336" s="682"/>
      <c r="AE336" s="682"/>
      <c r="AF336" s="682"/>
      <c r="AG336" s="683"/>
      <c r="AH336" s="683"/>
      <c r="AI336" s="275"/>
      <c r="AJ336" s="75"/>
    </row>
    <row r="337" spans="1:36" s="71" customFormat="1" x14ac:dyDescent="0.2">
      <c r="A337" s="227" t="s">
        <v>397</v>
      </c>
      <c r="B337" s="284">
        <f>'Ilgtermina saistibas'!B18</f>
        <v>0</v>
      </c>
      <c r="C337" s="284">
        <f>'Ilgtermina saistibas'!C18</f>
        <v>0</v>
      </c>
      <c r="D337" s="284">
        <f ca="1">'Ilgtermina saistibas'!D18</f>
        <v>0</v>
      </c>
      <c r="E337" s="284">
        <f ca="1">'Ilgtermina saistibas'!E18</f>
        <v>0</v>
      </c>
      <c r="F337" s="284">
        <f ca="1">'Ilgtermina saistibas'!F18</f>
        <v>0</v>
      </c>
      <c r="G337" s="284">
        <f ca="1">'Ilgtermina saistibas'!G18</f>
        <v>0</v>
      </c>
      <c r="H337" s="284">
        <f ca="1">'Ilgtermina saistibas'!H18</f>
        <v>0</v>
      </c>
      <c r="I337" s="284">
        <f ca="1">'Ilgtermina saistibas'!I18</f>
        <v>0</v>
      </c>
      <c r="J337" s="284">
        <f ca="1">'Ilgtermina saistibas'!J18</f>
        <v>0</v>
      </c>
      <c r="K337" s="284">
        <f ca="1">'Ilgtermina saistibas'!K18</f>
        <v>0</v>
      </c>
      <c r="L337" s="284">
        <f ca="1">'Ilgtermina saistibas'!L18</f>
        <v>0</v>
      </c>
      <c r="M337" s="284">
        <f ca="1">'Ilgtermina saistibas'!M18</f>
        <v>0</v>
      </c>
      <c r="N337" s="284">
        <f ca="1">'Ilgtermina saistibas'!N18</f>
        <v>0</v>
      </c>
      <c r="O337" s="284">
        <f ca="1">'Ilgtermina saistibas'!O18</f>
        <v>0</v>
      </c>
      <c r="P337" s="284">
        <f ca="1">'Ilgtermina saistibas'!P18</f>
        <v>0</v>
      </c>
      <c r="Q337" s="284">
        <f ca="1">'Ilgtermina saistibas'!Q18</f>
        <v>0</v>
      </c>
      <c r="R337" s="284">
        <f ca="1">'Ilgtermina saistibas'!R18</f>
        <v>0</v>
      </c>
      <c r="S337" s="284">
        <f ca="1">'Ilgtermina saistibas'!S18</f>
        <v>0</v>
      </c>
      <c r="T337" s="284">
        <f ca="1">'Ilgtermina saistibas'!T18</f>
        <v>0</v>
      </c>
      <c r="U337" s="284">
        <f ca="1">'Ilgtermina saistibas'!U18</f>
        <v>0</v>
      </c>
      <c r="V337" s="284">
        <f ca="1">'Ilgtermina saistibas'!V18</f>
        <v>0</v>
      </c>
      <c r="W337" s="284">
        <f ca="1">'Ilgtermina saistibas'!W18</f>
        <v>0</v>
      </c>
      <c r="X337" s="284">
        <f ca="1">'Ilgtermina saistibas'!X18</f>
        <v>0</v>
      </c>
      <c r="Y337" s="284">
        <f ca="1">'Ilgtermina saistibas'!Y18</f>
        <v>0</v>
      </c>
      <c r="Z337" s="284">
        <f ca="1">'Ilgtermina saistibas'!Z18</f>
        <v>0</v>
      </c>
      <c r="AA337" s="284">
        <f ca="1">'Ilgtermina saistibas'!AA18</f>
        <v>0</v>
      </c>
      <c r="AB337" s="284">
        <f ca="1">'Ilgtermina saistibas'!AB18</f>
        <v>0</v>
      </c>
      <c r="AC337" s="284">
        <f ca="1">'Ilgtermina saistibas'!AC18</f>
        <v>0</v>
      </c>
      <c r="AD337" s="284">
        <f ca="1">'Ilgtermina saistibas'!AD18</f>
        <v>0</v>
      </c>
      <c r="AE337" s="284">
        <f ca="1">'Ilgtermina saistibas'!AE18</f>
        <v>0</v>
      </c>
      <c r="AF337" s="284">
        <f ca="1">'Ilgtermina saistibas'!AF18</f>
        <v>0</v>
      </c>
      <c r="AG337" s="285">
        <f ca="1">'Ilgtermina saistibas'!AG18</f>
        <v>0</v>
      </c>
      <c r="AH337" s="285">
        <f ca="1">'Ilgtermina saistibas'!AH18</f>
        <v>0</v>
      </c>
      <c r="AI337" s="275"/>
      <c r="AJ337" s="75"/>
    </row>
    <row r="338" spans="1:36" s="71" customFormat="1" x14ac:dyDescent="0.2">
      <c r="A338" s="278" t="s">
        <v>63</v>
      </c>
      <c r="B338" s="286"/>
      <c r="C338" s="286"/>
      <c r="D338" s="286"/>
      <c r="E338" s="286"/>
      <c r="F338" s="286"/>
      <c r="G338" s="286"/>
      <c r="H338" s="286"/>
      <c r="I338" s="286"/>
      <c r="J338" s="286"/>
      <c r="K338" s="286"/>
      <c r="L338" s="286"/>
      <c r="M338" s="286"/>
      <c r="N338" s="286"/>
      <c r="O338" s="286"/>
      <c r="P338" s="286"/>
      <c r="Q338" s="286"/>
      <c r="R338" s="286"/>
      <c r="S338" s="286"/>
      <c r="T338" s="286"/>
      <c r="U338" s="286"/>
      <c r="V338" s="286"/>
      <c r="W338" s="286"/>
      <c r="X338" s="286"/>
      <c r="Y338" s="286"/>
      <c r="Z338" s="286"/>
      <c r="AA338" s="286"/>
      <c r="AB338" s="286"/>
      <c r="AC338" s="286"/>
      <c r="AD338" s="286"/>
      <c r="AE338" s="286"/>
      <c r="AF338" s="286"/>
      <c r="AG338" s="287"/>
      <c r="AH338" s="287"/>
      <c r="AI338" s="275"/>
      <c r="AJ338" s="75"/>
    </row>
    <row r="339" spans="1:36" s="71" customFormat="1" x14ac:dyDescent="0.2">
      <c r="A339" s="712"/>
      <c r="B339" s="682"/>
      <c r="C339" s="682"/>
      <c r="D339" s="682"/>
      <c r="E339" s="682"/>
      <c r="F339" s="682"/>
      <c r="G339" s="682"/>
      <c r="H339" s="682"/>
      <c r="I339" s="682"/>
      <c r="J339" s="682"/>
      <c r="K339" s="682"/>
      <c r="L339" s="682"/>
      <c r="M339" s="682"/>
      <c r="N339" s="682"/>
      <c r="O339" s="682"/>
      <c r="P339" s="682"/>
      <c r="Q339" s="682"/>
      <c r="R339" s="682"/>
      <c r="S339" s="682"/>
      <c r="T339" s="682"/>
      <c r="U339" s="682"/>
      <c r="V339" s="682"/>
      <c r="W339" s="682"/>
      <c r="X339" s="682"/>
      <c r="Y339" s="682"/>
      <c r="Z339" s="682"/>
      <c r="AA339" s="682"/>
      <c r="AB339" s="682"/>
      <c r="AC339" s="682"/>
      <c r="AD339" s="682"/>
      <c r="AE339" s="682"/>
      <c r="AF339" s="682"/>
      <c r="AG339" s="683"/>
      <c r="AH339" s="683"/>
      <c r="AI339" s="275"/>
      <c r="AJ339" s="75"/>
    </row>
    <row r="340" spans="1:36" s="71" customFormat="1" x14ac:dyDescent="0.2">
      <c r="A340" s="712"/>
      <c r="B340" s="682"/>
      <c r="C340" s="682"/>
      <c r="D340" s="682"/>
      <c r="E340" s="682"/>
      <c r="F340" s="682"/>
      <c r="G340" s="682"/>
      <c r="H340" s="682"/>
      <c r="I340" s="682"/>
      <c r="J340" s="682"/>
      <c r="K340" s="682"/>
      <c r="L340" s="682"/>
      <c r="M340" s="682"/>
      <c r="N340" s="682"/>
      <c r="O340" s="682"/>
      <c r="P340" s="682"/>
      <c r="Q340" s="682"/>
      <c r="R340" s="682"/>
      <c r="S340" s="682"/>
      <c r="T340" s="682"/>
      <c r="U340" s="682"/>
      <c r="V340" s="682"/>
      <c r="W340" s="682"/>
      <c r="X340" s="682"/>
      <c r="Y340" s="682"/>
      <c r="Z340" s="682"/>
      <c r="AA340" s="682"/>
      <c r="AB340" s="682"/>
      <c r="AC340" s="682"/>
      <c r="AD340" s="682"/>
      <c r="AE340" s="682"/>
      <c r="AF340" s="682"/>
      <c r="AG340" s="683"/>
      <c r="AH340" s="683"/>
      <c r="AI340" s="275"/>
      <c r="AJ340" s="75"/>
    </row>
    <row r="341" spans="1:36" s="71" customFormat="1" x14ac:dyDescent="0.2">
      <c r="A341" s="712"/>
      <c r="B341" s="682"/>
      <c r="C341" s="682"/>
      <c r="D341" s="682"/>
      <c r="E341" s="682"/>
      <c r="F341" s="682"/>
      <c r="G341" s="682"/>
      <c r="H341" s="682"/>
      <c r="I341" s="682"/>
      <c r="J341" s="682"/>
      <c r="K341" s="682"/>
      <c r="L341" s="682"/>
      <c r="M341" s="682"/>
      <c r="N341" s="682"/>
      <c r="O341" s="682"/>
      <c r="P341" s="682"/>
      <c r="Q341" s="682"/>
      <c r="R341" s="682"/>
      <c r="S341" s="682"/>
      <c r="T341" s="682"/>
      <c r="U341" s="682"/>
      <c r="V341" s="682"/>
      <c r="W341" s="682"/>
      <c r="X341" s="682"/>
      <c r="Y341" s="682"/>
      <c r="Z341" s="682"/>
      <c r="AA341" s="682"/>
      <c r="AB341" s="682"/>
      <c r="AC341" s="682"/>
      <c r="AD341" s="682"/>
      <c r="AE341" s="682"/>
      <c r="AF341" s="682"/>
      <c r="AG341" s="683"/>
      <c r="AH341" s="683"/>
      <c r="AI341" s="275"/>
      <c r="AJ341" s="75"/>
    </row>
    <row r="342" spans="1:36" s="71" customFormat="1" hidden="1" x14ac:dyDescent="0.2">
      <c r="A342" s="227"/>
      <c r="B342" s="281"/>
      <c r="C342" s="281"/>
      <c r="D342" s="281"/>
      <c r="E342" s="281"/>
      <c r="F342" s="281"/>
      <c r="G342" s="281"/>
      <c r="H342" s="281"/>
      <c r="I342" s="281"/>
      <c r="J342" s="281"/>
      <c r="K342" s="281"/>
      <c r="L342" s="281"/>
      <c r="M342" s="281"/>
      <c r="N342" s="281"/>
      <c r="O342" s="281"/>
      <c r="P342" s="281"/>
      <c r="Q342" s="281"/>
      <c r="R342" s="281"/>
      <c r="S342" s="281"/>
      <c r="T342" s="281"/>
      <c r="U342" s="281"/>
      <c r="V342" s="281"/>
      <c r="W342" s="281"/>
      <c r="X342" s="281"/>
      <c r="Y342" s="281"/>
      <c r="Z342" s="281"/>
      <c r="AA342" s="281"/>
      <c r="AB342" s="281"/>
      <c r="AC342" s="281"/>
      <c r="AD342" s="281"/>
      <c r="AE342" s="281"/>
      <c r="AF342" s="281"/>
      <c r="AG342" s="282"/>
      <c r="AH342" s="282"/>
      <c r="AI342" s="275"/>
      <c r="AJ342" s="75"/>
    </row>
    <row r="343" spans="1:36" s="71" customFormat="1" hidden="1" x14ac:dyDescent="0.2">
      <c r="A343" s="227"/>
      <c r="B343" s="281"/>
      <c r="C343" s="281"/>
      <c r="D343" s="281"/>
      <c r="E343" s="281"/>
      <c r="F343" s="281"/>
      <c r="G343" s="281"/>
      <c r="H343" s="281"/>
      <c r="I343" s="281"/>
      <c r="J343" s="281"/>
      <c r="K343" s="281"/>
      <c r="L343" s="281"/>
      <c r="M343" s="281"/>
      <c r="N343" s="281"/>
      <c r="O343" s="281"/>
      <c r="P343" s="281"/>
      <c r="Q343" s="281"/>
      <c r="R343" s="281"/>
      <c r="S343" s="281"/>
      <c r="T343" s="281"/>
      <c r="U343" s="281"/>
      <c r="V343" s="281"/>
      <c r="W343" s="281"/>
      <c r="X343" s="281"/>
      <c r="Y343" s="281"/>
      <c r="Z343" s="281"/>
      <c r="AA343" s="281"/>
      <c r="AB343" s="281"/>
      <c r="AC343" s="281"/>
      <c r="AD343" s="281"/>
      <c r="AE343" s="281"/>
      <c r="AF343" s="281"/>
      <c r="AG343" s="282"/>
      <c r="AH343" s="282"/>
      <c r="AI343" s="275"/>
      <c r="AJ343" s="75"/>
    </row>
    <row r="344" spans="1:36" s="71" customFormat="1" hidden="1" x14ac:dyDescent="0.2">
      <c r="A344" s="227"/>
      <c r="B344" s="281"/>
      <c r="C344" s="281"/>
      <c r="D344" s="281"/>
      <c r="E344" s="281"/>
      <c r="F344" s="281"/>
      <c r="G344" s="281"/>
      <c r="H344" s="281"/>
      <c r="I344" s="281"/>
      <c r="J344" s="281"/>
      <c r="K344" s="281"/>
      <c r="L344" s="281"/>
      <c r="M344" s="281"/>
      <c r="N344" s="281"/>
      <c r="O344" s="281"/>
      <c r="P344" s="281"/>
      <c r="Q344" s="281"/>
      <c r="R344" s="281"/>
      <c r="S344" s="281"/>
      <c r="T344" s="281"/>
      <c r="U344" s="281"/>
      <c r="V344" s="281"/>
      <c r="W344" s="281"/>
      <c r="X344" s="281"/>
      <c r="Y344" s="281"/>
      <c r="Z344" s="281"/>
      <c r="AA344" s="281"/>
      <c r="AB344" s="281"/>
      <c r="AC344" s="281"/>
      <c r="AD344" s="281"/>
      <c r="AE344" s="281"/>
      <c r="AF344" s="281"/>
      <c r="AG344" s="282"/>
      <c r="AH344" s="282"/>
      <c r="AI344" s="275"/>
      <c r="AJ344" s="75"/>
    </row>
    <row r="345" spans="1:36" s="71" customFormat="1" hidden="1" x14ac:dyDescent="0.2">
      <c r="A345" s="227"/>
      <c r="B345" s="281"/>
      <c r="C345" s="281"/>
      <c r="D345" s="281"/>
      <c r="E345" s="281"/>
      <c r="F345" s="281"/>
      <c r="G345" s="281"/>
      <c r="H345" s="281"/>
      <c r="I345" s="281"/>
      <c r="J345" s="281"/>
      <c r="K345" s="281"/>
      <c r="L345" s="281"/>
      <c r="M345" s="281"/>
      <c r="N345" s="281"/>
      <c r="O345" s="281"/>
      <c r="P345" s="281"/>
      <c r="Q345" s="281"/>
      <c r="R345" s="281"/>
      <c r="S345" s="281"/>
      <c r="T345" s="281"/>
      <c r="U345" s="281"/>
      <c r="V345" s="281"/>
      <c r="W345" s="281"/>
      <c r="X345" s="281"/>
      <c r="Y345" s="281"/>
      <c r="Z345" s="281"/>
      <c r="AA345" s="281"/>
      <c r="AB345" s="281"/>
      <c r="AC345" s="281"/>
      <c r="AD345" s="281"/>
      <c r="AE345" s="281"/>
      <c r="AF345" s="281"/>
      <c r="AG345" s="282"/>
      <c r="AH345" s="282"/>
      <c r="AI345" s="275"/>
      <c r="AJ345" s="75"/>
    </row>
    <row r="346" spans="1:36" s="71" customFormat="1" hidden="1" x14ac:dyDescent="0.2">
      <c r="A346" s="227"/>
      <c r="B346" s="281"/>
      <c r="C346" s="281"/>
      <c r="D346" s="281"/>
      <c r="E346" s="281"/>
      <c r="F346" s="281"/>
      <c r="G346" s="281"/>
      <c r="H346" s="281"/>
      <c r="I346" s="281"/>
      <c r="J346" s="281"/>
      <c r="K346" s="281"/>
      <c r="L346" s="281"/>
      <c r="M346" s="281"/>
      <c r="N346" s="281"/>
      <c r="O346" s="281"/>
      <c r="P346" s="281"/>
      <c r="Q346" s="281"/>
      <c r="R346" s="281"/>
      <c r="S346" s="281"/>
      <c r="T346" s="281"/>
      <c r="U346" s="281"/>
      <c r="V346" s="281"/>
      <c r="W346" s="281"/>
      <c r="X346" s="281"/>
      <c r="Y346" s="281"/>
      <c r="Z346" s="281"/>
      <c r="AA346" s="281"/>
      <c r="AB346" s="281"/>
      <c r="AC346" s="281"/>
      <c r="AD346" s="281"/>
      <c r="AE346" s="281"/>
      <c r="AF346" s="281"/>
      <c r="AG346" s="282"/>
      <c r="AH346" s="282"/>
      <c r="AI346" s="275"/>
      <c r="AJ346" s="75"/>
    </row>
    <row r="347" spans="1:36" s="71" customFormat="1" hidden="1" x14ac:dyDescent="0.2">
      <c r="A347" s="227"/>
      <c r="B347" s="281"/>
      <c r="C347" s="281"/>
      <c r="D347" s="281"/>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c r="AA347" s="281"/>
      <c r="AB347" s="281"/>
      <c r="AC347" s="281"/>
      <c r="AD347" s="281"/>
      <c r="AE347" s="281"/>
      <c r="AF347" s="281"/>
      <c r="AG347" s="282"/>
      <c r="AH347" s="282"/>
      <c r="AI347" s="275"/>
      <c r="AJ347" s="75"/>
    </row>
    <row r="348" spans="1:36" s="71" customFormat="1" hidden="1" x14ac:dyDescent="0.2">
      <c r="A348" s="227"/>
      <c r="B348" s="281"/>
      <c r="C348" s="281"/>
      <c r="D348" s="281"/>
      <c r="E348" s="281"/>
      <c r="F348" s="281"/>
      <c r="G348" s="281"/>
      <c r="H348" s="281"/>
      <c r="I348" s="281"/>
      <c r="J348" s="281"/>
      <c r="K348" s="281"/>
      <c r="L348" s="281"/>
      <c r="M348" s="281"/>
      <c r="N348" s="281"/>
      <c r="O348" s="281"/>
      <c r="P348" s="281"/>
      <c r="Q348" s="281"/>
      <c r="R348" s="281"/>
      <c r="S348" s="281"/>
      <c r="T348" s="281"/>
      <c r="U348" s="281"/>
      <c r="V348" s="281"/>
      <c r="W348" s="281"/>
      <c r="X348" s="281"/>
      <c r="Y348" s="281"/>
      <c r="Z348" s="281"/>
      <c r="AA348" s="281"/>
      <c r="AB348" s="281"/>
      <c r="AC348" s="281"/>
      <c r="AD348" s="281"/>
      <c r="AE348" s="281"/>
      <c r="AF348" s="281"/>
      <c r="AG348" s="282"/>
      <c r="AH348" s="282"/>
      <c r="AI348" s="275"/>
      <c r="AJ348" s="75"/>
    </row>
    <row r="349" spans="1:36" s="71" customFormat="1" hidden="1" x14ac:dyDescent="0.2">
      <c r="A349" s="227"/>
      <c r="B349" s="281"/>
      <c r="C349" s="281"/>
      <c r="D349" s="281"/>
      <c r="E349" s="281"/>
      <c r="F349" s="281"/>
      <c r="G349" s="281"/>
      <c r="H349" s="281"/>
      <c r="I349" s="281"/>
      <c r="J349" s="281"/>
      <c r="K349" s="281"/>
      <c r="L349" s="281"/>
      <c r="M349" s="281"/>
      <c r="N349" s="281"/>
      <c r="O349" s="281"/>
      <c r="P349" s="281"/>
      <c r="Q349" s="281"/>
      <c r="R349" s="281"/>
      <c r="S349" s="281"/>
      <c r="T349" s="281"/>
      <c r="U349" s="281"/>
      <c r="V349" s="281"/>
      <c r="W349" s="281"/>
      <c r="X349" s="281"/>
      <c r="Y349" s="281"/>
      <c r="Z349" s="281"/>
      <c r="AA349" s="281"/>
      <c r="AB349" s="281"/>
      <c r="AC349" s="281"/>
      <c r="AD349" s="281"/>
      <c r="AE349" s="281"/>
      <c r="AF349" s="281"/>
      <c r="AG349" s="282"/>
      <c r="AH349" s="282"/>
      <c r="AI349" s="275"/>
      <c r="AJ349" s="75"/>
    </row>
    <row r="350" spans="1:36" s="71" customFormat="1" hidden="1" x14ac:dyDescent="0.2">
      <c r="A350" s="227"/>
      <c r="B350" s="281"/>
      <c r="C350" s="281"/>
      <c r="D350" s="281"/>
      <c r="E350" s="281"/>
      <c r="F350" s="281"/>
      <c r="G350" s="281"/>
      <c r="H350" s="281"/>
      <c r="I350" s="281"/>
      <c r="J350" s="281"/>
      <c r="K350" s="281"/>
      <c r="L350" s="281"/>
      <c r="M350" s="281"/>
      <c r="N350" s="281"/>
      <c r="O350" s="281"/>
      <c r="P350" s="281"/>
      <c r="Q350" s="281"/>
      <c r="R350" s="281"/>
      <c r="S350" s="281"/>
      <c r="T350" s="281"/>
      <c r="U350" s="281"/>
      <c r="V350" s="281"/>
      <c r="W350" s="281"/>
      <c r="X350" s="281"/>
      <c r="Y350" s="281"/>
      <c r="Z350" s="281"/>
      <c r="AA350" s="281"/>
      <c r="AB350" s="281"/>
      <c r="AC350" s="281"/>
      <c r="AD350" s="281"/>
      <c r="AE350" s="281"/>
      <c r="AF350" s="281"/>
      <c r="AG350" s="282"/>
      <c r="AH350" s="282"/>
      <c r="AI350" s="275"/>
      <c r="AJ350" s="75"/>
    </row>
    <row r="351" spans="1:36" s="71" customFormat="1" hidden="1" x14ac:dyDescent="0.2">
      <c r="A351" s="227"/>
      <c r="B351" s="281"/>
      <c r="C351" s="281"/>
      <c r="D351" s="281"/>
      <c r="E351" s="281"/>
      <c r="F351" s="281"/>
      <c r="G351" s="281"/>
      <c r="H351" s="281"/>
      <c r="I351" s="281"/>
      <c r="J351" s="281"/>
      <c r="K351" s="281"/>
      <c r="L351" s="281"/>
      <c r="M351" s="281"/>
      <c r="N351" s="281"/>
      <c r="O351" s="281"/>
      <c r="P351" s="281"/>
      <c r="Q351" s="281"/>
      <c r="R351" s="281"/>
      <c r="S351" s="281"/>
      <c r="T351" s="281"/>
      <c r="U351" s="281"/>
      <c r="V351" s="281"/>
      <c r="W351" s="281"/>
      <c r="X351" s="281"/>
      <c r="Y351" s="281"/>
      <c r="Z351" s="281"/>
      <c r="AA351" s="281"/>
      <c r="AB351" s="281"/>
      <c r="AC351" s="281"/>
      <c r="AD351" s="281"/>
      <c r="AE351" s="281"/>
      <c r="AF351" s="281"/>
      <c r="AG351" s="282"/>
      <c r="AH351" s="282"/>
      <c r="AI351" s="275"/>
      <c r="AJ351" s="75"/>
    </row>
    <row r="352" spans="1:36" s="71" customFormat="1" hidden="1" x14ac:dyDescent="0.2">
      <c r="A352" s="227"/>
      <c r="B352" s="281"/>
      <c r="C352" s="281"/>
      <c r="D352" s="281"/>
      <c r="E352" s="281"/>
      <c r="F352" s="281"/>
      <c r="G352" s="281"/>
      <c r="H352" s="281"/>
      <c r="I352" s="281"/>
      <c r="J352" s="281"/>
      <c r="K352" s="281"/>
      <c r="L352" s="281"/>
      <c r="M352" s="281"/>
      <c r="N352" s="281"/>
      <c r="O352" s="281"/>
      <c r="P352" s="281"/>
      <c r="Q352" s="281"/>
      <c r="R352" s="281"/>
      <c r="S352" s="281"/>
      <c r="T352" s="281"/>
      <c r="U352" s="281"/>
      <c r="V352" s="281"/>
      <c r="W352" s="281"/>
      <c r="X352" s="281"/>
      <c r="Y352" s="281"/>
      <c r="Z352" s="281"/>
      <c r="AA352" s="281"/>
      <c r="AB352" s="281"/>
      <c r="AC352" s="281"/>
      <c r="AD352" s="281"/>
      <c r="AE352" s="281"/>
      <c r="AF352" s="281"/>
      <c r="AG352" s="282"/>
      <c r="AH352" s="282"/>
      <c r="AI352" s="275"/>
      <c r="AJ352" s="75"/>
    </row>
    <row r="353" spans="1:36" s="71" customFormat="1" hidden="1" x14ac:dyDescent="0.2">
      <c r="A353" s="227"/>
      <c r="B353" s="281"/>
      <c r="C353" s="281"/>
      <c r="D353" s="281"/>
      <c r="E353" s="281"/>
      <c r="F353" s="281"/>
      <c r="G353" s="281"/>
      <c r="H353" s="281"/>
      <c r="I353" s="281"/>
      <c r="J353" s="281"/>
      <c r="K353" s="281"/>
      <c r="L353" s="281"/>
      <c r="M353" s="281"/>
      <c r="N353" s="281"/>
      <c r="O353" s="281"/>
      <c r="P353" s="281"/>
      <c r="Q353" s="281"/>
      <c r="R353" s="281"/>
      <c r="S353" s="281"/>
      <c r="T353" s="281"/>
      <c r="U353" s="281"/>
      <c r="V353" s="281"/>
      <c r="W353" s="281"/>
      <c r="X353" s="281"/>
      <c r="Y353" s="281"/>
      <c r="Z353" s="281"/>
      <c r="AA353" s="281"/>
      <c r="AB353" s="281"/>
      <c r="AC353" s="281"/>
      <c r="AD353" s="281"/>
      <c r="AE353" s="281"/>
      <c r="AF353" s="281"/>
      <c r="AG353" s="282"/>
      <c r="AH353" s="282"/>
      <c r="AI353" s="275"/>
      <c r="AJ353" s="75"/>
    </row>
    <row r="354" spans="1:36" s="71" customFormat="1" hidden="1" x14ac:dyDescent="0.2">
      <c r="A354" s="227"/>
      <c r="B354" s="281"/>
      <c r="C354" s="281"/>
      <c r="D354" s="281"/>
      <c r="E354" s="281"/>
      <c r="F354" s="281"/>
      <c r="G354" s="281"/>
      <c r="H354" s="281"/>
      <c r="I354" s="281"/>
      <c r="J354" s="281"/>
      <c r="K354" s="281"/>
      <c r="L354" s="281"/>
      <c r="M354" s="281"/>
      <c r="N354" s="281"/>
      <c r="O354" s="281"/>
      <c r="P354" s="281"/>
      <c r="Q354" s="281"/>
      <c r="R354" s="281"/>
      <c r="S354" s="281"/>
      <c r="T354" s="281"/>
      <c r="U354" s="281"/>
      <c r="V354" s="281"/>
      <c r="W354" s="281"/>
      <c r="X354" s="281"/>
      <c r="Y354" s="281"/>
      <c r="Z354" s="281"/>
      <c r="AA354" s="281"/>
      <c r="AB354" s="281"/>
      <c r="AC354" s="281"/>
      <c r="AD354" s="281"/>
      <c r="AE354" s="281"/>
      <c r="AF354" s="281"/>
      <c r="AG354" s="282"/>
      <c r="AH354" s="282"/>
      <c r="AI354" s="275"/>
      <c r="AJ354" s="75"/>
    </row>
    <row r="355" spans="1:36" s="71" customFormat="1" x14ac:dyDescent="0.2">
      <c r="A355" s="227" t="s">
        <v>397</v>
      </c>
      <c r="B355" s="284">
        <f>'Ilgtermina saistibas'!B37</f>
        <v>0</v>
      </c>
      <c r="C355" s="284">
        <f>'Ilgtermina saistibas'!C37</f>
        <v>0</v>
      </c>
      <c r="D355" s="284">
        <f>'Ilgtermina saistibas'!D37</f>
        <v>0</v>
      </c>
      <c r="E355" s="284">
        <f>'Ilgtermina saistibas'!E37</f>
        <v>0</v>
      </c>
      <c r="F355" s="284">
        <f>'Ilgtermina saistibas'!F37</f>
        <v>0</v>
      </c>
      <c r="G355" s="284">
        <f>'Ilgtermina saistibas'!G37</f>
        <v>0</v>
      </c>
      <c r="H355" s="284">
        <f>'Ilgtermina saistibas'!H37</f>
        <v>0</v>
      </c>
      <c r="I355" s="284">
        <f>'Ilgtermina saistibas'!I37</f>
        <v>0</v>
      </c>
      <c r="J355" s="284">
        <f>'Ilgtermina saistibas'!J37</f>
        <v>0</v>
      </c>
      <c r="K355" s="284">
        <f>'Ilgtermina saistibas'!K37</f>
        <v>0</v>
      </c>
      <c r="L355" s="284">
        <f>'Ilgtermina saistibas'!L37</f>
        <v>0</v>
      </c>
      <c r="M355" s="284">
        <f>'Ilgtermina saistibas'!M37</f>
        <v>0</v>
      </c>
      <c r="N355" s="284">
        <f>'Ilgtermina saistibas'!N37</f>
        <v>0</v>
      </c>
      <c r="O355" s="284">
        <f>'Ilgtermina saistibas'!O37</f>
        <v>0</v>
      </c>
      <c r="P355" s="284">
        <f>'Ilgtermina saistibas'!P37</f>
        <v>0</v>
      </c>
      <c r="Q355" s="284">
        <f>'Ilgtermina saistibas'!Q37</f>
        <v>0</v>
      </c>
      <c r="R355" s="284">
        <f>'Ilgtermina saistibas'!R37</f>
        <v>0</v>
      </c>
      <c r="S355" s="284">
        <f>'Ilgtermina saistibas'!S37</f>
        <v>0</v>
      </c>
      <c r="T355" s="284">
        <f>'Ilgtermina saistibas'!T37</f>
        <v>0</v>
      </c>
      <c r="U355" s="284">
        <f>'Ilgtermina saistibas'!U37</f>
        <v>0</v>
      </c>
      <c r="V355" s="284">
        <f>'Ilgtermina saistibas'!V37</f>
        <v>0</v>
      </c>
      <c r="W355" s="284">
        <f>'Ilgtermina saistibas'!W37</f>
        <v>0</v>
      </c>
      <c r="X355" s="284">
        <f>'Ilgtermina saistibas'!X37</f>
        <v>0</v>
      </c>
      <c r="Y355" s="284">
        <f>'Ilgtermina saistibas'!Y37</f>
        <v>0</v>
      </c>
      <c r="Z355" s="284">
        <f>'Ilgtermina saistibas'!Z37</f>
        <v>0</v>
      </c>
      <c r="AA355" s="284">
        <f>'Ilgtermina saistibas'!AA37</f>
        <v>0</v>
      </c>
      <c r="AB355" s="284">
        <f>'Ilgtermina saistibas'!AB37</f>
        <v>0</v>
      </c>
      <c r="AC355" s="284">
        <f>'Ilgtermina saistibas'!AC37</f>
        <v>0</v>
      </c>
      <c r="AD355" s="284">
        <f>'Ilgtermina saistibas'!AD37</f>
        <v>0</v>
      </c>
      <c r="AE355" s="284">
        <f>'Ilgtermina saistibas'!AE37</f>
        <v>0</v>
      </c>
      <c r="AF355" s="284">
        <f>'Ilgtermina saistibas'!AF37</f>
        <v>0</v>
      </c>
      <c r="AG355" s="285">
        <f>'Ilgtermina saistibas'!AG37</f>
        <v>0</v>
      </c>
      <c r="AH355" s="285">
        <f>'Ilgtermina saistibas'!AH37</f>
        <v>0</v>
      </c>
      <c r="AI355" s="275"/>
      <c r="AJ355" s="75"/>
    </row>
    <row r="356" spans="1:36" s="71" customFormat="1" x14ac:dyDescent="0.2">
      <c r="A356" s="288" t="s">
        <v>64</v>
      </c>
      <c r="B356" s="286"/>
      <c r="C356" s="286"/>
      <c r="D356" s="286"/>
      <c r="E356" s="286"/>
      <c r="F356" s="286"/>
      <c r="G356" s="286"/>
      <c r="H356" s="286"/>
      <c r="I356" s="286"/>
      <c r="J356" s="286"/>
      <c r="K356" s="286"/>
      <c r="L356" s="286"/>
      <c r="M356" s="286"/>
      <c r="N356" s="286"/>
      <c r="O356" s="286"/>
      <c r="P356" s="286"/>
      <c r="Q356" s="286"/>
      <c r="R356" s="286"/>
      <c r="S356" s="286"/>
      <c r="T356" s="286"/>
      <c r="U356" s="286"/>
      <c r="V356" s="286"/>
      <c r="W356" s="286"/>
      <c r="X356" s="286"/>
      <c r="Y356" s="286"/>
      <c r="Z356" s="286"/>
      <c r="AA356" s="286"/>
      <c r="AB356" s="286"/>
      <c r="AC356" s="286"/>
      <c r="AD356" s="286"/>
      <c r="AE356" s="286"/>
      <c r="AF356" s="286"/>
      <c r="AG356" s="287"/>
      <c r="AH356" s="287"/>
      <c r="AI356" s="275"/>
      <c r="AJ356" s="75"/>
    </row>
    <row r="357" spans="1:36" s="71" customFormat="1" x14ac:dyDescent="0.2">
      <c r="A357" s="712"/>
      <c r="B357" s="686"/>
      <c r="C357" s="686"/>
      <c r="D357" s="686"/>
      <c r="E357" s="686"/>
      <c r="F357" s="686"/>
      <c r="G357" s="686"/>
      <c r="H357" s="686"/>
      <c r="I357" s="686"/>
      <c r="J357" s="686"/>
      <c r="K357" s="686"/>
      <c r="L357" s="686"/>
      <c r="M357" s="686"/>
      <c r="N357" s="686"/>
      <c r="O357" s="686"/>
      <c r="P357" s="686"/>
      <c r="Q357" s="686"/>
      <c r="R357" s="686"/>
      <c r="S357" s="686"/>
      <c r="T357" s="686"/>
      <c r="U357" s="686"/>
      <c r="V357" s="686"/>
      <c r="W357" s="686"/>
      <c r="X357" s="686"/>
      <c r="Y357" s="686"/>
      <c r="Z357" s="686"/>
      <c r="AA357" s="686"/>
      <c r="AB357" s="686"/>
      <c r="AC357" s="686"/>
      <c r="AD357" s="686"/>
      <c r="AE357" s="686"/>
      <c r="AF357" s="686"/>
      <c r="AG357" s="687"/>
      <c r="AH357" s="687"/>
      <c r="AI357" s="275"/>
      <c r="AJ357" s="75"/>
    </row>
    <row r="358" spans="1:36" s="71" customFormat="1" x14ac:dyDescent="0.2">
      <c r="A358" s="713"/>
      <c r="B358" s="686"/>
      <c r="C358" s="686"/>
      <c r="D358" s="686"/>
      <c r="E358" s="686"/>
      <c r="F358" s="686"/>
      <c r="G358" s="686"/>
      <c r="H358" s="686"/>
      <c r="I358" s="686"/>
      <c r="J358" s="686"/>
      <c r="K358" s="686"/>
      <c r="L358" s="686"/>
      <c r="M358" s="686"/>
      <c r="N358" s="686"/>
      <c r="O358" s="686"/>
      <c r="P358" s="686"/>
      <c r="Q358" s="686"/>
      <c r="R358" s="686"/>
      <c r="S358" s="686"/>
      <c r="T358" s="686"/>
      <c r="U358" s="686"/>
      <c r="V358" s="686"/>
      <c r="W358" s="686"/>
      <c r="X358" s="686"/>
      <c r="Y358" s="686"/>
      <c r="Z358" s="686"/>
      <c r="AA358" s="686"/>
      <c r="AB358" s="686"/>
      <c r="AC358" s="686"/>
      <c r="AD358" s="686"/>
      <c r="AE358" s="686"/>
      <c r="AF358" s="686"/>
      <c r="AG358" s="687"/>
      <c r="AH358" s="687"/>
      <c r="AI358" s="275"/>
      <c r="AJ358" s="75"/>
    </row>
    <row r="359" spans="1:36" s="71" customFormat="1" x14ac:dyDescent="0.2">
      <c r="A359" s="713"/>
      <c r="B359" s="686"/>
      <c r="C359" s="686"/>
      <c r="D359" s="686"/>
      <c r="E359" s="686"/>
      <c r="F359" s="686"/>
      <c r="G359" s="686"/>
      <c r="H359" s="686"/>
      <c r="I359" s="686"/>
      <c r="J359" s="686"/>
      <c r="K359" s="686"/>
      <c r="L359" s="686"/>
      <c r="M359" s="686"/>
      <c r="N359" s="686"/>
      <c r="O359" s="686"/>
      <c r="P359" s="686"/>
      <c r="Q359" s="686"/>
      <c r="R359" s="686"/>
      <c r="S359" s="686"/>
      <c r="T359" s="686"/>
      <c r="U359" s="686"/>
      <c r="V359" s="686"/>
      <c r="W359" s="686"/>
      <c r="X359" s="686"/>
      <c r="Y359" s="686"/>
      <c r="Z359" s="686"/>
      <c r="AA359" s="686"/>
      <c r="AB359" s="686"/>
      <c r="AC359" s="686"/>
      <c r="AD359" s="686"/>
      <c r="AE359" s="686"/>
      <c r="AF359" s="686"/>
      <c r="AG359" s="687"/>
      <c r="AH359" s="687"/>
      <c r="AI359" s="275"/>
      <c r="AJ359" s="75"/>
    </row>
    <row r="360" spans="1:36" x14ac:dyDescent="0.2">
      <c r="A360" s="708"/>
      <c r="C360" s="289"/>
      <c r="AH360" s="275"/>
      <c r="AI360" s="275"/>
      <c r="AJ360" s="75"/>
    </row>
    <row r="361" spans="1:36" s="71" customFormat="1" ht="15" x14ac:dyDescent="0.2">
      <c r="A361" s="80" t="s">
        <v>428</v>
      </c>
      <c r="B361" s="4">
        <v>4500000</v>
      </c>
      <c r="C361" s="4">
        <v>4500000</v>
      </c>
      <c r="D361" s="4">
        <v>4500000</v>
      </c>
      <c r="E361" s="4">
        <v>4500000</v>
      </c>
      <c r="F361" s="4">
        <v>4500000</v>
      </c>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224"/>
      <c r="AI361" s="275"/>
      <c r="AJ361" s="75"/>
    </row>
    <row r="362" spans="1:36" x14ac:dyDescent="0.2">
      <c r="A362" s="708"/>
      <c r="AH362" s="275"/>
      <c r="AI362" s="275"/>
      <c r="AJ362" s="75"/>
    </row>
    <row r="363" spans="1:36" hidden="1" x14ac:dyDescent="0.2">
      <c r="A363" s="708" t="s">
        <v>65</v>
      </c>
      <c r="B363" s="75"/>
      <c r="C363" s="75"/>
      <c r="D363" s="75"/>
      <c r="E363" s="71"/>
      <c r="F363" s="71"/>
      <c r="G363" s="71"/>
      <c r="AH363" s="275"/>
      <c r="AI363" s="275"/>
      <c r="AJ363" s="75"/>
    </row>
    <row r="364" spans="1:36" hidden="1" x14ac:dyDescent="0.2">
      <c r="A364" s="708" t="s">
        <v>66</v>
      </c>
      <c r="B364" s="75"/>
      <c r="C364" s="71"/>
      <c r="D364" s="71"/>
      <c r="E364" s="71"/>
      <c r="F364" s="71"/>
      <c r="G364" s="71"/>
      <c r="AH364" s="275"/>
      <c r="AI364" s="275"/>
      <c r="AJ364" s="75"/>
    </row>
    <row r="365" spans="1:36" ht="13.5" hidden="1" thickBot="1" x14ac:dyDescent="0.25">
      <c r="A365" s="709" t="s">
        <v>67</v>
      </c>
      <c r="B365" s="290" t="s">
        <v>68</v>
      </c>
      <c r="AH365" s="275"/>
      <c r="AI365" s="275"/>
      <c r="AJ365" s="75"/>
    </row>
    <row r="366" spans="1:36" hidden="1" x14ac:dyDescent="0.2">
      <c r="A366" s="710"/>
      <c r="B366" s="76" t="s">
        <v>68</v>
      </c>
      <c r="AH366" s="275"/>
      <c r="AI366" s="275"/>
      <c r="AJ366" s="75"/>
    </row>
    <row r="367" spans="1:36" hidden="1" x14ac:dyDescent="0.2">
      <c r="A367" s="710"/>
      <c r="B367" s="76" t="s">
        <v>69</v>
      </c>
      <c r="AH367" s="275"/>
      <c r="AI367" s="275"/>
    </row>
    <row r="368" spans="1:36" ht="15.75" thickBot="1" x14ac:dyDescent="0.3">
      <c r="A368" s="95" t="s">
        <v>70</v>
      </c>
      <c r="B368" s="292"/>
      <c r="G368" s="293" t="s">
        <v>71</v>
      </c>
      <c r="AH368" s="275"/>
      <c r="AI368" s="275"/>
    </row>
    <row r="369" spans="1:36" ht="50.25" customHeight="1" thickBot="1" x14ac:dyDescent="0.25">
      <c r="A369" s="294" t="s">
        <v>72</v>
      </c>
      <c r="B369" s="831" t="s">
        <v>74</v>
      </c>
      <c r="C369" s="831"/>
      <c r="D369" s="831"/>
      <c r="E369" s="831"/>
      <c r="F369" s="832"/>
      <c r="G369" s="295">
        <f ca="1">MAX('Iedzivotaju maksatspeja'!B25:AG25)</f>
        <v>2.0329588966562229E-2</v>
      </c>
      <c r="H369" s="296" t="str">
        <f ca="1">IF(OR(G369&lt;0.02,G369&gt;0.04),"Mājsaimniecību maksājumi par ūdenssaimniecību neiekļaujas 2%-4% robežās","-")</f>
        <v>-</v>
      </c>
      <c r="I369" s="667" t="s">
        <v>488</v>
      </c>
      <c r="AH369" s="275"/>
      <c r="AI369" s="275"/>
    </row>
    <row r="370" spans="1:36" ht="25.5" hidden="1" outlineLevel="1" x14ac:dyDescent="0.2">
      <c r="A370" s="291"/>
      <c r="B370" s="76" t="s">
        <v>73</v>
      </c>
    </row>
    <row r="371" spans="1:36" ht="63.75" hidden="1" outlineLevel="1" x14ac:dyDescent="0.2">
      <c r="A371" s="291"/>
      <c r="B371" s="76" t="s">
        <v>74</v>
      </c>
      <c r="C371" s="297"/>
      <c r="D371" s="297"/>
      <c r="E371" s="297"/>
      <c r="F371" s="297"/>
      <c r="G371" s="297"/>
    </row>
    <row r="372" spans="1:36" ht="15" collapsed="1" x14ac:dyDescent="0.25">
      <c r="A372" s="95" t="s">
        <v>75</v>
      </c>
      <c r="B372" s="298"/>
    </row>
    <row r="373" spans="1:36" ht="26.25" hidden="1" thickBot="1" x14ac:dyDescent="0.25">
      <c r="A373" s="299" t="s">
        <v>76</v>
      </c>
      <c r="B373" s="300" t="s">
        <v>552</v>
      </c>
      <c r="C373" s="667" t="s">
        <v>488</v>
      </c>
    </row>
    <row r="374" spans="1:36" hidden="1" x14ac:dyDescent="0.2">
      <c r="A374" s="291"/>
      <c r="B374" s="76" t="s">
        <v>77</v>
      </c>
      <c r="C374" s="297"/>
      <c r="D374" s="297"/>
      <c r="E374" s="297"/>
      <c r="F374" s="297"/>
      <c r="G374" s="297"/>
    </row>
    <row r="375" spans="1:36" hidden="1" x14ac:dyDescent="0.2">
      <c r="A375" s="291"/>
      <c r="B375" s="76" t="s">
        <v>552</v>
      </c>
      <c r="C375" s="297"/>
      <c r="D375" s="297"/>
      <c r="E375" s="297"/>
      <c r="F375" s="297"/>
      <c r="G375" s="297"/>
    </row>
    <row r="376" spans="1:36" ht="15" hidden="1" x14ac:dyDescent="0.25">
      <c r="A376" s="301"/>
      <c r="B376" s="302"/>
    </row>
    <row r="377" spans="1:36" ht="46.5" customHeight="1" x14ac:dyDescent="0.2">
      <c r="A377" s="278" t="s">
        <v>78</v>
      </c>
      <c r="B377" s="303">
        <v>3.5000000000000003E-2</v>
      </c>
      <c r="C377" s="75"/>
      <c r="D377" s="75"/>
      <c r="E377" s="75"/>
      <c r="F377" s="75"/>
      <c r="G377" s="75"/>
    </row>
    <row r="378" spans="1:36" s="305" customFormat="1" ht="25.5" x14ac:dyDescent="0.2">
      <c r="A378" s="304" t="s">
        <v>429</v>
      </c>
    </row>
    <row r="379" spans="1:36" s="305" customFormat="1" x14ac:dyDescent="0.2">
      <c r="A379" s="306"/>
      <c r="B379" s="307">
        <f>C379-1</f>
        <v>2011</v>
      </c>
      <c r="C379" s="307">
        <f>D379-1</f>
        <v>2012</v>
      </c>
      <c r="D379" s="307">
        <f>E379-1</f>
        <v>2013</v>
      </c>
      <c r="E379" s="307">
        <f>B32</f>
        <v>2014</v>
      </c>
    </row>
    <row r="380" spans="1:36" s="305" customFormat="1" x14ac:dyDescent="0.2">
      <c r="A380" s="308" t="s">
        <v>80</v>
      </c>
      <c r="B380" s="75"/>
      <c r="C380" s="75"/>
      <c r="D380" s="75"/>
      <c r="E380" s="75"/>
    </row>
    <row r="381" spans="1:36" s="305" customFormat="1" x14ac:dyDescent="0.2">
      <c r="A381" s="309" t="s">
        <v>49</v>
      </c>
      <c r="B381" s="310">
        <v>0.1</v>
      </c>
      <c r="C381" s="310">
        <v>0.1</v>
      </c>
      <c r="D381" s="311">
        <v>0.2</v>
      </c>
      <c r="E381" s="311">
        <v>0.2</v>
      </c>
    </row>
    <row r="382" spans="1:36" s="305" customFormat="1" x14ac:dyDescent="0.2">
      <c r="A382" s="309" t="s">
        <v>59</v>
      </c>
      <c r="B382" s="310">
        <v>0.15</v>
      </c>
      <c r="C382" s="310">
        <v>0.15</v>
      </c>
      <c r="D382" s="311">
        <v>0.2</v>
      </c>
      <c r="E382" s="311">
        <v>0.2</v>
      </c>
    </row>
    <row r="383" spans="1:36" s="305" customFormat="1" x14ac:dyDescent="0.2">
      <c r="A383" s="312" t="s">
        <v>81</v>
      </c>
      <c r="B383" s="313"/>
      <c r="C383" s="313"/>
      <c r="D383" s="313"/>
      <c r="E383" s="313"/>
    </row>
    <row r="384" spans="1:36" s="305" customFormat="1" x14ac:dyDescent="0.2">
      <c r="A384" s="309" t="s">
        <v>49</v>
      </c>
      <c r="B384" s="310">
        <v>0.1</v>
      </c>
      <c r="C384" s="310">
        <v>0.1</v>
      </c>
      <c r="D384" s="311">
        <v>0.2</v>
      </c>
      <c r="E384" s="311">
        <v>0.2</v>
      </c>
      <c r="AI384" s="60"/>
      <c r="AJ384" s="60"/>
    </row>
    <row r="385" spans="1:143" s="305" customFormat="1" x14ac:dyDescent="0.2">
      <c r="A385" s="309" t="s">
        <v>59</v>
      </c>
      <c r="B385" s="310">
        <v>0.15</v>
      </c>
      <c r="C385" s="310">
        <v>0.15</v>
      </c>
      <c r="D385" s="311">
        <v>0.2</v>
      </c>
      <c r="E385" s="311">
        <v>0.2</v>
      </c>
      <c r="AI385" s="60"/>
      <c r="AJ385" s="60"/>
    </row>
    <row r="386" spans="1:143" s="305" customFormat="1" ht="13.5" thickBot="1" x14ac:dyDescent="0.25">
      <c r="A386" s="314"/>
      <c r="B386" s="315"/>
      <c r="C386" s="315"/>
      <c r="D386" s="316"/>
      <c r="E386" s="316"/>
      <c r="AI386" s="60"/>
      <c r="AJ386" s="60"/>
    </row>
    <row r="387" spans="1:143" s="71" customFormat="1" x14ac:dyDescent="0.2">
      <c r="A387" s="317" t="s">
        <v>78</v>
      </c>
      <c r="B387" s="318">
        <f>'Datu ievade'!$B$377</f>
        <v>3.5000000000000003E-2</v>
      </c>
      <c r="C387" s="319">
        <f t="shared" ref="C387:AG387" si="80">B387</f>
        <v>3.5000000000000003E-2</v>
      </c>
      <c r="D387" s="319">
        <f t="shared" si="80"/>
        <v>3.5000000000000003E-2</v>
      </c>
      <c r="E387" s="319">
        <f t="shared" si="80"/>
        <v>3.5000000000000003E-2</v>
      </c>
      <c r="F387" s="320">
        <f t="shared" si="80"/>
        <v>3.5000000000000003E-2</v>
      </c>
      <c r="G387" s="320">
        <f t="shared" si="80"/>
        <v>3.5000000000000003E-2</v>
      </c>
      <c r="H387" s="320">
        <f t="shared" si="80"/>
        <v>3.5000000000000003E-2</v>
      </c>
      <c r="I387" s="320">
        <f t="shared" si="80"/>
        <v>3.5000000000000003E-2</v>
      </c>
      <c r="J387" s="320">
        <f t="shared" si="80"/>
        <v>3.5000000000000003E-2</v>
      </c>
      <c r="K387" s="320">
        <f t="shared" si="80"/>
        <v>3.5000000000000003E-2</v>
      </c>
      <c r="L387" s="320">
        <f t="shared" si="80"/>
        <v>3.5000000000000003E-2</v>
      </c>
      <c r="M387" s="320">
        <f t="shared" si="80"/>
        <v>3.5000000000000003E-2</v>
      </c>
      <c r="N387" s="320">
        <f t="shared" si="80"/>
        <v>3.5000000000000003E-2</v>
      </c>
      <c r="O387" s="320">
        <f t="shared" si="80"/>
        <v>3.5000000000000003E-2</v>
      </c>
      <c r="P387" s="320">
        <f t="shared" si="80"/>
        <v>3.5000000000000003E-2</v>
      </c>
      <c r="Q387" s="320">
        <f t="shared" si="80"/>
        <v>3.5000000000000003E-2</v>
      </c>
      <c r="R387" s="320">
        <f t="shared" si="80"/>
        <v>3.5000000000000003E-2</v>
      </c>
      <c r="S387" s="320">
        <f t="shared" si="80"/>
        <v>3.5000000000000003E-2</v>
      </c>
      <c r="T387" s="320">
        <f t="shared" si="80"/>
        <v>3.5000000000000003E-2</v>
      </c>
      <c r="U387" s="320">
        <f t="shared" si="80"/>
        <v>3.5000000000000003E-2</v>
      </c>
      <c r="V387" s="320">
        <f t="shared" si="80"/>
        <v>3.5000000000000003E-2</v>
      </c>
      <c r="W387" s="320">
        <f t="shared" si="80"/>
        <v>3.5000000000000003E-2</v>
      </c>
      <c r="X387" s="320">
        <f t="shared" si="80"/>
        <v>3.5000000000000003E-2</v>
      </c>
      <c r="Y387" s="320">
        <f t="shared" si="80"/>
        <v>3.5000000000000003E-2</v>
      </c>
      <c r="Z387" s="320">
        <f t="shared" si="80"/>
        <v>3.5000000000000003E-2</v>
      </c>
      <c r="AA387" s="320">
        <f t="shared" si="80"/>
        <v>3.5000000000000003E-2</v>
      </c>
      <c r="AB387" s="320">
        <f t="shared" si="80"/>
        <v>3.5000000000000003E-2</v>
      </c>
      <c r="AC387" s="320">
        <f t="shared" si="80"/>
        <v>3.5000000000000003E-2</v>
      </c>
      <c r="AD387" s="320">
        <f t="shared" si="80"/>
        <v>3.5000000000000003E-2</v>
      </c>
      <c r="AE387" s="320">
        <f t="shared" si="80"/>
        <v>3.5000000000000003E-2</v>
      </c>
      <c r="AF387" s="320">
        <f t="shared" si="80"/>
        <v>3.5000000000000003E-2</v>
      </c>
      <c r="AG387" s="321">
        <f t="shared" si="80"/>
        <v>3.5000000000000003E-2</v>
      </c>
      <c r="AH387" s="321">
        <f>AG387</f>
        <v>3.5000000000000003E-2</v>
      </c>
      <c r="AI387" s="60"/>
      <c r="AJ387" s="60"/>
    </row>
    <row r="388" spans="1:143" s="71" customFormat="1" x14ac:dyDescent="0.2">
      <c r="A388" s="322" t="s">
        <v>430</v>
      </c>
      <c r="B388" s="323"/>
      <c r="C388" s="323"/>
      <c r="D388" s="323"/>
      <c r="E388" s="323"/>
      <c r="F388" s="323"/>
      <c r="G388" s="324"/>
      <c r="H388" s="324"/>
      <c r="I388" s="324"/>
      <c r="J388" s="324"/>
      <c r="K388" s="324"/>
      <c r="L388" s="324"/>
      <c r="M388" s="324"/>
      <c r="N388" s="324"/>
      <c r="O388" s="324"/>
      <c r="P388" s="324"/>
      <c r="Q388" s="324"/>
      <c r="R388" s="324"/>
      <c r="S388" s="324"/>
      <c r="T388" s="324"/>
      <c r="U388" s="324"/>
      <c r="V388" s="324"/>
      <c r="W388" s="324"/>
      <c r="X388" s="324"/>
      <c r="Y388" s="324"/>
      <c r="Z388" s="324"/>
      <c r="AA388" s="324"/>
      <c r="AB388" s="324"/>
      <c r="AC388" s="324"/>
      <c r="AD388" s="324"/>
      <c r="AE388" s="324"/>
      <c r="AF388" s="324"/>
      <c r="AG388" s="324"/>
      <c r="AH388" s="324"/>
      <c r="AI388" s="60"/>
      <c r="AJ388" s="60"/>
    </row>
    <row r="389" spans="1:143" s="71" customFormat="1" x14ac:dyDescent="0.2">
      <c r="A389" s="325" t="s">
        <v>303</v>
      </c>
      <c r="B389" s="323"/>
      <c r="C389" s="323"/>
      <c r="D389" s="323"/>
      <c r="E389" s="323"/>
      <c r="F389" s="323"/>
      <c r="G389" s="324"/>
      <c r="H389" s="324"/>
      <c r="I389" s="324"/>
      <c r="J389" s="324"/>
      <c r="K389" s="324"/>
      <c r="L389" s="324"/>
      <c r="M389" s="324"/>
      <c r="N389" s="324"/>
      <c r="O389" s="324"/>
      <c r="P389" s="324"/>
      <c r="Q389" s="324"/>
      <c r="R389" s="324"/>
      <c r="S389" s="324"/>
      <c r="T389" s="324"/>
      <c r="U389" s="324"/>
      <c r="V389" s="324"/>
      <c r="W389" s="324"/>
      <c r="X389" s="324"/>
      <c r="Y389" s="324"/>
      <c r="Z389" s="324"/>
      <c r="AA389" s="324"/>
      <c r="AB389" s="324"/>
      <c r="AC389" s="324"/>
      <c r="AD389" s="324"/>
      <c r="AE389" s="324"/>
      <c r="AF389" s="324"/>
      <c r="AG389" s="324"/>
      <c r="AH389" s="324"/>
      <c r="AI389" s="60"/>
      <c r="AJ389" s="60"/>
    </row>
    <row r="390" spans="1:143" s="71" customFormat="1" x14ac:dyDescent="0.2">
      <c r="A390" s="326" t="s">
        <v>49</v>
      </c>
      <c r="B390" s="327">
        <f>B32</f>
        <v>2014</v>
      </c>
      <c r="C390" s="328">
        <f>B390+1</f>
        <v>2015</v>
      </c>
      <c r="D390" s="328">
        <f t="shared" ref="D390:AG390" si="81">C390+1</f>
        <v>2016</v>
      </c>
      <c r="E390" s="328">
        <f t="shared" si="81"/>
        <v>2017</v>
      </c>
      <c r="F390" s="328">
        <f t="shared" si="81"/>
        <v>2018</v>
      </c>
      <c r="G390" s="328">
        <f t="shared" si="81"/>
        <v>2019</v>
      </c>
      <c r="H390" s="328">
        <f t="shared" si="81"/>
        <v>2020</v>
      </c>
      <c r="I390" s="328">
        <f t="shared" si="81"/>
        <v>2021</v>
      </c>
      <c r="J390" s="328">
        <f t="shared" si="81"/>
        <v>2022</v>
      </c>
      <c r="K390" s="328">
        <f t="shared" si="81"/>
        <v>2023</v>
      </c>
      <c r="L390" s="328">
        <f t="shared" si="81"/>
        <v>2024</v>
      </c>
      <c r="M390" s="328">
        <f t="shared" si="81"/>
        <v>2025</v>
      </c>
      <c r="N390" s="328">
        <f t="shared" si="81"/>
        <v>2026</v>
      </c>
      <c r="O390" s="328">
        <f t="shared" si="81"/>
        <v>2027</v>
      </c>
      <c r="P390" s="328">
        <f t="shared" si="81"/>
        <v>2028</v>
      </c>
      <c r="Q390" s="328">
        <f t="shared" si="81"/>
        <v>2029</v>
      </c>
      <c r="R390" s="328">
        <f t="shared" si="81"/>
        <v>2030</v>
      </c>
      <c r="S390" s="328">
        <f t="shared" si="81"/>
        <v>2031</v>
      </c>
      <c r="T390" s="328">
        <f t="shared" si="81"/>
        <v>2032</v>
      </c>
      <c r="U390" s="328">
        <f t="shared" si="81"/>
        <v>2033</v>
      </c>
      <c r="V390" s="328">
        <f t="shared" si="81"/>
        <v>2034</v>
      </c>
      <c r="W390" s="328">
        <f t="shared" si="81"/>
        <v>2035</v>
      </c>
      <c r="X390" s="328">
        <f t="shared" si="81"/>
        <v>2036</v>
      </c>
      <c r="Y390" s="328">
        <f t="shared" si="81"/>
        <v>2037</v>
      </c>
      <c r="Z390" s="328">
        <f t="shared" si="81"/>
        <v>2038</v>
      </c>
      <c r="AA390" s="328">
        <f t="shared" si="81"/>
        <v>2039</v>
      </c>
      <c r="AB390" s="328">
        <f t="shared" si="81"/>
        <v>2040</v>
      </c>
      <c r="AC390" s="328">
        <f t="shared" si="81"/>
        <v>2041</v>
      </c>
      <c r="AD390" s="328">
        <f t="shared" si="81"/>
        <v>2042</v>
      </c>
      <c r="AE390" s="328">
        <f t="shared" si="81"/>
        <v>2043</v>
      </c>
      <c r="AF390" s="328">
        <f t="shared" si="81"/>
        <v>2044</v>
      </c>
      <c r="AG390" s="328">
        <f t="shared" si="81"/>
        <v>2045</v>
      </c>
      <c r="AH390" s="328">
        <f>AG390+1</f>
        <v>2046</v>
      </c>
      <c r="AI390" s="60"/>
      <c r="AJ390" s="60"/>
    </row>
    <row r="391" spans="1:143" s="163" customFormat="1" x14ac:dyDescent="0.2">
      <c r="A391" s="329" t="s">
        <v>317</v>
      </c>
      <c r="B391" s="330">
        <f>E381</f>
        <v>0.2</v>
      </c>
      <c r="C391" s="330">
        <f t="shared" ref="C391:AH391" si="82">IF(C392&lt;C430/1.21,C392,C430/1.21)</f>
        <v>0.19500000000000003</v>
      </c>
      <c r="D391" s="330">
        <f t="shared" si="82"/>
        <v>0.20899999999999996</v>
      </c>
      <c r="E391" s="330">
        <f t="shared" ca="1" si="82"/>
        <v>0.22299999999999998</v>
      </c>
      <c r="F391" s="330">
        <f t="shared" ca="1" si="82"/>
        <v>0.26600000000000001</v>
      </c>
      <c r="G391" s="330">
        <f t="shared" ca="1" si="82"/>
        <v>0.27099999999999996</v>
      </c>
      <c r="H391" s="330">
        <f t="shared" ca="1" si="82"/>
        <v>0.27600000000000002</v>
      </c>
      <c r="I391" s="330">
        <f t="shared" ca="1" si="82"/>
        <v>0.28299999999999997</v>
      </c>
      <c r="J391" s="330">
        <f t="shared" ca="1" si="82"/>
        <v>0.28799999999999998</v>
      </c>
      <c r="K391" s="330">
        <f t="shared" ca="1" si="82"/>
        <v>0.29300000000000004</v>
      </c>
      <c r="L391" s="330">
        <f t="shared" ca="1" si="82"/>
        <v>0.29699999999999999</v>
      </c>
      <c r="M391" s="330">
        <f t="shared" ca="1" si="82"/>
        <v>0.30299999999999999</v>
      </c>
      <c r="N391" s="330">
        <f t="shared" ca="1" si="82"/>
        <v>0.309</v>
      </c>
      <c r="O391" s="330">
        <f t="shared" ca="1" si="82"/>
        <v>0.315</v>
      </c>
      <c r="P391" s="330">
        <f t="shared" ca="1" si="82"/>
        <v>0.317</v>
      </c>
      <c r="Q391" s="330">
        <f t="shared" ca="1" si="82"/>
        <v>0.31899999999999995</v>
      </c>
      <c r="R391" s="330">
        <f t="shared" ca="1" si="82"/>
        <v>0.32500000000000007</v>
      </c>
      <c r="S391" s="330">
        <f t="shared" ca="1" si="82"/>
        <v>0.33200000000000002</v>
      </c>
      <c r="T391" s="330">
        <f t="shared" ca="1" si="82"/>
        <v>0.33800000000000008</v>
      </c>
      <c r="U391" s="330">
        <f t="shared" ca="1" si="82"/>
        <v>0.35</v>
      </c>
      <c r="V391" s="330">
        <f t="shared" ca="1" si="82"/>
        <v>0.35600000000000004</v>
      </c>
      <c r="W391" s="330">
        <f t="shared" ca="1" si="82"/>
        <v>0.36299999999999999</v>
      </c>
      <c r="X391" s="330">
        <f t="shared" ca="1" si="82"/>
        <v>0.36899999999999994</v>
      </c>
      <c r="Y391" s="330">
        <f t="shared" ca="1" si="82"/>
        <v>0.37599999999999995</v>
      </c>
      <c r="Z391" s="330">
        <f t="shared" ca="1" si="82"/>
        <v>0.38300000000000001</v>
      </c>
      <c r="AA391" s="330">
        <f t="shared" ca="1" si="82"/>
        <v>0.38900000000000001</v>
      </c>
      <c r="AB391" s="330">
        <f t="shared" ca="1" si="82"/>
        <v>0.39599999999999996</v>
      </c>
      <c r="AC391" s="330">
        <f t="shared" ca="1" si="82"/>
        <v>0.40299999999999997</v>
      </c>
      <c r="AD391" s="330">
        <f t="shared" ca="1" si="82"/>
        <v>0.40899999999999997</v>
      </c>
      <c r="AE391" s="330">
        <f t="shared" ca="1" si="82"/>
        <v>0.41700000000000009</v>
      </c>
      <c r="AF391" s="330">
        <f t="shared" ca="1" si="82"/>
        <v>0.42599999999999993</v>
      </c>
      <c r="AG391" s="330">
        <f t="shared" ca="1" si="82"/>
        <v>0.42499999999999999</v>
      </c>
      <c r="AH391" s="330">
        <f t="shared" ca="1" si="82"/>
        <v>0.42499999999999999</v>
      </c>
      <c r="AI391" s="60"/>
      <c r="AJ391" s="60"/>
    </row>
    <row r="392" spans="1:143" s="163" customFormat="1" x14ac:dyDescent="0.2">
      <c r="A392" s="331" t="s">
        <v>298</v>
      </c>
      <c r="B392" s="332">
        <f>ROUND(IF('Datu ievade'!$B$373='Datu ievade'!$B$374,(1+B387)*((SUM(B230:B238)+SUM(Aprekini!B39+Aprekini!B45+Aprekini!B51)*B396+SUM(Aprekini!B19+Aprekini!B20+Aprekini!B21+Aprekini!B22)+Aprekini!$B$108*SUM(Aprekini!B253:B254,Aprekini!B261:B262)*(1-Aprekini!B158))/(E260+E269+E276)),IF('Datu ievade'!$B$373='Datu ievade'!$B$375,(1+B387)*((SUM(B230:B238)+SUM(Aprekini!B39+Aprekini!B45+Aprekini!B51)*B396+SUM(Aprekini!B19+Aprekini!B20+Aprekini!B21+Aprekini!B22)+Aprekini!$B$108*SUM(Aprekini!B253,Aprekini!B261))/(E260+E269+E276)),)),3)</f>
        <v>0.187</v>
      </c>
      <c r="C392" s="332">
        <f>ROUND(IF('Datu ievade'!$B$373='Datu ievade'!$B$374,(1+C387)*((SUM(C230:C238)+SUM(Aprekini!C39+Aprekini!C45+Aprekini!C51)*C396+SUM(Aprekini!C19+Aprekini!C20+Aprekini!C21+Aprekini!C22)+Aprekini!$B$108*SUM(Aprekini!C253:C254,Aprekini!C261:C262)*(1-Aprekini!C158))/(F260+F269+F276)),IF('Datu ievade'!$B$373='Datu ievade'!$B$375,(1+C387)*((SUM(C230:C238)+SUM(Aprekini!C39+Aprekini!C45+Aprekini!C51)*C396+SUM(Aprekini!C19+Aprekini!C20+Aprekini!C21+Aprekini!C22)+Aprekini!$B$108*SUM(Aprekini!C253,Aprekini!C261))/(F260+F269+F276)),)),3)</f>
        <v>0.19500000000000001</v>
      </c>
      <c r="D392" s="332">
        <f>ROUND(IF('Datu ievade'!$B$373='Datu ievade'!$B$374,(1+D387)*((SUM(D230:D238)+SUM(Aprekini!D39+Aprekini!D45+Aprekini!D51)*D396+SUM(Aprekini!D19+Aprekini!D20+Aprekini!D21+Aprekini!D22)+Aprekini!$B$108*SUM(Aprekini!D253:D254,Aprekini!D261:D262)*(1-Aprekini!D158))/(G260+G269+G276)),IF('Datu ievade'!$B$373='Datu ievade'!$B$375,(1+D387)*((SUM(D230:D238)+SUM(Aprekini!D39+Aprekini!D45+Aprekini!D51)*D396+SUM(Aprekini!D19+Aprekini!D20+Aprekini!D21+Aprekini!D22)+Aprekini!$B$108*SUM(Aprekini!D253,Aprekini!D261))/(G260+G269+G276)),)),3)</f>
        <v>0.20899999999999999</v>
      </c>
      <c r="E392" s="332">
        <f ca="1">ROUND(IF('Datu ievade'!$B$373='Datu ievade'!$B$374,(1+E387)*((SUM(E230:E238)+SUM(Aprekini!E39+Aprekini!E45+Aprekini!E51)*E396+SUM(Aprekini!E19+Aprekini!E20+Aprekini!E21+Aprekini!E22)+Aprekini!$B$108*SUM(Aprekini!E253:E254,Aprekini!E261:E262)*(1-Aprekini!E158))/(H260+H269+H276)),IF('Datu ievade'!$B$373='Datu ievade'!$B$375,(1+E387)*((SUM(E230:E238)+SUM(Aprekini!E39+Aprekini!E45+Aprekini!E51)*E396+SUM(Aprekini!E19+Aprekini!E20+Aprekini!E21+Aprekini!E22)+Aprekini!$B$108*SUM(Aprekini!E253,Aprekini!E261))/(H260+H269+H276)),)),3)</f>
        <v>0.223</v>
      </c>
      <c r="F392" s="332">
        <f ca="1">ROUND(IF('Datu ievade'!$B$373='Datu ievade'!$B$374,(1+F387)*((SUM(F230:F238)+SUM(Aprekini!F39+Aprekini!F45+Aprekini!F51)*F396+SUM(Aprekini!F19+Aprekini!F20+Aprekini!F21+Aprekini!F22)+Aprekini!$B$108*SUM(Aprekini!F253:F254,Aprekini!F261:F262)*(1-Aprekini!F158))/(I260+I269+I276)),IF('Datu ievade'!$B$373='Datu ievade'!$B$375,(1+F387)*((SUM(F230:F238)+SUM(Aprekini!F39+Aprekini!F45+Aprekini!F51)*F396+SUM(Aprekini!F19+Aprekini!F20+Aprekini!F21+Aprekini!F22)+Aprekini!$B$108*SUM(Aprekini!F253,Aprekini!F261))/(I260+I269+I276)),)),3)</f>
        <v>0.26600000000000001</v>
      </c>
      <c r="G392" s="332">
        <f ca="1">ROUND(IF('Datu ievade'!$B$373='Datu ievade'!$B$374,(1+G387)*((SUM(G230:G238)+SUM(Aprekini!G39+Aprekini!G45+Aprekini!G51)*G396+SUM(Aprekini!G19+Aprekini!G20+Aprekini!G21+Aprekini!G22)+Aprekini!$B$108*SUM(Aprekini!G253:G254,Aprekini!G261:G262)*(1-Aprekini!G158))/(J260+J269+J276)),IF('Datu ievade'!$B$373='Datu ievade'!$B$375,(1+G387)*((SUM(G230:G238)+SUM(Aprekini!G39+Aprekini!G45+Aprekini!G51)*G396+SUM(Aprekini!G19+Aprekini!G20+Aprekini!G21+Aprekini!G22)+Aprekini!$B$108*SUM(Aprekini!G253,Aprekini!G261))/(J260+J269+J276)),)),3)</f>
        <v>0.27100000000000002</v>
      </c>
      <c r="H392" s="332">
        <f ca="1">ROUND(IF('Datu ievade'!$B$373='Datu ievade'!$B$374,(1+H387)*((SUM(H230:H238)+SUM(Aprekini!H39+Aprekini!H45+Aprekini!H51)*H396+SUM(Aprekini!H19+Aprekini!H20+Aprekini!H21+Aprekini!H22)+Aprekini!$B$108*SUM(Aprekini!H253:H254,Aprekini!H261:H262)*(1-Aprekini!H158))/(K260+K269+K276)),IF('Datu ievade'!$B$373='Datu ievade'!$B$375,(1+H387)*((SUM(H230:H238)+SUM(Aprekini!H39+Aprekini!H45+Aprekini!H51)*H396+SUM(Aprekini!H19+Aprekini!H20+Aprekini!H21+Aprekini!H22)+Aprekini!$B$108*SUM(Aprekini!H253,Aprekini!H261))/(K260+K269+K276)),)),3)</f>
        <v>0.27600000000000002</v>
      </c>
      <c r="I392" s="332">
        <f ca="1">ROUND(IF('Datu ievade'!$B$373='Datu ievade'!$B$374,(1+I387)*((SUM(I230:I238)+SUM(Aprekini!I39+Aprekini!I45+Aprekini!I51)*I396+SUM(Aprekini!I19+Aprekini!I20+Aprekini!I21+Aprekini!I22)+Aprekini!$B$108*SUM(Aprekini!I253:I254,Aprekini!I261:I262)*(1-Aprekini!I158))/(L260+L269+L276)),IF('Datu ievade'!$B$373='Datu ievade'!$B$375,(1+I387)*((SUM(I230:I238)+SUM(Aprekini!I39+Aprekini!I45+Aprekini!I51)*I396+SUM(Aprekini!I19+Aprekini!I20+Aprekini!I21+Aprekini!I22)+Aprekini!$B$108*SUM(Aprekini!I253,Aprekini!I261))/(L260+L269+L276)),)),3)</f>
        <v>0.28299999999999997</v>
      </c>
      <c r="J392" s="332">
        <f ca="1">ROUND(IF('Datu ievade'!$B$373='Datu ievade'!$B$374,(1+J387)*((SUM(J230:J238)+SUM(Aprekini!J39+Aprekini!J45+Aprekini!J51)*J396+SUM(Aprekini!J19+Aprekini!J20+Aprekini!J21+Aprekini!J22)+Aprekini!$B$108*SUM(Aprekini!J253:J254,Aprekini!J261:J262)*(1-Aprekini!J158))/(M260+M269+M276)),IF('Datu ievade'!$B$373='Datu ievade'!$B$375,(1+J387)*((SUM(J230:J238)+SUM(Aprekini!J39+Aprekini!J45+Aprekini!J51)*J396+SUM(Aprekini!J19+Aprekini!J20+Aprekini!J21+Aprekini!J22)+Aprekini!$B$108*SUM(Aprekini!J253,Aprekini!J261))/(M260+M269+M276)),)),3)</f>
        <v>0.28799999999999998</v>
      </c>
      <c r="K392" s="332">
        <f ca="1">ROUND(IF('Datu ievade'!$B$373='Datu ievade'!$B$374,(1+K387)*((SUM(K230:K238)+SUM(Aprekini!K39+Aprekini!K45+Aprekini!K51)*K396+SUM(Aprekini!K19+Aprekini!K20+Aprekini!K21+Aprekini!K22)+Aprekini!$B$108*SUM(Aprekini!K253:K254,Aprekini!K261:K262)*(1-Aprekini!K158))/(N260+N269+N276)),IF('Datu ievade'!$B$373='Datu ievade'!$B$375,(1+K387)*((SUM(K230:K238)+SUM(Aprekini!K39+Aprekini!K45+Aprekini!K51)*K396+SUM(Aprekini!K19+Aprekini!K20+Aprekini!K21+Aprekini!K22)+Aprekini!$B$108*SUM(Aprekini!K253,Aprekini!K261))/(N260+N269+N276)),)),3)</f>
        <v>0.29299999999999998</v>
      </c>
      <c r="L392" s="332">
        <f ca="1">ROUND(IF('Datu ievade'!$B$373='Datu ievade'!$B$374,(1+L387)*((SUM(L230:L238)+SUM(Aprekini!L39+Aprekini!L45+Aprekini!L51)*L396+SUM(Aprekini!L19+Aprekini!L20+Aprekini!L21+Aprekini!L22)+Aprekini!$B$108*SUM(Aprekini!L253:L254,Aprekini!L261:L262)*(1-Aprekini!L158))/(O260+O269+O276)),IF('Datu ievade'!$B$373='Datu ievade'!$B$375,(1+L387)*((SUM(L230:L238)+SUM(Aprekini!L39+Aprekini!L45+Aprekini!L51)*L396+SUM(Aprekini!L19+Aprekini!L20+Aprekini!L21+Aprekini!L22)+Aprekini!$B$108*SUM(Aprekini!L253,Aprekini!L261))/(O260+O269+O276)),)),3)</f>
        <v>0.29699999999999999</v>
      </c>
      <c r="M392" s="332">
        <f ca="1">ROUND(IF('Datu ievade'!$B$373='Datu ievade'!$B$374,(1+M387)*((SUM(M230:M238)+SUM(Aprekini!M39+Aprekini!M45+Aprekini!M51)*M396+SUM(Aprekini!M19+Aprekini!M20+Aprekini!M21+Aprekini!M22)+Aprekini!$B$108*SUM(Aprekini!M253:M254,Aprekini!M261:M262)*(1-Aprekini!M158))/(P260+P269+P276)),IF('Datu ievade'!$B$373='Datu ievade'!$B$375,(1+M387)*((SUM(M230:M238)+SUM(Aprekini!M39+Aprekini!M45+Aprekini!M51)*M396+SUM(Aprekini!M19+Aprekini!M20+Aprekini!M21+Aprekini!M22)+Aprekini!$B$108*SUM(Aprekini!M253,Aprekini!M261))/(P260+P269+P276)),)),3)</f>
        <v>0.30299999999999999</v>
      </c>
      <c r="N392" s="332">
        <f ca="1">ROUND(IF('Datu ievade'!$B$373='Datu ievade'!$B$374,(1+N387)*((SUM(N230:N238)+SUM(Aprekini!N39+Aprekini!N45+Aprekini!N51)*N396+SUM(Aprekini!N19+Aprekini!N20+Aprekini!N21+Aprekini!N22)+Aprekini!$B$108*SUM(Aprekini!N253:N254,Aprekini!N261:N262)*(1-Aprekini!N158))/(Q260+Q269+Q276)),IF('Datu ievade'!$B$373='Datu ievade'!$B$375,(1+N387)*((SUM(N230:N238)+SUM(Aprekini!N39+Aprekini!N45+Aprekini!N51)*N396+SUM(Aprekini!N19+Aprekini!N20+Aprekini!N21+Aprekini!N22)+Aprekini!$B$108*SUM(Aprekini!N253,Aprekini!N261))/(Q260+Q269+Q276)),)),3)</f>
        <v>0.309</v>
      </c>
      <c r="O392" s="332">
        <f ca="1">ROUND(IF('Datu ievade'!$B$373='Datu ievade'!$B$374,(1+O387)*((SUM(O230:O238)+SUM(Aprekini!O39+Aprekini!O45+Aprekini!O51)*O396+SUM(Aprekini!O19+Aprekini!O20+Aprekini!O21+Aprekini!O22)+Aprekini!$B$108*SUM(Aprekini!O253:O254,Aprekini!O261:O262)*(1-Aprekini!O158))/(R260+R269+R276)),IF('Datu ievade'!$B$373='Datu ievade'!$B$375,(1+O387)*((SUM(O230:O238)+SUM(Aprekini!O39+Aprekini!O45+Aprekini!O51)*O396+SUM(Aprekini!O19+Aprekini!O20+Aprekini!O21+Aprekini!O22)+Aprekini!$B$108*SUM(Aprekini!O253,Aprekini!O261))/(R260+R269+R276)),)),3)</f>
        <v>0.315</v>
      </c>
      <c r="P392" s="332">
        <f ca="1">ROUND(IF('Datu ievade'!$B$373='Datu ievade'!$B$374,(1+P387)*((SUM(P230:P238)+SUM(Aprekini!P39+Aprekini!P45+Aprekini!P51)*P396+SUM(Aprekini!P19+Aprekini!P20+Aprekini!P21+Aprekini!P22)+Aprekini!$B$108*SUM(Aprekini!P253:P254,Aprekini!P261:P262)*(1-Aprekini!P158))/(S260+S269+S276)),IF('Datu ievade'!$B$373='Datu ievade'!$B$375,(1+P387)*((SUM(P230:P238)+SUM(Aprekini!P39+Aprekini!P45+Aprekini!P51)*P396+SUM(Aprekini!P19+Aprekini!P20+Aprekini!P21+Aprekini!P22)+Aprekini!$B$108*SUM(Aprekini!P253,Aprekini!P261))/(S260+S269+S276)),)),3)</f>
        <v>0.317</v>
      </c>
      <c r="Q392" s="332">
        <f ca="1">ROUND(IF('Datu ievade'!$B$373='Datu ievade'!$B$374,(1+Q387)*((SUM(Q230:Q238)+SUM(Aprekini!Q39+Aprekini!Q45+Aprekini!Q51)*Q396+SUM(Aprekini!Q19+Aprekini!Q20+Aprekini!Q21+Aprekini!Q22)+Aprekini!$B$108*SUM(Aprekini!Q253:Q254,Aprekini!Q261:Q262)*(1-Aprekini!Q158))/(T260+T269+T276)),IF('Datu ievade'!$B$373='Datu ievade'!$B$375,(1+Q387)*((SUM(Q230:Q238)+SUM(Aprekini!Q39+Aprekini!Q45+Aprekini!Q51)*Q396+SUM(Aprekini!Q19+Aprekini!Q20+Aprekini!Q21+Aprekini!Q22)+Aprekini!$B$108*SUM(Aprekini!Q253,Aprekini!Q261))/(T260+T269+T276)),)),3)</f>
        <v>0.31900000000000001</v>
      </c>
      <c r="R392" s="332">
        <f ca="1">ROUND(IF('Datu ievade'!$B$373='Datu ievade'!$B$374,(1+R387)*((SUM(R230:R238)+SUM(Aprekini!R39+Aprekini!R45+Aprekini!R51)*R396+SUM(Aprekini!R19+Aprekini!R20+Aprekini!R21+Aprekini!R22)+Aprekini!$B$108*SUM(Aprekini!R253:R254,Aprekini!R261:R262)*(1-Aprekini!R158))/(U260+U269+U276)),IF('Datu ievade'!$B$373='Datu ievade'!$B$375,(1+R387)*((SUM(R230:R238)+SUM(Aprekini!R39+Aprekini!R45+Aprekini!R51)*R396+SUM(Aprekini!R19+Aprekini!R20+Aprekini!R21+Aprekini!R22)+Aprekini!$B$108*SUM(Aprekini!R253,Aprekini!R261))/(U260+U269+U276)),)),3)</f>
        <v>0.32500000000000001</v>
      </c>
      <c r="S392" s="332">
        <f ca="1">ROUND(IF('Datu ievade'!$B$373='Datu ievade'!$B$374,(1+S387)*((SUM(S230:S238)+SUM(Aprekini!S39+Aprekini!S45+Aprekini!S51)*S396+SUM(Aprekini!S19+Aprekini!S20+Aprekini!S21+Aprekini!S22)+Aprekini!$B$108*SUM(Aprekini!S253:S254,Aprekini!S261:S262)*(1-Aprekini!S158))/(V260+V269+V276)),IF('Datu ievade'!$B$373='Datu ievade'!$B$375,(1+S387)*((SUM(S230:S238)+SUM(Aprekini!S39+Aprekini!S45+Aprekini!S51)*S396+SUM(Aprekini!S19+Aprekini!S20+Aprekini!S21+Aprekini!S22)+Aprekini!$B$108*SUM(Aprekini!S253,Aprekini!S261))/(V260+V269+V276)),)),3)</f>
        <v>0.33200000000000002</v>
      </c>
      <c r="T392" s="332">
        <f ca="1">ROUND(IF('Datu ievade'!$B$373='Datu ievade'!$B$374,(1+T387)*((SUM(T230:T238)+SUM(Aprekini!T39+Aprekini!T45+Aprekini!T51)*T396+SUM(Aprekini!T19+Aprekini!T20+Aprekini!T21+Aprekini!T22)+Aprekini!$B$108*SUM(Aprekini!T253:T254,Aprekini!T261:T262)*(1-Aprekini!T158))/(W260+W269+W276)),IF('Datu ievade'!$B$373='Datu ievade'!$B$375,(1+T387)*((SUM(T230:T238)+SUM(Aprekini!T39+Aprekini!T45+Aprekini!T51)*T396+SUM(Aprekini!T19+Aprekini!T20+Aprekini!T21+Aprekini!T22)+Aprekini!$B$108*SUM(Aprekini!T253,Aprekini!T261))/(W260+W269+W276)),)),3)</f>
        <v>0.33800000000000002</v>
      </c>
      <c r="U392" s="332">
        <f ca="1">ROUND(IF('Datu ievade'!$B$373='Datu ievade'!$B$374,(1+U387)*((SUM(U230:U238)+SUM(Aprekini!U39+Aprekini!U45+Aprekini!U51)*U396+SUM(Aprekini!U19+Aprekini!U20+Aprekini!U21+Aprekini!U22)+Aprekini!$B$108*SUM(Aprekini!U253:U254,Aprekini!U261:U262)*(1-Aprekini!U158))/(X260+X269+X276)),IF('Datu ievade'!$B$373='Datu ievade'!$B$375,(1+U387)*((SUM(U230:U238)+SUM(Aprekini!U39+Aprekini!U45+Aprekini!U51)*U396+SUM(Aprekini!U19+Aprekini!U20+Aprekini!U21+Aprekini!U22)+Aprekini!$B$108*SUM(Aprekini!U253,Aprekini!U261))/(X260+X269+X276)),)),3)</f>
        <v>0.35</v>
      </c>
      <c r="V392" s="332">
        <f ca="1">ROUND(IF('Datu ievade'!$B$373='Datu ievade'!$B$374,(1+V387)*((SUM(V230:V238)+SUM(Aprekini!V39+Aprekini!V45+Aprekini!V51)*V396+SUM(Aprekini!V19+Aprekini!V20+Aprekini!V21+Aprekini!V22)+Aprekini!$B$108*SUM(Aprekini!V253:V254,Aprekini!V261:V262)*(1-Aprekini!V158))/(Y260+Y269+Y276)),IF('Datu ievade'!$B$373='Datu ievade'!$B$375,(1+V387)*((SUM(V230:V238)+SUM(Aprekini!V39+Aprekini!V45+Aprekini!V51)*V396+SUM(Aprekini!V19+Aprekini!V20+Aprekini!V21+Aprekini!V22)+Aprekini!$B$108*SUM(Aprekini!V253,Aprekini!V261))/(Y260+Y269+Y276)),)),3)</f>
        <v>0.35599999999999998</v>
      </c>
      <c r="W392" s="332">
        <f ca="1">ROUND(IF('Datu ievade'!$B$373='Datu ievade'!$B$374,(1+W387)*((SUM(W230:W238)+SUM(Aprekini!W39+Aprekini!W45+Aprekini!W51)*W396+SUM(Aprekini!W19+Aprekini!W20+Aprekini!W21+Aprekini!W22)+Aprekini!$B$108*SUM(Aprekini!W253:W254,Aprekini!W261:W262)*(1-Aprekini!W158))/(Z260+Z269+Z276)),IF('Datu ievade'!$B$373='Datu ievade'!$B$375,(1+W387)*((SUM(W230:W238)+SUM(Aprekini!W39+Aprekini!W45+Aprekini!W51)*W396+SUM(Aprekini!W19+Aprekini!W20+Aprekini!W21+Aprekini!W22)+Aprekini!$B$108*SUM(Aprekini!W253,Aprekini!W261))/(Z260+Z269+Z276)),)),3)</f>
        <v>0.36299999999999999</v>
      </c>
      <c r="X392" s="332">
        <f ca="1">ROUND(IF('Datu ievade'!$B$373='Datu ievade'!$B$374,(1+X387)*((SUM(X230:X238)+SUM(Aprekini!X39+Aprekini!X45+Aprekini!X51)*X396+SUM(Aprekini!X19+Aprekini!X20+Aprekini!X21+Aprekini!X22)+Aprekini!$B$108*SUM(Aprekini!X253:X254,Aprekini!X261:X262)*(1-Aprekini!X158))/(AA260+AA269+AA276)),IF('Datu ievade'!$B$373='Datu ievade'!$B$375,(1+X387)*((SUM(X230:X238)+SUM(Aprekini!X39+Aprekini!X45+Aprekini!X51)*X396+SUM(Aprekini!X19+Aprekini!X20+Aprekini!X21+Aprekini!X22)+Aprekini!$B$108*SUM(Aprekini!X253,Aprekini!X261))/(AA260+AA269+AA276)),)),3)</f>
        <v>0.36899999999999999</v>
      </c>
      <c r="Y392" s="332">
        <f ca="1">ROUND(IF('Datu ievade'!$B$373='Datu ievade'!$B$374,(1+Y387)*((SUM(Y230:Y238)+SUM(Aprekini!Y39+Aprekini!Y45+Aprekini!Y51)*Y396+SUM(Aprekini!Y19+Aprekini!Y20+Aprekini!Y21+Aprekini!Y22)+Aprekini!$B$108*SUM(Aprekini!Y253:Y254,Aprekini!Y261:Y262)*(1-Aprekini!Y158))/(AB260+AB269+AB276)),IF('Datu ievade'!$B$373='Datu ievade'!$B$375,(1+Y387)*((SUM(Y230:Y238)+SUM(Aprekini!Y39+Aprekini!Y45+Aprekini!Y51)*Y396+SUM(Aprekini!Y19+Aprekini!Y20+Aprekini!Y21+Aprekini!Y22)+Aprekini!$B$108*SUM(Aprekini!Y253,Aprekini!Y261))/(AB260+AB269+AB276)),)),3)</f>
        <v>0.376</v>
      </c>
      <c r="Z392" s="332">
        <f ca="1">ROUND(IF('Datu ievade'!$B$373='Datu ievade'!$B$374,(1+Z387)*((SUM(Z230:Z238)+SUM(Aprekini!Z39+Aprekini!Z45+Aprekini!Z51)*Z396+SUM(Aprekini!Z19+Aprekini!Z20+Aprekini!Z21+Aprekini!Z22)+Aprekini!$B$108*SUM(Aprekini!Z253:Z254,Aprekini!Z261:Z262)*(1-Aprekini!Z158))/(AC260+AC269+AC276)),IF('Datu ievade'!$B$373='Datu ievade'!$B$375,(1+Z387)*((SUM(Z230:Z238)+SUM(Aprekini!Z39+Aprekini!Z45+Aprekini!Z51)*Z396+SUM(Aprekini!Z19+Aprekini!Z20+Aprekini!Z21+Aprekini!Z22)+Aprekini!$B$108*SUM(Aprekini!Z253,Aprekini!Z261))/(AC260+AC269+AC276)),)),3)</f>
        <v>0.38300000000000001</v>
      </c>
      <c r="AA392" s="332">
        <f ca="1">ROUND(IF('Datu ievade'!$B$373='Datu ievade'!$B$374,(1+AA387)*((SUM(AA230:AA238)+SUM(Aprekini!AA39+Aprekini!AA45+Aprekini!AA51)*AA396+SUM(Aprekini!AA19+Aprekini!AA20+Aprekini!AA21+Aprekini!AA22)+Aprekini!$B$108*SUM(Aprekini!AA253:AA254,Aprekini!AA261:AA262)*(1-Aprekini!AA158))/(AD260+AD269+AD276)),IF('Datu ievade'!$B$373='Datu ievade'!$B$375,(1+AA387)*((SUM(AA230:AA238)+SUM(Aprekini!AA39+Aprekini!AA45+Aprekini!AA51)*AA396+SUM(Aprekini!AA19+Aprekini!AA20+Aprekini!AA21+Aprekini!AA22)+Aprekini!$B$108*SUM(Aprekini!AA253,Aprekini!AA261))/(AD260+AD269+AD276)),)),3)</f>
        <v>0.38900000000000001</v>
      </c>
      <c r="AB392" s="332">
        <f ca="1">ROUND(IF('Datu ievade'!$B$373='Datu ievade'!$B$374,(1+AB387)*((SUM(AB230:AB238)+SUM(Aprekini!AB39+Aprekini!AB45+Aprekini!AB51)*AB396+SUM(Aprekini!AB19+Aprekini!AB20+Aprekini!AB21+Aprekini!AB22)+Aprekini!$B$108*SUM(Aprekini!AB253:AB254,Aprekini!AB261:AB262)*(1-Aprekini!AB158))/(AE260+AE269+AE276)),IF('Datu ievade'!$B$373='Datu ievade'!$B$375,(1+AB387)*((SUM(AB230:AB238)+SUM(Aprekini!AB39+Aprekini!AB45+Aprekini!AB51)*AB396+SUM(Aprekini!AB19+Aprekini!AB20+Aprekini!AB21+Aprekini!AB22)+Aprekini!$B$108*SUM(Aprekini!AB253,Aprekini!AB261))/(AE260+AE269+AE276)),)),3)</f>
        <v>0.39600000000000002</v>
      </c>
      <c r="AC392" s="332">
        <f ca="1">ROUND(IF('Datu ievade'!$B$373='Datu ievade'!$B$374,(1+AC387)*((SUM(AC230:AC238)+SUM(Aprekini!AC39+Aprekini!AC45+Aprekini!AC51)*AC396+SUM(Aprekini!AC19+Aprekini!AC20+Aprekini!AC21+Aprekini!AC22)+Aprekini!$B$108*SUM(Aprekini!AC253:AC254,Aprekini!AC261:AC262)*(1-Aprekini!AC158))/(AF260+AF269+AF276)),IF('Datu ievade'!$B$373='Datu ievade'!$B$375,(1+AC387)*((SUM(AC230:AC238)+SUM(Aprekini!AC39+Aprekini!AC45+Aprekini!AC51)*AC396+SUM(Aprekini!AC19+Aprekini!AC20+Aprekini!AC21+Aprekini!AC22)+Aprekini!$B$108*SUM(Aprekini!AC253,Aprekini!AC261))/(AF260+AF269+AF276)),)),3)</f>
        <v>0.40300000000000002</v>
      </c>
      <c r="AD392" s="332">
        <f ca="1">ROUND(IF('Datu ievade'!$B$373='Datu ievade'!$B$374,(1+AD387)*((SUM(AD230:AD238)+SUM(Aprekini!AD39+Aprekini!AD45+Aprekini!AD51)*AD396+SUM(Aprekini!AD19+Aprekini!AD20+Aprekini!AD21+Aprekini!AD22)+Aprekini!$B$108*SUM(Aprekini!AD253:AD254,Aprekini!AD261:AD262)*(1-Aprekini!AD158))/(AG260+AG269+AG276)),IF('Datu ievade'!$B$373='Datu ievade'!$B$375,(1+AD387)*((SUM(AD230:AD238)+SUM(Aprekini!AD39+Aprekini!AD45+Aprekini!AD51)*AD396+SUM(Aprekini!AD19+Aprekini!AD20+Aprekini!AD21+Aprekini!AD22)+Aprekini!$B$108*SUM(Aprekini!AD253,Aprekini!AD261))/(AG260+AG269+AG276)),)),3)</f>
        <v>0.40899999999999997</v>
      </c>
      <c r="AE392" s="332">
        <f ca="1">ROUND(IF('Datu ievade'!$B$373='Datu ievade'!$B$374,(1+AE387)*((SUM(AE230:AE238)+SUM(Aprekini!AE39+Aprekini!AE45+Aprekini!AE51)*AE396+SUM(Aprekini!AE19+Aprekini!AE20+Aprekini!AE21+Aprekini!AE22)+Aprekini!$B$108*SUM(Aprekini!AE253:AE254,Aprekini!AE261:AE262)*(1-Aprekini!AE158))/(AH260+AH269+AH276)),IF('Datu ievade'!$B$373='Datu ievade'!$B$375,(1+AE387)*((SUM(AE230:AE238)+SUM(Aprekini!AE39+Aprekini!AE45+Aprekini!AE51)*AE396+SUM(Aprekini!AE19+Aprekini!AE20+Aprekini!AE21+Aprekini!AE22)+Aprekini!$B$108*SUM(Aprekini!AE253,Aprekini!AE261))/(AH260+AH269+AH276)),)),3)</f>
        <v>0.41699999999999998</v>
      </c>
      <c r="AF392" s="332">
        <f ca="1">ROUND(IF('Datu ievade'!$B$373='Datu ievade'!$B$374,(1+AF387)*((SUM(AF230:AF238)+SUM(Aprekini!AF39+Aprekini!AF45+Aprekini!AF51)*AF396+SUM(Aprekini!AF19+Aprekini!AF20+Aprekini!AF21+Aprekini!AF22)+Aprekini!$B$108*SUM(Aprekini!AF253:AF254,Aprekini!AF261:AF262)*(1-Aprekini!AF158))/(AI260+AI269+AI276)),IF('Datu ievade'!$B$373='Datu ievade'!$B$375,(1+AF387)*((SUM(AF230:AF238)+SUM(Aprekini!AF39+Aprekini!AF45+Aprekini!AF51)*AF396+SUM(Aprekini!AF19+Aprekini!AF20+Aprekini!AF21+Aprekini!AF22)+Aprekini!$B$108*SUM(Aprekini!AF253,Aprekini!AF261))/(AI260+AI269+AI276)),)),3)</f>
        <v>0.42599999999999999</v>
      </c>
      <c r="AG392" s="332">
        <f ca="1">ROUND(IF('Datu ievade'!$B$373='Datu ievade'!$B$374,(1+AG387)*((SUM(AG230:AG238)+SUM(Aprekini!AG39+Aprekini!AG45+Aprekini!AG51)*AG396+SUM(Aprekini!AG19+Aprekini!AG20+Aprekini!AG21+Aprekini!AG22)+Aprekini!$B$108*SUM(Aprekini!AG253:AG254,Aprekini!AG261:AG262)*(1-Aprekini!AG158))/(AJ260+AJ269+AJ276)),IF('Datu ievade'!$B$373='Datu ievade'!$B$375,(1+AG387)*((SUM(AG230:AG238)+SUM(Aprekini!AG39+Aprekini!AG45+Aprekini!AG51)*AG396+SUM(Aprekini!AG19+Aprekini!AG20+Aprekini!AG21+Aprekini!AG22)+Aprekini!$B$108*SUM(Aprekini!AG253,Aprekini!AG261))/(AJ260+AJ269+AJ276)),)),3)</f>
        <v>0.42499999999999999</v>
      </c>
      <c r="AH392" s="332">
        <f ca="1">ROUND(IF('Datu ievade'!$B$373='Datu ievade'!$B$374,(1+AH387)*((SUM(AH230:AH238)+SUM(Aprekini!AH39+Aprekini!AH45+Aprekini!AH51)*AH396+SUM(Aprekini!AH19+Aprekini!AH20+Aprekini!AH21+Aprekini!AH22)+Aprekini!$B$108*SUM(Aprekini!AH253:AH254,Aprekini!AH261:AH262)*(1-Aprekini!AH158))/(AK260+AK269+AK276)),IF('Datu ievade'!$B$373='Datu ievade'!$B$375,(1+AH387)*((SUM(AH230:AH238)+SUM(Aprekini!AH39+Aprekini!AH45+Aprekini!AH51)*AH396+SUM(Aprekini!AH19+Aprekini!AH20+Aprekini!AH21+Aprekini!AH22)+Aprekini!$B$108*SUM(Aprekini!AH253,Aprekini!AH261))/(AK260+AK269+AK276)),)),3)</f>
        <v>0.42499999999999999</v>
      </c>
      <c r="AI392" s="60"/>
      <c r="AJ392" s="60"/>
    </row>
    <row r="393" spans="1:143" s="334" customFormat="1" x14ac:dyDescent="0.2">
      <c r="A393" s="331" t="s">
        <v>299</v>
      </c>
      <c r="B393" s="333"/>
      <c r="C393" s="333">
        <f>C392-B392</f>
        <v>8.0000000000000071E-3</v>
      </c>
      <c r="D393" s="333">
        <f t="shared" ref="D393:AG393" si="83">D392-C392</f>
        <v>1.3999999999999985E-2</v>
      </c>
      <c r="E393" s="333">
        <f t="shared" ca="1" si="83"/>
        <v>1.4000000000000012E-2</v>
      </c>
      <c r="F393" s="333">
        <f t="shared" ca="1" si="83"/>
        <v>4.300000000000001E-2</v>
      </c>
      <c r="G393" s="333">
        <f t="shared" ca="1" si="83"/>
        <v>5.0000000000000044E-3</v>
      </c>
      <c r="H393" s="333">
        <f t="shared" ca="1" si="83"/>
        <v>5.0000000000000044E-3</v>
      </c>
      <c r="I393" s="333">
        <f t="shared" ca="1" si="83"/>
        <v>6.9999999999999507E-3</v>
      </c>
      <c r="J393" s="333">
        <f t="shared" ca="1" si="83"/>
        <v>5.0000000000000044E-3</v>
      </c>
      <c r="K393" s="333">
        <f t="shared" ca="1" si="83"/>
        <v>5.0000000000000044E-3</v>
      </c>
      <c r="L393" s="333">
        <f t="shared" ca="1" si="83"/>
        <v>4.0000000000000036E-3</v>
      </c>
      <c r="M393" s="333">
        <f t="shared" ca="1" si="83"/>
        <v>6.0000000000000053E-3</v>
      </c>
      <c r="N393" s="333">
        <f t="shared" ca="1" si="83"/>
        <v>6.0000000000000053E-3</v>
      </c>
      <c r="O393" s="333">
        <f t="shared" ca="1" si="83"/>
        <v>6.0000000000000053E-3</v>
      </c>
      <c r="P393" s="333">
        <f t="shared" ca="1" si="83"/>
        <v>2.0000000000000018E-3</v>
      </c>
      <c r="Q393" s="333">
        <f t="shared" ca="1" si="83"/>
        <v>2.0000000000000018E-3</v>
      </c>
      <c r="R393" s="333">
        <f t="shared" ca="1" si="83"/>
        <v>6.0000000000000053E-3</v>
      </c>
      <c r="S393" s="333">
        <f t="shared" ca="1" si="83"/>
        <v>7.0000000000000062E-3</v>
      </c>
      <c r="T393" s="333">
        <f t="shared" ca="1" si="83"/>
        <v>6.0000000000000053E-3</v>
      </c>
      <c r="U393" s="333">
        <f t="shared" ca="1" si="83"/>
        <v>1.1999999999999955E-2</v>
      </c>
      <c r="V393" s="333">
        <f t="shared" ca="1" si="83"/>
        <v>6.0000000000000053E-3</v>
      </c>
      <c r="W393" s="333">
        <f t="shared" ca="1" si="83"/>
        <v>7.0000000000000062E-3</v>
      </c>
      <c r="X393" s="333">
        <f t="shared" ca="1" si="83"/>
        <v>6.0000000000000053E-3</v>
      </c>
      <c r="Y393" s="333">
        <f t="shared" ca="1" si="83"/>
        <v>7.0000000000000062E-3</v>
      </c>
      <c r="Z393" s="333">
        <f t="shared" ca="1" si="83"/>
        <v>7.0000000000000062E-3</v>
      </c>
      <c r="AA393" s="333">
        <f t="shared" ca="1" si="83"/>
        <v>6.0000000000000053E-3</v>
      </c>
      <c r="AB393" s="333">
        <f t="shared" ca="1" si="83"/>
        <v>7.0000000000000062E-3</v>
      </c>
      <c r="AC393" s="333">
        <f t="shared" ca="1" si="83"/>
        <v>7.0000000000000062E-3</v>
      </c>
      <c r="AD393" s="333">
        <f t="shared" ca="1" si="83"/>
        <v>5.9999999999999498E-3</v>
      </c>
      <c r="AE393" s="333">
        <f t="shared" ca="1" si="83"/>
        <v>8.0000000000000071E-3</v>
      </c>
      <c r="AF393" s="333">
        <f t="shared" ca="1" si="83"/>
        <v>9.000000000000008E-3</v>
      </c>
      <c r="AG393" s="333">
        <f t="shared" ca="1" si="83"/>
        <v>-1.0000000000000009E-3</v>
      </c>
      <c r="AH393" s="333">
        <f ca="1">AH392-AG392</f>
        <v>0</v>
      </c>
      <c r="AI393" s="60"/>
      <c r="AJ393" s="60"/>
    </row>
    <row r="394" spans="1:143" s="334" customFormat="1" x14ac:dyDescent="0.2">
      <c r="A394" s="335" t="s">
        <v>300</v>
      </c>
      <c r="B394" s="333">
        <f>B430/1.21-B392</f>
        <v>0</v>
      </c>
      <c r="C394" s="333">
        <f>C430/1.21-C392</f>
        <v>0</v>
      </c>
      <c r="D394" s="333">
        <f>D430/1.21-D392</f>
        <v>0</v>
      </c>
      <c r="E394" s="333">
        <f ca="1">E430/1.21-E392</f>
        <v>0</v>
      </c>
      <c r="F394" s="333">
        <f t="shared" ref="F394:AH394" ca="1" si="84">F430/1.21-F392</f>
        <v>0</v>
      </c>
      <c r="G394" s="333">
        <f t="shared" ca="1" si="84"/>
        <v>0</v>
      </c>
      <c r="H394" s="333">
        <f t="shared" ca="1" si="84"/>
        <v>0</v>
      </c>
      <c r="I394" s="333">
        <f t="shared" ca="1" si="84"/>
        <v>0</v>
      </c>
      <c r="J394" s="333">
        <f t="shared" ca="1" si="84"/>
        <v>0</v>
      </c>
      <c r="K394" s="333">
        <f t="shared" ca="1" si="84"/>
        <v>0</v>
      </c>
      <c r="L394" s="333">
        <f t="shared" ca="1" si="84"/>
        <v>0</v>
      </c>
      <c r="M394" s="333">
        <f t="shared" ca="1" si="84"/>
        <v>0</v>
      </c>
      <c r="N394" s="333">
        <f t="shared" ca="1" si="84"/>
        <v>0</v>
      </c>
      <c r="O394" s="333">
        <f t="shared" ca="1" si="84"/>
        <v>0</v>
      </c>
      <c r="P394" s="333">
        <f t="shared" ca="1" si="84"/>
        <v>0</v>
      </c>
      <c r="Q394" s="333">
        <f t="shared" ca="1" si="84"/>
        <v>0</v>
      </c>
      <c r="R394" s="333">
        <f t="shared" ca="1" si="84"/>
        <v>0</v>
      </c>
      <c r="S394" s="333">
        <f t="shared" ca="1" si="84"/>
        <v>0</v>
      </c>
      <c r="T394" s="333">
        <f t="shared" ca="1" si="84"/>
        <v>0</v>
      </c>
      <c r="U394" s="333">
        <f t="shared" ca="1" si="84"/>
        <v>0</v>
      </c>
      <c r="V394" s="333">
        <f t="shared" ca="1" si="84"/>
        <v>0</v>
      </c>
      <c r="W394" s="333">
        <f t="shared" ca="1" si="84"/>
        <v>0</v>
      </c>
      <c r="X394" s="333">
        <f t="shared" ca="1" si="84"/>
        <v>0</v>
      </c>
      <c r="Y394" s="333">
        <f t="shared" ca="1" si="84"/>
        <v>0</v>
      </c>
      <c r="Z394" s="333">
        <f t="shared" ca="1" si="84"/>
        <v>0</v>
      </c>
      <c r="AA394" s="333">
        <f t="shared" ca="1" si="84"/>
        <v>0</v>
      </c>
      <c r="AB394" s="333">
        <f t="shared" ca="1" si="84"/>
        <v>0</v>
      </c>
      <c r="AC394" s="333">
        <f t="shared" ca="1" si="84"/>
        <v>0</v>
      </c>
      <c r="AD394" s="333">
        <f t="shared" ca="1" si="84"/>
        <v>0</v>
      </c>
      <c r="AE394" s="333">
        <f t="shared" ca="1" si="84"/>
        <v>0</v>
      </c>
      <c r="AF394" s="333">
        <f t="shared" ca="1" si="84"/>
        <v>0</v>
      </c>
      <c r="AG394" s="333">
        <f t="shared" ca="1" si="84"/>
        <v>0</v>
      </c>
      <c r="AH394" s="333">
        <f t="shared" ca="1" si="84"/>
        <v>0</v>
      </c>
      <c r="AI394" s="60"/>
      <c r="AJ394" s="60"/>
    </row>
    <row r="395" spans="1:143" s="150" customFormat="1" x14ac:dyDescent="0.2">
      <c r="A395" s="331" t="s">
        <v>290</v>
      </c>
      <c r="B395" s="333">
        <f>B392</f>
        <v>0.187</v>
      </c>
      <c r="C395" s="333">
        <f t="shared" ref="C395:AG395" si="85">C392</f>
        <v>0.19500000000000001</v>
      </c>
      <c r="D395" s="333">
        <f t="shared" si="85"/>
        <v>0.20899999999999999</v>
      </c>
      <c r="E395" s="333">
        <f t="shared" ca="1" si="85"/>
        <v>0.223</v>
      </c>
      <c r="F395" s="333">
        <f t="shared" ca="1" si="85"/>
        <v>0.26600000000000001</v>
      </c>
      <c r="G395" s="333">
        <f t="shared" ca="1" si="85"/>
        <v>0.27100000000000002</v>
      </c>
      <c r="H395" s="333">
        <f t="shared" ca="1" si="85"/>
        <v>0.27600000000000002</v>
      </c>
      <c r="I395" s="333">
        <f t="shared" ca="1" si="85"/>
        <v>0.28299999999999997</v>
      </c>
      <c r="J395" s="333">
        <f t="shared" ca="1" si="85"/>
        <v>0.28799999999999998</v>
      </c>
      <c r="K395" s="333">
        <f t="shared" ca="1" si="85"/>
        <v>0.29299999999999998</v>
      </c>
      <c r="L395" s="333">
        <f t="shared" ca="1" si="85"/>
        <v>0.29699999999999999</v>
      </c>
      <c r="M395" s="333">
        <f t="shared" ca="1" si="85"/>
        <v>0.30299999999999999</v>
      </c>
      <c r="N395" s="333">
        <f t="shared" ca="1" si="85"/>
        <v>0.309</v>
      </c>
      <c r="O395" s="333">
        <f t="shared" ca="1" si="85"/>
        <v>0.315</v>
      </c>
      <c r="P395" s="333">
        <f t="shared" ca="1" si="85"/>
        <v>0.317</v>
      </c>
      <c r="Q395" s="333">
        <f t="shared" ca="1" si="85"/>
        <v>0.31900000000000001</v>
      </c>
      <c r="R395" s="333">
        <f t="shared" ca="1" si="85"/>
        <v>0.32500000000000001</v>
      </c>
      <c r="S395" s="333">
        <f t="shared" ca="1" si="85"/>
        <v>0.33200000000000002</v>
      </c>
      <c r="T395" s="333">
        <f t="shared" ca="1" si="85"/>
        <v>0.33800000000000002</v>
      </c>
      <c r="U395" s="333">
        <f t="shared" ca="1" si="85"/>
        <v>0.35</v>
      </c>
      <c r="V395" s="333">
        <f t="shared" ca="1" si="85"/>
        <v>0.35599999999999998</v>
      </c>
      <c r="W395" s="333">
        <f t="shared" ca="1" si="85"/>
        <v>0.36299999999999999</v>
      </c>
      <c r="X395" s="333">
        <f t="shared" ca="1" si="85"/>
        <v>0.36899999999999999</v>
      </c>
      <c r="Y395" s="333">
        <f t="shared" ca="1" si="85"/>
        <v>0.376</v>
      </c>
      <c r="Z395" s="333">
        <f t="shared" ca="1" si="85"/>
        <v>0.38300000000000001</v>
      </c>
      <c r="AA395" s="333">
        <f t="shared" ca="1" si="85"/>
        <v>0.38900000000000001</v>
      </c>
      <c r="AB395" s="333">
        <f t="shared" ca="1" si="85"/>
        <v>0.39600000000000002</v>
      </c>
      <c r="AC395" s="333">
        <f t="shared" ca="1" si="85"/>
        <v>0.40300000000000002</v>
      </c>
      <c r="AD395" s="333">
        <f t="shared" ca="1" si="85"/>
        <v>0.40899999999999997</v>
      </c>
      <c r="AE395" s="333">
        <f t="shared" ca="1" si="85"/>
        <v>0.41699999999999998</v>
      </c>
      <c r="AF395" s="333">
        <f t="shared" ca="1" si="85"/>
        <v>0.42599999999999999</v>
      </c>
      <c r="AG395" s="333">
        <f t="shared" ca="1" si="85"/>
        <v>0.42499999999999999</v>
      </c>
      <c r="AH395" s="333">
        <f ca="1">AH392</f>
        <v>0.42499999999999999</v>
      </c>
      <c r="AI395" s="60"/>
      <c r="AJ395" s="60"/>
    </row>
    <row r="396" spans="1:143" s="150" customFormat="1" x14ac:dyDescent="0.2">
      <c r="A396" s="336" t="s">
        <v>382</v>
      </c>
      <c r="B396" s="337">
        <v>0</v>
      </c>
      <c r="C396" s="337">
        <v>0</v>
      </c>
      <c r="D396" s="337">
        <v>0</v>
      </c>
      <c r="E396" s="337">
        <v>0.15</v>
      </c>
      <c r="F396" s="337">
        <v>0.15</v>
      </c>
      <c r="G396" s="337">
        <v>0.15</v>
      </c>
      <c r="H396" s="337">
        <v>0.15</v>
      </c>
      <c r="I396" s="337">
        <v>0.15</v>
      </c>
      <c r="J396" s="337">
        <v>0.2</v>
      </c>
      <c r="K396" s="337">
        <v>0.2</v>
      </c>
      <c r="L396" s="337">
        <v>0.2</v>
      </c>
      <c r="M396" s="337">
        <v>0.25</v>
      </c>
      <c r="N396" s="337">
        <v>0.25</v>
      </c>
      <c r="O396" s="337">
        <v>0.25</v>
      </c>
      <c r="P396" s="337">
        <v>0.25</v>
      </c>
      <c r="Q396" s="337">
        <v>0.3</v>
      </c>
      <c r="R396" s="337">
        <v>0.3</v>
      </c>
      <c r="S396" s="337">
        <v>0.35</v>
      </c>
      <c r="T396" s="337">
        <v>0.31</v>
      </c>
      <c r="U396" s="337">
        <v>1</v>
      </c>
      <c r="V396" s="337">
        <v>1</v>
      </c>
      <c r="W396" s="337">
        <v>1</v>
      </c>
      <c r="X396" s="337">
        <v>1</v>
      </c>
      <c r="Y396" s="337">
        <v>1</v>
      </c>
      <c r="Z396" s="337">
        <v>1</v>
      </c>
      <c r="AA396" s="337">
        <v>1</v>
      </c>
      <c r="AB396" s="337">
        <v>1</v>
      </c>
      <c r="AC396" s="337">
        <v>1</v>
      </c>
      <c r="AD396" s="337">
        <v>1</v>
      </c>
      <c r="AE396" s="337">
        <v>1</v>
      </c>
      <c r="AF396" s="337">
        <v>1</v>
      </c>
      <c r="AG396" s="337">
        <v>1</v>
      </c>
      <c r="AH396" s="337">
        <v>1.05</v>
      </c>
      <c r="AI396" s="60"/>
      <c r="AJ396" s="60"/>
    </row>
    <row r="397" spans="1:143" s="71" customFormat="1" x14ac:dyDescent="0.2">
      <c r="A397" s="338" t="s">
        <v>59</v>
      </c>
      <c r="B397" s="339"/>
      <c r="C397" s="339"/>
      <c r="D397" s="339"/>
      <c r="E397" s="824"/>
      <c r="F397" s="339"/>
      <c r="G397" s="339"/>
      <c r="H397" s="339"/>
      <c r="I397" s="339"/>
      <c r="J397" s="339"/>
      <c r="K397" s="339"/>
      <c r="L397" s="339"/>
      <c r="M397" s="339"/>
      <c r="N397" s="339"/>
      <c r="O397" s="339"/>
      <c r="P397" s="339"/>
      <c r="Q397" s="339"/>
      <c r="R397" s="339"/>
      <c r="S397" s="339"/>
      <c r="T397" s="339"/>
      <c r="U397" s="339"/>
      <c r="V397" s="339"/>
      <c r="W397" s="339"/>
      <c r="X397" s="339"/>
      <c r="Y397" s="339"/>
      <c r="Z397" s="339"/>
      <c r="AA397" s="339"/>
      <c r="AB397" s="339"/>
      <c r="AC397" s="339"/>
      <c r="AD397" s="339"/>
      <c r="AE397" s="339"/>
      <c r="AF397" s="339"/>
      <c r="AG397" s="339"/>
      <c r="AH397" s="339"/>
      <c r="AI397" s="60"/>
      <c r="AJ397" s="60"/>
    </row>
    <row r="398" spans="1:143" s="343" customFormat="1" x14ac:dyDescent="0.2">
      <c r="A398" s="340" t="s">
        <v>317</v>
      </c>
      <c r="B398" s="341">
        <f>E382</f>
        <v>0.2</v>
      </c>
      <c r="C398" s="342">
        <f t="shared" ref="C398:AH398" si="86">IF(C399&lt;C431/1.21,C399,C431/1.21)</f>
        <v>0.20900000000000002</v>
      </c>
      <c r="D398" s="342">
        <f t="shared" si="86"/>
        <v>0.23099999999999998</v>
      </c>
      <c r="E398" s="342">
        <f t="shared" ca="1" si="86"/>
        <v>0.253</v>
      </c>
      <c r="F398" s="342">
        <f t="shared" ca="1" si="86"/>
        <v>0.26300000000000001</v>
      </c>
      <c r="G398" s="342">
        <f t="shared" ca="1" si="86"/>
        <v>0.26699999999999996</v>
      </c>
      <c r="H398" s="342">
        <f t="shared" ca="1" si="86"/>
        <v>0.27500000000000002</v>
      </c>
      <c r="I398" s="342">
        <f t="shared" ca="1" si="86"/>
        <v>0.28000000000000003</v>
      </c>
      <c r="J398" s="342">
        <f t="shared" ca="1" si="86"/>
        <v>0.28699999999999992</v>
      </c>
      <c r="K398" s="342">
        <f t="shared" ca="1" si="86"/>
        <v>0.29200000000000004</v>
      </c>
      <c r="L398" s="342">
        <f t="shared" ca="1" si="86"/>
        <v>0.29599999999999999</v>
      </c>
      <c r="M398" s="342">
        <f t="shared" ca="1" si="86"/>
        <v>0.30399999999999999</v>
      </c>
      <c r="N398" s="342">
        <f t="shared" ca="1" si="86"/>
        <v>0.31</v>
      </c>
      <c r="O398" s="342">
        <f t="shared" ca="1" si="86"/>
        <v>0.31500000000000006</v>
      </c>
      <c r="P398" s="342">
        <f t="shared" ca="1" si="86"/>
        <v>0.308</v>
      </c>
      <c r="Q398" s="342">
        <f t="shared" ca="1" si="86"/>
        <v>0.31200000000000006</v>
      </c>
      <c r="R398" s="342">
        <f t="shared" ca="1" si="86"/>
        <v>0.318</v>
      </c>
      <c r="S398" s="342">
        <f t="shared" ca="1" si="86"/>
        <v>0.32500000000000001</v>
      </c>
      <c r="T398" s="342">
        <f t="shared" ca="1" si="86"/>
        <v>0.33200000000000007</v>
      </c>
      <c r="U398" s="342">
        <f t="shared" ca="1" si="86"/>
        <v>0.34699999999999998</v>
      </c>
      <c r="V398" s="342">
        <f t="shared" ca="1" si="86"/>
        <v>0.35399999999999998</v>
      </c>
      <c r="W398" s="342">
        <f t="shared" ca="1" si="86"/>
        <v>0.36</v>
      </c>
      <c r="X398" s="342">
        <f t="shared" ca="1" si="86"/>
        <v>0.36699999999999999</v>
      </c>
      <c r="Y398" s="342">
        <f t="shared" ca="1" si="86"/>
        <v>0.373</v>
      </c>
      <c r="Z398" s="342">
        <f t="shared" ca="1" si="86"/>
        <v>0.38</v>
      </c>
      <c r="AA398" s="342">
        <f t="shared" ca="1" si="86"/>
        <v>0.38600000000000001</v>
      </c>
      <c r="AB398" s="342">
        <f t="shared" ca="1" si="86"/>
        <v>0.39299999999999996</v>
      </c>
      <c r="AC398" s="342">
        <f t="shared" ca="1" si="86"/>
        <v>0.39900000000000002</v>
      </c>
      <c r="AD398" s="342">
        <f t="shared" ca="1" si="86"/>
        <v>0.40500000000000003</v>
      </c>
      <c r="AE398" s="342">
        <f t="shared" ca="1" si="86"/>
        <v>0.41300000000000003</v>
      </c>
      <c r="AF398" s="342">
        <f t="shared" ca="1" si="86"/>
        <v>0.42100000000000004</v>
      </c>
      <c r="AG398" s="342">
        <f t="shared" ca="1" si="86"/>
        <v>0.42100000000000004</v>
      </c>
      <c r="AH398" s="342">
        <f t="shared" ca="1" si="86"/>
        <v>0.42199999999999999</v>
      </c>
      <c r="AI398" s="60"/>
      <c r="AJ398" s="60"/>
      <c r="AK398" s="261"/>
      <c r="AL398" s="261"/>
      <c r="AM398" s="261"/>
      <c r="AN398" s="261"/>
      <c r="AO398" s="261"/>
      <c r="AP398" s="261"/>
      <c r="AQ398" s="261"/>
      <c r="AR398" s="261"/>
      <c r="AS398" s="261"/>
      <c r="AT398" s="261"/>
      <c r="AU398" s="261"/>
      <c r="AV398" s="261"/>
      <c r="AW398" s="261"/>
      <c r="AX398" s="261"/>
      <c r="AY398" s="261"/>
      <c r="AZ398" s="261"/>
      <c r="BA398" s="261"/>
      <c r="BB398" s="261"/>
      <c r="BC398" s="261"/>
      <c r="BD398" s="261"/>
      <c r="BE398" s="261"/>
      <c r="BF398" s="261"/>
      <c r="BG398" s="261"/>
      <c r="BH398" s="261"/>
      <c r="BI398" s="261"/>
      <c r="BJ398" s="261"/>
      <c r="BK398" s="261"/>
      <c r="BL398" s="261"/>
      <c r="BM398" s="261"/>
      <c r="BN398" s="261"/>
      <c r="BO398" s="261"/>
      <c r="BP398" s="261"/>
      <c r="BQ398" s="261"/>
      <c r="BR398" s="261"/>
      <c r="BS398" s="261"/>
      <c r="BT398" s="261"/>
      <c r="BU398" s="261"/>
      <c r="BV398" s="261"/>
      <c r="BW398" s="261"/>
      <c r="BX398" s="261"/>
      <c r="BY398" s="261"/>
      <c r="BZ398" s="261"/>
      <c r="CA398" s="261"/>
      <c r="CB398" s="261"/>
      <c r="CC398" s="261"/>
      <c r="CD398" s="261"/>
      <c r="CE398" s="261"/>
      <c r="CF398" s="261"/>
      <c r="CG398" s="261"/>
      <c r="CH398" s="261"/>
      <c r="CI398" s="261"/>
      <c r="CJ398" s="261"/>
      <c r="CK398" s="261"/>
      <c r="CL398" s="261"/>
      <c r="CM398" s="261"/>
      <c r="CN398" s="261"/>
      <c r="CO398" s="261"/>
      <c r="CP398" s="261"/>
      <c r="CQ398" s="261"/>
      <c r="CR398" s="261"/>
      <c r="CS398" s="261"/>
      <c r="CT398" s="261"/>
      <c r="CU398" s="261"/>
      <c r="CV398" s="261"/>
      <c r="CW398" s="261"/>
      <c r="CX398" s="261"/>
      <c r="CY398" s="261"/>
      <c r="CZ398" s="261"/>
      <c r="DA398" s="261"/>
      <c r="DB398" s="261"/>
      <c r="DC398" s="261"/>
      <c r="DD398" s="261"/>
      <c r="DE398" s="261"/>
      <c r="DF398" s="261"/>
      <c r="DG398" s="261"/>
      <c r="DH398" s="261"/>
      <c r="DI398" s="261"/>
      <c r="DJ398" s="261"/>
      <c r="DK398" s="261"/>
      <c r="DL398" s="261"/>
      <c r="DM398" s="261"/>
      <c r="DN398" s="261"/>
      <c r="DO398" s="261"/>
      <c r="DP398" s="261"/>
      <c r="DQ398" s="261"/>
      <c r="DR398" s="261"/>
      <c r="DS398" s="261"/>
      <c r="DT398" s="261"/>
      <c r="DU398" s="261"/>
      <c r="DV398" s="261"/>
      <c r="DW398" s="261"/>
      <c r="DX398" s="261"/>
      <c r="DY398" s="261"/>
      <c r="DZ398" s="261"/>
      <c r="EA398" s="261"/>
      <c r="EB398" s="261"/>
      <c r="EC398" s="261"/>
      <c r="ED398" s="261"/>
      <c r="EE398" s="261"/>
      <c r="EF398" s="261"/>
      <c r="EG398" s="261"/>
      <c r="EH398" s="261"/>
      <c r="EI398" s="261"/>
      <c r="EJ398" s="261"/>
      <c r="EK398" s="261"/>
      <c r="EL398" s="261"/>
      <c r="EM398" s="261"/>
    </row>
    <row r="399" spans="1:143" s="71" customFormat="1" x14ac:dyDescent="0.2">
      <c r="A399" s="331" t="str">
        <f>A392</f>
        <v xml:space="preserve">     Aprēķinātais tarifs</v>
      </c>
      <c r="B399" s="333">
        <f>ROUND(IF('Datu ievade'!$B$373='Datu ievade'!$B$374,(1+B387)*((SUM(B241:B249)+SUM(Aprekini!B59+Aprekini!B65+Aprekini!B71)*B403+SUM(Aprekini!B24+Aprekini!B25+Aprekini!B26+Aprekini!B27)+Aprekini!$B$109*SUM(Aprekini!B253:B254,Aprekini!B261:B262)*(1-Aprekini!B158))/('Datu ievade'!E295+'Datu ievade'!E304+'Datu ievade'!E311)),IF('Datu ievade'!$B$373='Datu ievade'!$B$375,(1+B387)*((SUM('Datu ievade'!B241:B249)+SUM(Aprekini!B71+Aprekini!B65+Aprekini!B59)*B403+SUM(Aprekini!B24+Aprekini!B25+Aprekini!B26+Aprekini!B27)+SUM(Aprekini!B253,Aprekini!B261)*Aprekini!$B$109)/('Datu ievade'!E295+'Datu ievade'!E304+'Datu ievade'!E311)),)),3)</f>
        <v>0.2</v>
      </c>
      <c r="C399" s="333">
        <f>ROUND(IF('Datu ievade'!$B$373='Datu ievade'!$B$374,(1+C387)*((SUM(C241:C249)+SUM(Aprekini!C59+Aprekini!C65+Aprekini!C71)*C403+SUM(Aprekini!C24+Aprekini!C25+Aprekini!C26+Aprekini!C27)+Aprekini!$B$109*SUM(Aprekini!C253:C254,Aprekini!C261:C262)*(1-Aprekini!C158))/('Datu ievade'!F295+'Datu ievade'!F304+'Datu ievade'!F311)),IF('Datu ievade'!$B$373='Datu ievade'!$B$375,(1+C387)*((SUM('Datu ievade'!C241:C249)+SUM(Aprekini!C71+Aprekini!C65+Aprekini!C59)*C403+SUM(Aprekini!C24+Aprekini!C25+Aprekini!C26+Aprekini!C27)+SUM(Aprekini!C253,Aprekini!C261)*Aprekini!$B$109)/('Datu ievade'!F295+'Datu ievade'!F304+'Datu ievade'!F311)),)),3)</f>
        <v>0.20899999999999999</v>
      </c>
      <c r="D399" s="333">
        <f>ROUND(IF('Datu ievade'!$B$373='Datu ievade'!$B$374,(1+D387)*((SUM(D241:D249)+SUM(Aprekini!D59+Aprekini!D65+Aprekini!D71)*D403+SUM(Aprekini!D24+Aprekini!D25+Aprekini!D26+Aprekini!D27)+Aprekini!$B$109*SUM(Aprekini!D253:D254,Aprekini!D261:D262)*(1-Aprekini!D158))/('Datu ievade'!G295+'Datu ievade'!G304+'Datu ievade'!G311)),IF('Datu ievade'!$B$373='Datu ievade'!$B$375,(1+D387)*((SUM('Datu ievade'!D241:D249)+SUM(Aprekini!D71+Aprekini!D65+Aprekini!D59)*D403+SUM(Aprekini!D24+Aprekini!D25+Aprekini!D26+Aprekini!D27)+SUM(Aprekini!D253,Aprekini!D261)*Aprekini!$B$109)/('Datu ievade'!G295+'Datu ievade'!G304+'Datu ievade'!G311)),)),3)</f>
        <v>0.23100000000000001</v>
      </c>
      <c r="E399" s="333">
        <f ca="1">ROUND(IF('Datu ievade'!$B$373='Datu ievade'!$B$374,(1+E387)*((SUM(E241:E249)+SUM(Aprekini!E59+Aprekini!E65+Aprekini!E71)*E403+SUM(Aprekini!E24+Aprekini!E25+Aprekini!E26+Aprekini!E27)+Aprekini!$B$109*SUM(Aprekini!E253:E254,Aprekini!E261:E262)*(1-Aprekini!E158))/('Datu ievade'!H295+'Datu ievade'!H304+'Datu ievade'!H311)),IF('Datu ievade'!$B$373='Datu ievade'!$B$375,(1+E387)*((SUM('Datu ievade'!E241:E249)+SUM(Aprekini!E71+Aprekini!E65+Aprekini!E59)*E403+SUM(Aprekini!E24+Aprekini!E25+Aprekini!E26+Aprekini!E27)+SUM(Aprekini!E253,Aprekini!E261)*Aprekini!$B$109)/('Datu ievade'!H295+'Datu ievade'!H304+'Datu ievade'!H311)),)),3)</f>
        <v>0.253</v>
      </c>
      <c r="F399" s="333">
        <f ca="1">ROUND(IF('Datu ievade'!$B$373='Datu ievade'!$B$374,(1+F387)*((SUM(F241:F249)+SUM(Aprekini!F59+Aprekini!F65+Aprekini!F71)*F403+SUM(Aprekini!F24+Aprekini!F25+Aprekini!F26+Aprekini!F27)+Aprekini!$B$109*SUM(Aprekini!F253:F254,Aprekini!F261:F262)*(1-Aprekini!F158))/('Datu ievade'!I295+'Datu ievade'!I304+'Datu ievade'!I311)),IF('Datu ievade'!$B$373='Datu ievade'!$B$375,(1+F387)*((SUM('Datu ievade'!F241:F249)+SUM(Aprekini!F71+Aprekini!F65+Aprekini!F59)*F403+SUM(Aprekini!F24+Aprekini!F25+Aprekini!F26+Aprekini!F27)+SUM(Aprekini!F253,Aprekini!F261)*Aprekini!$B$109)/('Datu ievade'!I295+'Datu ievade'!I304+'Datu ievade'!I311)),)),3)</f>
        <v>0.26300000000000001</v>
      </c>
      <c r="G399" s="333">
        <f ca="1">ROUND(IF('Datu ievade'!$B$373='Datu ievade'!$B$374,(1+G387)*((SUM(G241:G249)+SUM(Aprekini!G59+Aprekini!G65+Aprekini!G71)*G403+SUM(Aprekini!G24+Aprekini!G25+Aprekini!G26+Aprekini!G27)+Aprekini!$B$109*SUM(Aprekini!G253:G254,Aprekini!G261:G262)*(1-Aprekini!G158))/('Datu ievade'!J295+'Datu ievade'!J304+'Datu ievade'!J311)),IF('Datu ievade'!$B$373='Datu ievade'!$B$375,(1+G387)*((SUM('Datu ievade'!G241:G249)+SUM(Aprekini!G71+Aprekini!G65+Aprekini!G59)*G403+SUM(Aprekini!G24+Aprekini!G25+Aprekini!G26+Aprekini!G27)+SUM(Aprekini!G253,Aprekini!G261)*Aprekini!$B$109)/('Datu ievade'!J295+'Datu ievade'!J304+'Datu ievade'!J311)),)),3)</f>
        <v>0.26700000000000002</v>
      </c>
      <c r="H399" s="333">
        <f ca="1">ROUND(IF('Datu ievade'!$B$373='Datu ievade'!$B$374,(1+H387)*((SUM(H241:H249)+SUM(Aprekini!H59+Aprekini!H65+Aprekini!H71)*H403+SUM(Aprekini!H24+Aprekini!H25+Aprekini!H26+Aprekini!H27)+Aprekini!$B$109*SUM(Aprekini!H253:H254,Aprekini!H261:H262)*(1-Aprekini!H158))/('Datu ievade'!K295+'Datu ievade'!K304+'Datu ievade'!K311)),IF('Datu ievade'!$B$373='Datu ievade'!$B$375,(1+H387)*((SUM('Datu ievade'!H241:H249)+SUM(Aprekini!H71+Aprekini!H65+Aprekini!H59)*H403+SUM(Aprekini!H24+Aprekini!H25+Aprekini!H26+Aprekini!H27)+SUM(Aprekini!H253,Aprekini!H261)*Aprekini!$B$109)/('Datu ievade'!K295+'Datu ievade'!K304+'Datu ievade'!K311)),)),3)</f>
        <v>0.27500000000000002</v>
      </c>
      <c r="I399" s="333">
        <f ca="1">ROUND(IF('Datu ievade'!$B$373='Datu ievade'!$B$374,(1+I387)*((SUM(I241:I249)+SUM(Aprekini!I59+Aprekini!I65+Aprekini!I71)*I403+SUM(Aprekini!I24+Aprekini!I25+Aprekini!I26+Aprekini!I27)+Aprekini!$B$109*SUM(Aprekini!I253:I254,Aprekini!I261:I262)*(1-Aprekini!I158))/('Datu ievade'!L295+'Datu ievade'!L304+'Datu ievade'!L311)),IF('Datu ievade'!$B$373='Datu ievade'!$B$375,(1+I387)*((SUM('Datu ievade'!I241:I249)+SUM(Aprekini!I71+Aprekini!I65+Aprekini!I59)*I403+SUM(Aprekini!I24+Aprekini!I25+Aprekini!I26+Aprekini!I27)+SUM(Aprekini!I253,Aprekini!I261)*Aprekini!$B$109)/('Datu ievade'!L295+'Datu ievade'!L304+'Datu ievade'!L311)),)),3)</f>
        <v>0.28000000000000003</v>
      </c>
      <c r="J399" s="333">
        <f ca="1">ROUND(IF('Datu ievade'!$B$373='Datu ievade'!$B$374,(1+J387)*((SUM(J241:J249)+SUM(Aprekini!J59+Aprekini!J65+Aprekini!J71)*J403+SUM(Aprekini!J24+Aprekini!J25+Aprekini!J26+Aprekini!J27)+Aprekini!$B$109*SUM(Aprekini!J253:J254,Aprekini!J261:J262)*(1-Aprekini!J158))/('Datu ievade'!M295+'Datu ievade'!M304+'Datu ievade'!M311)),IF('Datu ievade'!$B$373='Datu ievade'!$B$375,(1+J387)*((SUM('Datu ievade'!J241:J249)+SUM(Aprekini!J71+Aprekini!J65+Aprekini!J59)*J403+SUM(Aprekini!J24+Aprekini!J25+Aprekini!J26+Aprekini!J27)+SUM(Aprekini!J253,Aprekini!J261)*Aprekini!$B$109)/('Datu ievade'!M295+'Datu ievade'!M304+'Datu ievade'!M311)),)),3)</f>
        <v>0.28699999999999998</v>
      </c>
      <c r="K399" s="333">
        <f ca="1">ROUND(IF('Datu ievade'!$B$373='Datu ievade'!$B$374,(1+K387)*((SUM(K241:K249)+SUM(Aprekini!K59+Aprekini!K65+Aprekini!K71)*K403+SUM(Aprekini!K24+Aprekini!K25+Aprekini!K26+Aprekini!K27)+Aprekini!$B$109*SUM(Aprekini!K253:K254,Aprekini!K261:K262)*(1-Aprekini!K158))/('Datu ievade'!N295+'Datu ievade'!N304+'Datu ievade'!N311)),IF('Datu ievade'!$B$373='Datu ievade'!$B$375,(1+K387)*((SUM('Datu ievade'!K241:K249)+SUM(Aprekini!K71+Aprekini!K65+Aprekini!K59)*K403+SUM(Aprekini!K24+Aprekini!K25+Aprekini!K26+Aprekini!K27)+SUM(Aprekini!K253,Aprekini!K261)*Aprekini!$B$109)/('Datu ievade'!N295+'Datu ievade'!N304+'Datu ievade'!N311)),)),3)</f>
        <v>0.29199999999999998</v>
      </c>
      <c r="L399" s="333">
        <f ca="1">ROUND(IF('Datu ievade'!$B$373='Datu ievade'!$B$374,(1+L387)*((SUM(L241:L249)+SUM(Aprekini!L59+Aprekini!L65+Aprekini!L71)*L403+SUM(Aprekini!L24+Aprekini!L25+Aprekini!L26+Aprekini!L27)+Aprekini!$B$109*SUM(Aprekini!L253:L254,Aprekini!L261:L262)*(1-Aprekini!L158))/('Datu ievade'!O295+'Datu ievade'!O304+'Datu ievade'!O311)),IF('Datu ievade'!$B$373='Datu ievade'!$B$375,(1+L387)*((SUM('Datu ievade'!L241:L249)+SUM(Aprekini!L71+Aprekini!L65+Aprekini!L59)*L403+SUM(Aprekini!L24+Aprekini!L25+Aprekini!L26+Aprekini!L27)+SUM(Aprekini!L253,Aprekini!L261)*Aprekini!$B$109)/('Datu ievade'!O295+'Datu ievade'!O304+'Datu ievade'!O311)),)),3)</f>
        <v>0.29599999999999999</v>
      </c>
      <c r="M399" s="333">
        <f ca="1">ROUND(IF('Datu ievade'!$B$373='Datu ievade'!$B$374,(1+M387)*((SUM(M241:M249)+SUM(Aprekini!M59+Aprekini!M65+Aprekini!M71)*M403+SUM(Aprekini!M24+Aprekini!M25+Aprekini!M26+Aprekini!M27)+Aprekini!$B$109*SUM(Aprekini!M253:M254,Aprekini!M261:M262)*(1-Aprekini!M158))/('Datu ievade'!P295+'Datu ievade'!P304+'Datu ievade'!P311)),IF('Datu ievade'!$B$373='Datu ievade'!$B$375,(1+M387)*((SUM('Datu ievade'!M241:M249)+SUM(Aprekini!M71+Aprekini!M65+Aprekini!M59)*M403+SUM(Aprekini!M24+Aprekini!M25+Aprekini!M26+Aprekini!M27)+SUM(Aprekini!M253,Aprekini!M261)*Aprekini!$B$109)/('Datu ievade'!P295+'Datu ievade'!P304+'Datu ievade'!P311)),)),3)</f>
        <v>0.30399999999999999</v>
      </c>
      <c r="N399" s="333">
        <f ca="1">ROUND(IF('Datu ievade'!$B$373='Datu ievade'!$B$374,(1+N387)*((SUM(N241:N249)+SUM(Aprekini!N59+Aprekini!N65+Aprekini!N71)*N403+SUM(Aprekini!N24+Aprekini!N25+Aprekini!N26+Aprekini!N27)+Aprekini!$B$109*SUM(Aprekini!N253:N254,Aprekini!N261:N262)*(1-Aprekini!N158))/('Datu ievade'!Q295+'Datu ievade'!Q304+'Datu ievade'!Q311)),IF('Datu ievade'!$B$373='Datu ievade'!$B$375,(1+N387)*((SUM('Datu ievade'!N241:N249)+SUM(Aprekini!N71+Aprekini!N65+Aprekini!N59)*N403+SUM(Aprekini!N24+Aprekini!N25+Aprekini!N26+Aprekini!N27)+SUM(Aprekini!N253,Aprekini!N261)*Aprekini!$B$109)/('Datu ievade'!Q295+'Datu ievade'!Q304+'Datu ievade'!Q311)),)),3)</f>
        <v>0.31</v>
      </c>
      <c r="O399" s="333">
        <f ca="1">ROUND(IF('Datu ievade'!$B$373='Datu ievade'!$B$374,(1+O387)*((SUM(O241:O249)+SUM(Aprekini!O59+Aprekini!O65+Aprekini!O71)*O403+SUM(Aprekini!O24+Aprekini!O25+Aprekini!O26+Aprekini!O27)+Aprekini!$B$109*SUM(Aprekini!O253:O254,Aprekini!O261:O262)*(1-Aprekini!O158))/('Datu ievade'!R295+'Datu ievade'!R304+'Datu ievade'!R311)),IF('Datu ievade'!$B$373='Datu ievade'!$B$375,(1+O387)*((SUM('Datu ievade'!O241:O249)+SUM(Aprekini!O71+Aprekini!O65+Aprekini!O59)*O403+SUM(Aprekini!O24+Aprekini!O25+Aprekini!O26+Aprekini!O27)+SUM(Aprekini!O253,Aprekini!O261)*Aprekini!$B$109)/('Datu ievade'!R295+'Datu ievade'!R304+'Datu ievade'!R311)),)),3)</f>
        <v>0.315</v>
      </c>
      <c r="P399" s="333">
        <f ca="1">ROUND(IF('Datu ievade'!$B$373='Datu ievade'!$B$374,(1+P387)*((SUM(P241:P249)+SUM(Aprekini!P59+Aprekini!P65+Aprekini!P71)*P403+SUM(Aprekini!P24+Aprekini!P25+Aprekini!P26+Aprekini!P27)+Aprekini!$B$109*SUM(Aprekini!P253:P254,Aprekini!P261:P262)*(1-Aprekini!P158))/('Datu ievade'!S295+'Datu ievade'!S304+'Datu ievade'!S311)),IF('Datu ievade'!$B$373='Datu ievade'!$B$375,(1+P387)*((SUM('Datu ievade'!P241:P249)+SUM(Aprekini!P71+Aprekini!P65+Aprekini!P59)*P403+SUM(Aprekini!P24+Aprekini!P25+Aprekini!P26+Aprekini!P27)+SUM(Aprekini!P253,Aprekini!P261)*Aprekini!$B$109)/('Datu ievade'!S295+'Datu ievade'!S304+'Datu ievade'!S311)),)),3)</f>
        <v>0.308</v>
      </c>
      <c r="Q399" s="333">
        <f ca="1">ROUND(IF('Datu ievade'!$B$373='Datu ievade'!$B$374,(1+Q387)*((SUM(Q241:Q249)+SUM(Aprekini!Q59+Aprekini!Q65+Aprekini!Q71)*Q403+SUM(Aprekini!Q24+Aprekini!Q25+Aprekini!Q26+Aprekini!Q27)+Aprekini!$B$109*SUM(Aprekini!Q253:Q254,Aprekini!Q261:Q262)*(1-Aprekini!Q158))/('Datu ievade'!T295+'Datu ievade'!T304+'Datu ievade'!T311)),IF('Datu ievade'!$B$373='Datu ievade'!$B$375,(1+Q387)*((SUM('Datu ievade'!Q241:Q249)+SUM(Aprekini!Q71+Aprekini!Q65+Aprekini!Q59)*Q403+SUM(Aprekini!Q24+Aprekini!Q25+Aprekini!Q26+Aprekini!Q27)+SUM(Aprekini!Q253,Aprekini!Q261)*Aprekini!$B$109)/('Datu ievade'!T295+'Datu ievade'!T304+'Datu ievade'!T311)),)),3)</f>
        <v>0.312</v>
      </c>
      <c r="R399" s="333">
        <f ca="1">ROUND(IF('Datu ievade'!$B$373='Datu ievade'!$B$374,(1+R387)*((SUM(R241:R249)+SUM(Aprekini!R59+Aprekini!R65+Aprekini!R71)*R403+SUM(Aprekini!R24+Aprekini!R25+Aprekini!R26+Aprekini!R27)+Aprekini!$B$109*SUM(Aprekini!R253:R254,Aprekini!R261:R262)*(1-Aprekini!R158))/('Datu ievade'!U295+'Datu ievade'!U304+'Datu ievade'!U311)),IF('Datu ievade'!$B$373='Datu ievade'!$B$375,(1+R387)*((SUM('Datu ievade'!R241:R249)+SUM(Aprekini!R71+Aprekini!R65+Aprekini!R59)*R403+SUM(Aprekini!R24+Aprekini!R25+Aprekini!R26+Aprekini!R27)+SUM(Aprekini!R253,Aprekini!R261)*Aprekini!$B$109)/('Datu ievade'!U295+'Datu ievade'!U304+'Datu ievade'!U311)),)),3)</f>
        <v>0.318</v>
      </c>
      <c r="S399" s="333">
        <f ca="1">ROUND(IF('Datu ievade'!$B$373='Datu ievade'!$B$374,(1+S387)*((SUM(S241:S249)+SUM(Aprekini!S59+Aprekini!S65+Aprekini!S71)*S403+SUM(Aprekini!S24+Aprekini!S25+Aprekini!S26+Aprekini!S27)+Aprekini!$B$109*SUM(Aprekini!S253:S254,Aprekini!S261:S262)*(1-Aprekini!S158))/('Datu ievade'!V295+'Datu ievade'!V304+'Datu ievade'!V311)),IF('Datu ievade'!$B$373='Datu ievade'!$B$375,(1+S387)*((SUM('Datu ievade'!S241:S249)+SUM(Aprekini!S71+Aprekini!S65+Aprekini!S59)*S403+SUM(Aprekini!S24+Aprekini!S25+Aprekini!S26+Aprekini!S27)+SUM(Aprekini!S253,Aprekini!S261)*Aprekini!$B$109)/('Datu ievade'!V295+'Datu ievade'!V304+'Datu ievade'!V311)),)),3)</f>
        <v>0.32500000000000001</v>
      </c>
      <c r="T399" s="333">
        <f ca="1">ROUND(IF('Datu ievade'!$B$373='Datu ievade'!$B$374,(1+T387)*((SUM(T241:T249)+SUM(Aprekini!T59+Aprekini!T65+Aprekini!T71)*T403+SUM(Aprekini!T24+Aprekini!T25+Aprekini!T26+Aprekini!T27)+Aprekini!$B$109*SUM(Aprekini!T253:T254,Aprekini!T261:T262)*(1-Aprekini!T158))/('Datu ievade'!W295+'Datu ievade'!W304+'Datu ievade'!W311)),IF('Datu ievade'!$B$373='Datu ievade'!$B$375,(1+T387)*((SUM('Datu ievade'!T241:T249)+SUM(Aprekini!T71+Aprekini!T65+Aprekini!T59)*T403+SUM(Aprekini!T24+Aprekini!T25+Aprekini!T26+Aprekini!T27)+SUM(Aprekini!T253,Aprekini!T261)*Aprekini!$B$109)/('Datu ievade'!W295+'Datu ievade'!W304+'Datu ievade'!W311)),)),3)</f>
        <v>0.33200000000000002</v>
      </c>
      <c r="U399" s="333">
        <f ca="1">ROUND(IF('Datu ievade'!$B$373='Datu ievade'!$B$374,(1+U387)*((SUM(U241:U249)+SUM(Aprekini!U59+Aprekini!U65+Aprekini!U71)*U403+SUM(Aprekini!U24+Aprekini!U25+Aprekini!U26+Aprekini!U27)+Aprekini!$B$109*SUM(Aprekini!U253:U254,Aprekini!U261:U262)*(1-Aprekini!U158))/('Datu ievade'!X295+'Datu ievade'!X304+'Datu ievade'!X311)),IF('Datu ievade'!$B$373='Datu ievade'!$B$375,(1+U387)*((SUM('Datu ievade'!U241:U249)+SUM(Aprekini!U71+Aprekini!U65+Aprekini!U59)*U403+SUM(Aprekini!U24+Aprekini!U25+Aprekini!U26+Aprekini!U27)+SUM(Aprekini!U253,Aprekini!U261)*Aprekini!$B$109)/('Datu ievade'!X295+'Datu ievade'!X304+'Datu ievade'!X311)),)),3)</f>
        <v>0.34699999999999998</v>
      </c>
      <c r="V399" s="333">
        <f ca="1">ROUND(IF('Datu ievade'!$B$373='Datu ievade'!$B$374,(1+V387)*((SUM(V241:V249)+SUM(Aprekini!V59+Aprekini!V65+Aprekini!V71)*V403+SUM(Aprekini!V24+Aprekini!V25+Aprekini!V26+Aprekini!V27)+Aprekini!$B$109*SUM(Aprekini!V253:V254,Aprekini!V261:V262)*(1-Aprekini!V158))/('Datu ievade'!Y295+'Datu ievade'!Y304+'Datu ievade'!Y311)),IF('Datu ievade'!$B$373='Datu ievade'!$B$375,(1+V387)*((SUM('Datu ievade'!V241:V249)+SUM(Aprekini!V71+Aprekini!V65+Aprekini!V59)*V403+SUM(Aprekini!V24+Aprekini!V25+Aprekini!V26+Aprekini!V27)+SUM(Aprekini!V253,Aprekini!V261)*Aprekini!$B$109)/('Datu ievade'!Y295+'Datu ievade'!Y304+'Datu ievade'!Y311)),)),3)</f>
        <v>0.35399999999999998</v>
      </c>
      <c r="W399" s="333">
        <f ca="1">ROUND(IF('Datu ievade'!$B$373='Datu ievade'!$B$374,(1+W387)*((SUM(W241:W249)+SUM(Aprekini!W59+Aprekini!W65+Aprekini!W71)*W403+SUM(Aprekini!W24+Aprekini!W25+Aprekini!W26+Aprekini!W27)+Aprekini!$B$109*SUM(Aprekini!W253:W254,Aprekini!W261:W262)*(1-Aprekini!W158))/('Datu ievade'!Z295+'Datu ievade'!Z304+'Datu ievade'!Z311)),IF('Datu ievade'!$B$373='Datu ievade'!$B$375,(1+W387)*((SUM('Datu ievade'!W241:W249)+SUM(Aprekini!W71+Aprekini!W65+Aprekini!W59)*W403+SUM(Aprekini!W24+Aprekini!W25+Aprekini!W26+Aprekini!W27)+SUM(Aprekini!W253,Aprekini!W261)*Aprekini!$B$109)/('Datu ievade'!Z295+'Datu ievade'!Z304+'Datu ievade'!Z311)),)),3)</f>
        <v>0.36</v>
      </c>
      <c r="X399" s="333">
        <f ca="1">ROUND(IF('Datu ievade'!$B$373='Datu ievade'!$B$374,(1+X387)*((SUM(X241:X249)+SUM(Aprekini!X59+Aprekini!X65+Aprekini!X71)*X403+SUM(Aprekini!X24+Aprekini!X25+Aprekini!X26+Aprekini!X27)+Aprekini!$B$109*SUM(Aprekini!X253:X254,Aprekini!X261:X262)*(1-Aprekini!X158))/('Datu ievade'!AA295+'Datu ievade'!AA304+'Datu ievade'!AA311)),IF('Datu ievade'!$B$373='Datu ievade'!$B$375,(1+X387)*((SUM('Datu ievade'!X241:X249)+SUM(Aprekini!X71+Aprekini!X65+Aprekini!X59)*X403+SUM(Aprekini!X24+Aprekini!X25+Aprekini!X26+Aprekini!X27)+SUM(Aprekini!X253,Aprekini!X261)*Aprekini!$B$109)/('Datu ievade'!AA295+'Datu ievade'!AA304+'Datu ievade'!AA311)),)),3)</f>
        <v>0.36699999999999999</v>
      </c>
      <c r="Y399" s="333">
        <f ca="1">ROUND(IF('Datu ievade'!$B$373='Datu ievade'!$B$374,(1+Y387)*((SUM(Y241:Y249)+SUM(Aprekini!Y59+Aprekini!Y65+Aprekini!Y71)*Y403+SUM(Aprekini!Y24+Aprekini!Y25+Aprekini!Y26+Aprekini!Y27)+Aprekini!$B$109*SUM(Aprekini!Y253:Y254,Aprekini!Y261:Y262)*(1-Aprekini!Y158))/('Datu ievade'!AB295+'Datu ievade'!AB304+'Datu ievade'!AB311)),IF('Datu ievade'!$B$373='Datu ievade'!$B$375,(1+Y387)*((SUM('Datu ievade'!Y241:Y249)+SUM(Aprekini!Y71+Aprekini!Y65+Aprekini!Y59)*Y403+SUM(Aprekini!Y24+Aprekini!Y25+Aprekini!Y26+Aprekini!Y27)+SUM(Aprekini!Y253,Aprekini!Y261)*Aprekini!$B$109)/('Datu ievade'!AB295+'Datu ievade'!AB304+'Datu ievade'!AB311)),)),3)</f>
        <v>0.373</v>
      </c>
      <c r="Z399" s="333">
        <f ca="1">ROUND(IF('Datu ievade'!$B$373='Datu ievade'!$B$374,(1+Z387)*((SUM(Z241:Z249)+SUM(Aprekini!Z59+Aprekini!Z65+Aprekini!Z71)*Z403+SUM(Aprekini!Z24+Aprekini!Z25+Aprekini!Z26+Aprekini!Z27)+Aprekini!$B$109*SUM(Aprekini!Z253:Z254,Aprekini!Z261:Z262)*(1-Aprekini!Z158))/('Datu ievade'!AC295+'Datu ievade'!AC304+'Datu ievade'!AC311)),IF('Datu ievade'!$B$373='Datu ievade'!$B$375,(1+Z387)*((SUM('Datu ievade'!Z241:Z249)+SUM(Aprekini!Z71+Aprekini!Z65+Aprekini!Z59)*Z403+SUM(Aprekini!Z24+Aprekini!Z25+Aprekini!Z26+Aprekini!Z27)+SUM(Aprekini!Z253,Aprekini!Z261)*Aprekini!$B$109)/('Datu ievade'!AC295+'Datu ievade'!AC304+'Datu ievade'!AC311)),)),3)</f>
        <v>0.38</v>
      </c>
      <c r="AA399" s="333">
        <f ca="1">ROUND(IF('Datu ievade'!$B$373='Datu ievade'!$B$374,(1+AA387)*((SUM(AA241:AA249)+SUM(Aprekini!AA59+Aprekini!AA65+Aprekini!AA71)*AA403+SUM(Aprekini!AA24+Aprekini!AA25+Aprekini!AA26+Aprekini!AA27)+Aprekini!$B$109*SUM(Aprekini!AA253:AA254,Aprekini!AA261:AA262)*(1-Aprekini!AA158))/('Datu ievade'!AD295+'Datu ievade'!AD304+'Datu ievade'!AD311)),IF('Datu ievade'!$B$373='Datu ievade'!$B$375,(1+AA387)*((SUM('Datu ievade'!AA241:AA249)+SUM(Aprekini!AA71+Aprekini!AA65+Aprekini!AA59)*AA403+SUM(Aprekini!AA24+Aprekini!AA25+Aprekini!AA26+Aprekini!AA27)+SUM(Aprekini!AA253,Aprekini!AA261)*Aprekini!$B$109)/('Datu ievade'!AD295+'Datu ievade'!AD304+'Datu ievade'!AD311)),)),3)</f>
        <v>0.38600000000000001</v>
      </c>
      <c r="AB399" s="333">
        <f ca="1">ROUND(IF('Datu ievade'!$B$373='Datu ievade'!$B$374,(1+AB387)*((SUM(AB241:AB249)+SUM(Aprekini!AB59+Aprekini!AB65+Aprekini!AB71)*AB403+SUM(Aprekini!AB24+Aprekini!AB25+Aprekini!AB26+Aprekini!AB27)+Aprekini!$B$109*SUM(Aprekini!AB253:AB254,Aprekini!AB261:AB262)*(1-Aprekini!AB158))/('Datu ievade'!AE295+'Datu ievade'!AE304+'Datu ievade'!AE311)),IF('Datu ievade'!$B$373='Datu ievade'!$B$375,(1+AB387)*((SUM('Datu ievade'!AB241:AB249)+SUM(Aprekini!AB71+Aprekini!AB65+Aprekini!AB59)*AB403+SUM(Aprekini!AB24+Aprekini!AB25+Aprekini!AB26+Aprekini!AB27)+SUM(Aprekini!AB253,Aprekini!AB261)*Aprekini!$B$109)/('Datu ievade'!AE295+'Datu ievade'!AE304+'Datu ievade'!AE311)),)),3)</f>
        <v>0.39300000000000002</v>
      </c>
      <c r="AC399" s="333">
        <f ca="1">ROUND(IF('Datu ievade'!$B$373='Datu ievade'!$B$374,(1+AC387)*((SUM(AC241:AC249)+SUM(Aprekini!AC59+Aprekini!AC65+Aprekini!AC71)*AC403+SUM(Aprekini!AC24+Aprekini!AC25+Aprekini!AC26+Aprekini!AC27)+Aprekini!$B$109*SUM(Aprekini!AC253:AC254,Aprekini!AC261:AC262)*(1-Aprekini!AC158))/('Datu ievade'!AF295+'Datu ievade'!AF304+'Datu ievade'!AF311)),IF('Datu ievade'!$B$373='Datu ievade'!$B$375,(1+AC387)*((SUM('Datu ievade'!AC241:AC249)+SUM(Aprekini!AC71+Aprekini!AC65+Aprekini!AC59)*AC403+SUM(Aprekini!AC24+Aprekini!AC25+Aprekini!AC26+Aprekini!AC27)+SUM(Aprekini!AC253,Aprekini!AC261)*Aprekini!$B$109)/('Datu ievade'!AF295+'Datu ievade'!AF304+'Datu ievade'!AF311)),)),3)</f>
        <v>0.39900000000000002</v>
      </c>
      <c r="AD399" s="333">
        <f ca="1">ROUND(IF('Datu ievade'!$B$373='Datu ievade'!$B$374,(1+AD387)*((SUM(AD241:AD249)+SUM(Aprekini!AD59+Aprekini!AD65+Aprekini!AD71)*AD403+SUM(Aprekini!AD24+Aprekini!AD25+Aprekini!AD26+Aprekini!AD27)+Aprekini!$B$109*SUM(Aprekini!AD253:AD254,Aprekini!AD261:AD262)*(1-Aprekini!AD158))/('Datu ievade'!AG295+'Datu ievade'!AG304+'Datu ievade'!AG311)),IF('Datu ievade'!$B$373='Datu ievade'!$B$375,(1+AD387)*((SUM('Datu ievade'!AD241:AD249)+SUM(Aprekini!AD71+Aprekini!AD65+Aprekini!AD59)*AD403+SUM(Aprekini!AD24+Aprekini!AD25+Aprekini!AD26+Aprekini!AD27)+SUM(Aprekini!AD253,Aprekini!AD261)*Aprekini!$B$109)/('Datu ievade'!AG295+'Datu ievade'!AG304+'Datu ievade'!AG311)),)),3)</f>
        <v>0.40500000000000003</v>
      </c>
      <c r="AE399" s="333">
        <f ca="1">ROUND(IF('Datu ievade'!$B$373='Datu ievade'!$B$374,(1+AE387)*((SUM(AE241:AE249)+SUM(Aprekini!AE59+Aprekini!AE65+Aprekini!AE71)*AE403+SUM(Aprekini!AE24+Aprekini!AE25+Aprekini!AE26+Aprekini!AE27)+Aprekini!$B$109*SUM(Aprekini!AE253:AE254,Aprekini!AE261:AE262)*(1-Aprekini!AE158))/('Datu ievade'!AH295+'Datu ievade'!AH304+'Datu ievade'!AH311)),IF('Datu ievade'!$B$373='Datu ievade'!$B$375,(1+AE387)*((SUM('Datu ievade'!AE241:AE249)+SUM(Aprekini!AE71+Aprekini!AE65+Aprekini!AE59)*AE403+SUM(Aprekini!AE24+Aprekini!AE25+Aprekini!AE26+Aprekini!AE27)+SUM(Aprekini!AE253,Aprekini!AE261)*Aprekini!$B$109)/('Datu ievade'!AH295+'Datu ievade'!AH304+'Datu ievade'!AH311)),)),3)</f>
        <v>0.41299999999999998</v>
      </c>
      <c r="AF399" s="333">
        <f ca="1">ROUND(IF('Datu ievade'!$B$373='Datu ievade'!$B$374,(1+AF387)*((SUM(AF241:AF249)+SUM(Aprekini!AF59+Aprekini!AF65+Aprekini!AF71)*AF403+SUM(Aprekini!AF24+Aprekini!AF25+Aprekini!AF26+Aprekini!AF27)+Aprekini!$B$109*SUM(Aprekini!AF253:AF254,Aprekini!AF261:AF262)*(1-Aprekini!AF158))/('Datu ievade'!AI295+'Datu ievade'!AI304+'Datu ievade'!AI311)),IF('Datu ievade'!$B$373='Datu ievade'!$B$375,(1+AF387)*((SUM('Datu ievade'!AF241:AF249)+SUM(Aprekini!AF71+Aprekini!AF65+Aprekini!AF59)*AF403+SUM(Aprekini!AF24+Aprekini!AF25+Aprekini!AF26+Aprekini!AF27)+SUM(Aprekini!AF253,Aprekini!AF261)*Aprekini!$B$109)/('Datu ievade'!AI295+'Datu ievade'!AI304+'Datu ievade'!AI311)),)),3)</f>
        <v>0.42099999999999999</v>
      </c>
      <c r="AG399" s="333">
        <f ca="1">ROUND(IF('Datu ievade'!$B$373='Datu ievade'!$B$374,(1+AG387)*((SUM(AG241:AG249)+SUM(Aprekini!AG59+Aprekini!AG65+Aprekini!AG71)*AG403+SUM(Aprekini!AG24+Aprekini!AG25+Aprekini!AG26+Aprekini!AG27)+Aprekini!$B$109*SUM(Aprekini!AG253:AG254,Aprekini!AG261:AG262)*(1-Aprekini!AG158))/('Datu ievade'!AJ295+'Datu ievade'!AJ304+'Datu ievade'!AJ311)),IF('Datu ievade'!$B$373='Datu ievade'!$B$375,(1+AG387)*((SUM('Datu ievade'!AG241:AG249)+SUM(Aprekini!AG71+Aprekini!AG65+Aprekini!AG59)*AG403+SUM(Aprekini!AG24+Aprekini!AG25+Aprekini!AG26+Aprekini!AG27)+SUM(Aprekini!AG253,Aprekini!AG261)*Aprekini!$B$109)/('Datu ievade'!AJ295+'Datu ievade'!AJ304+'Datu ievade'!AJ311)),)),3)</f>
        <v>0.42099999999999999</v>
      </c>
      <c r="AH399" s="333">
        <f ca="1">ROUND(IF('Datu ievade'!$B$373='Datu ievade'!$B$374,(1+AH387)*((SUM(AH241:AH249)+SUM(Aprekini!AH59+Aprekini!AH65+Aprekini!AH71)*AH403+SUM(Aprekini!AH24+Aprekini!AH25+Aprekini!AH26+Aprekini!AH27)+Aprekini!$B$109*SUM(Aprekini!AH253:AH254,Aprekini!AH261:AH262)*(1-Aprekini!AH158))/('Datu ievade'!AK295+'Datu ievade'!AK304+'Datu ievade'!AK311)),IF('Datu ievade'!$B$373='Datu ievade'!$B$375,(1+AH387)*((SUM('Datu ievade'!AH241:AH249)+SUM(Aprekini!AH71+Aprekini!AH65+Aprekini!AH59)*AH403+SUM(Aprekini!AH24+Aprekini!AH25+Aprekini!AH26+Aprekini!AH27)+SUM(Aprekini!AH253,Aprekini!AH261)*Aprekini!$B$109)/('Datu ievade'!AK295+'Datu ievade'!AK304+'Datu ievade'!AK311)),)),3)</f>
        <v>0.42199999999999999</v>
      </c>
      <c r="AI399" s="60"/>
      <c r="AJ399" s="60"/>
      <c r="AK399" s="163"/>
      <c r="AL399" s="163"/>
      <c r="AM399" s="163"/>
      <c r="AN399" s="163"/>
      <c r="AO399" s="163"/>
      <c r="AP399" s="163"/>
      <c r="AQ399" s="163"/>
      <c r="AR399" s="163"/>
      <c r="AS399" s="163"/>
      <c r="AT399" s="163"/>
      <c r="AU399" s="163"/>
      <c r="AV399" s="163"/>
      <c r="AW399" s="163"/>
      <c r="AX399" s="163"/>
      <c r="AY399" s="163"/>
      <c r="AZ399" s="163"/>
      <c r="BA399" s="163"/>
      <c r="BB399" s="163"/>
      <c r="BC399" s="163"/>
      <c r="BD399" s="163"/>
      <c r="BE399" s="163"/>
      <c r="BF399" s="163"/>
      <c r="BG399" s="163"/>
      <c r="BH399" s="163"/>
      <c r="BI399" s="163"/>
      <c r="BJ399" s="163"/>
      <c r="BK399" s="163"/>
      <c r="BL399" s="163"/>
      <c r="BM399" s="163"/>
      <c r="BN399" s="163"/>
      <c r="BO399" s="163"/>
      <c r="BP399" s="163"/>
      <c r="BQ399" s="163"/>
      <c r="BR399" s="163"/>
      <c r="BS399" s="163"/>
      <c r="BT399" s="163"/>
      <c r="BU399" s="163"/>
      <c r="BV399" s="163"/>
      <c r="BW399" s="163"/>
      <c r="BX399" s="163"/>
      <c r="BY399" s="163"/>
      <c r="BZ399" s="163"/>
      <c r="CA399" s="163"/>
      <c r="CB399" s="163"/>
      <c r="CC399" s="163"/>
      <c r="CD399" s="163"/>
      <c r="CE399" s="163"/>
      <c r="CF399" s="163"/>
      <c r="CG399" s="163"/>
      <c r="CH399" s="163"/>
      <c r="CI399" s="163"/>
      <c r="CJ399" s="163"/>
      <c r="CK399" s="163"/>
      <c r="CL399" s="163"/>
      <c r="CM399" s="163"/>
      <c r="CN399" s="163"/>
      <c r="CO399" s="163"/>
      <c r="CP399" s="163"/>
      <c r="CQ399" s="163"/>
      <c r="CR399" s="163"/>
      <c r="CS399" s="163"/>
      <c r="CT399" s="163"/>
      <c r="CU399" s="163"/>
      <c r="CV399" s="163"/>
      <c r="CW399" s="163"/>
      <c r="CX399" s="163"/>
      <c r="CY399" s="163"/>
      <c r="CZ399" s="163"/>
      <c r="DA399" s="163"/>
      <c r="DB399" s="163"/>
      <c r="DC399" s="163"/>
      <c r="DD399" s="163"/>
      <c r="DE399" s="163"/>
      <c r="DF399" s="163"/>
      <c r="DG399" s="163"/>
      <c r="DH399" s="163"/>
      <c r="DI399" s="163"/>
      <c r="DJ399" s="163"/>
      <c r="DK399" s="163"/>
      <c r="DL399" s="163"/>
      <c r="DM399" s="163"/>
      <c r="DN399" s="163"/>
      <c r="DO399" s="163"/>
      <c r="DP399" s="163"/>
      <c r="DQ399" s="163"/>
      <c r="DR399" s="163"/>
      <c r="DS399" s="163"/>
      <c r="DT399" s="163"/>
      <c r="DU399" s="163"/>
      <c r="DV399" s="163"/>
      <c r="DW399" s="163"/>
      <c r="DX399" s="163"/>
      <c r="DY399" s="163"/>
      <c r="DZ399" s="163"/>
      <c r="EA399" s="163"/>
      <c r="EB399" s="163"/>
      <c r="EC399" s="163"/>
      <c r="ED399" s="163"/>
      <c r="EE399" s="163"/>
      <c r="EF399" s="163"/>
      <c r="EG399" s="163"/>
      <c r="EH399" s="163"/>
      <c r="EI399" s="163"/>
      <c r="EJ399" s="163"/>
      <c r="EK399" s="163"/>
      <c r="EL399" s="163"/>
      <c r="EM399" s="163"/>
    </row>
    <row r="400" spans="1:143" s="71" customFormat="1" x14ac:dyDescent="0.2">
      <c r="A400" s="331" t="s">
        <v>299</v>
      </c>
      <c r="B400" s="333"/>
      <c r="C400" s="344">
        <f>C399-B399</f>
        <v>8.9999999999999802E-3</v>
      </c>
      <c r="D400" s="344">
        <f t="shared" ref="D400:AG400" si="87">D399-C399</f>
        <v>2.200000000000002E-2</v>
      </c>
      <c r="E400" s="344">
        <f t="shared" ca="1" si="87"/>
        <v>2.1999999999999992E-2</v>
      </c>
      <c r="F400" s="344">
        <f t="shared" ca="1" si="87"/>
        <v>1.0000000000000009E-2</v>
      </c>
      <c r="G400" s="344">
        <f t="shared" ca="1" si="87"/>
        <v>4.0000000000000036E-3</v>
      </c>
      <c r="H400" s="344">
        <f t="shared" ca="1" si="87"/>
        <v>8.0000000000000071E-3</v>
      </c>
      <c r="I400" s="344">
        <f t="shared" ca="1" si="87"/>
        <v>5.0000000000000044E-3</v>
      </c>
      <c r="J400" s="344">
        <f t="shared" ca="1" si="87"/>
        <v>6.9999999999999507E-3</v>
      </c>
      <c r="K400" s="344">
        <f t="shared" ca="1" si="87"/>
        <v>5.0000000000000044E-3</v>
      </c>
      <c r="L400" s="344">
        <f t="shared" ca="1" si="87"/>
        <v>4.0000000000000036E-3</v>
      </c>
      <c r="M400" s="344">
        <f t="shared" ca="1" si="87"/>
        <v>8.0000000000000071E-3</v>
      </c>
      <c r="N400" s="344">
        <f t="shared" ca="1" si="87"/>
        <v>6.0000000000000053E-3</v>
      </c>
      <c r="O400" s="344">
        <f t="shared" ca="1" si="87"/>
        <v>5.0000000000000044E-3</v>
      </c>
      <c r="P400" s="344">
        <f t="shared" ca="1" si="87"/>
        <v>-7.0000000000000062E-3</v>
      </c>
      <c r="Q400" s="344">
        <f t="shared" ca="1" si="87"/>
        <v>4.0000000000000036E-3</v>
      </c>
      <c r="R400" s="344">
        <f t="shared" ca="1" si="87"/>
        <v>6.0000000000000053E-3</v>
      </c>
      <c r="S400" s="344">
        <f t="shared" ca="1" si="87"/>
        <v>7.0000000000000062E-3</v>
      </c>
      <c r="T400" s="344">
        <f t="shared" ca="1" si="87"/>
        <v>7.0000000000000062E-3</v>
      </c>
      <c r="U400" s="344">
        <f t="shared" ca="1" si="87"/>
        <v>1.4999999999999958E-2</v>
      </c>
      <c r="V400" s="344">
        <f t="shared" ca="1" si="87"/>
        <v>7.0000000000000062E-3</v>
      </c>
      <c r="W400" s="344">
        <f t="shared" ca="1" si="87"/>
        <v>6.0000000000000053E-3</v>
      </c>
      <c r="X400" s="344">
        <f t="shared" ca="1" si="87"/>
        <v>7.0000000000000062E-3</v>
      </c>
      <c r="Y400" s="344">
        <f t="shared" ca="1" si="87"/>
        <v>6.0000000000000053E-3</v>
      </c>
      <c r="Z400" s="344">
        <f t="shared" ca="1" si="87"/>
        <v>7.0000000000000062E-3</v>
      </c>
      <c r="AA400" s="344">
        <f t="shared" ca="1" si="87"/>
        <v>6.0000000000000053E-3</v>
      </c>
      <c r="AB400" s="344">
        <f t="shared" ca="1" si="87"/>
        <v>7.0000000000000062E-3</v>
      </c>
      <c r="AC400" s="344">
        <f t="shared" ca="1" si="87"/>
        <v>6.0000000000000053E-3</v>
      </c>
      <c r="AD400" s="344">
        <f t="shared" ca="1" si="87"/>
        <v>6.0000000000000053E-3</v>
      </c>
      <c r="AE400" s="344">
        <f t="shared" ca="1" si="87"/>
        <v>7.9999999999999516E-3</v>
      </c>
      <c r="AF400" s="344">
        <f t="shared" ca="1" si="87"/>
        <v>8.0000000000000071E-3</v>
      </c>
      <c r="AG400" s="344">
        <f t="shared" ca="1" si="87"/>
        <v>0</v>
      </c>
      <c r="AH400" s="344">
        <f ca="1">AH399-AG399</f>
        <v>1.0000000000000009E-3</v>
      </c>
      <c r="AI400" s="60"/>
      <c r="AJ400" s="60"/>
      <c r="AK400" s="163"/>
      <c r="AL400" s="163"/>
      <c r="AM400" s="163"/>
      <c r="AN400" s="163"/>
      <c r="AO400" s="163"/>
      <c r="AP400" s="163"/>
      <c r="AQ400" s="163"/>
      <c r="AR400" s="163"/>
      <c r="AS400" s="163"/>
      <c r="AT400" s="163"/>
      <c r="AU400" s="163"/>
      <c r="AV400" s="163"/>
      <c r="AW400" s="163"/>
      <c r="AX400" s="163"/>
      <c r="AY400" s="163"/>
      <c r="AZ400" s="163"/>
      <c r="BA400" s="163"/>
      <c r="BB400" s="163"/>
      <c r="BC400" s="163"/>
      <c r="BD400" s="163"/>
      <c r="BE400" s="163"/>
      <c r="BF400" s="163"/>
      <c r="BG400" s="163"/>
      <c r="BH400" s="163"/>
      <c r="BI400" s="163"/>
      <c r="BJ400" s="163"/>
      <c r="BK400" s="163"/>
      <c r="BL400" s="163"/>
      <c r="BM400" s="163"/>
      <c r="BN400" s="163"/>
      <c r="BO400" s="163"/>
      <c r="BP400" s="163"/>
      <c r="BQ400" s="163"/>
      <c r="BR400" s="163"/>
      <c r="BS400" s="163"/>
      <c r="BT400" s="163"/>
      <c r="BU400" s="163"/>
      <c r="BV400" s="163"/>
      <c r="BW400" s="163"/>
      <c r="BX400" s="163"/>
      <c r="BY400" s="163"/>
      <c r="BZ400" s="163"/>
      <c r="CA400" s="163"/>
      <c r="CB400" s="163"/>
      <c r="CC400" s="163"/>
      <c r="CD400" s="163"/>
      <c r="CE400" s="163"/>
      <c r="CF400" s="163"/>
      <c r="CG400" s="163"/>
      <c r="CH400" s="163"/>
      <c r="CI400" s="163"/>
      <c r="CJ400" s="163"/>
      <c r="CK400" s="163"/>
      <c r="CL400" s="163"/>
      <c r="CM400" s="163"/>
      <c r="CN400" s="163"/>
      <c r="CO400" s="163"/>
      <c r="CP400" s="163"/>
      <c r="CQ400" s="163"/>
      <c r="CR400" s="163"/>
      <c r="CS400" s="163"/>
      <c r="CT400" s="163"/>
      <c r="CU400" s="163"/>
      <c r="CV400" s="163"/>
      <c r="CW400" s="163"/>
      <c r="CX400" s="163"/>
      <c r="CY400" s="163"/>
      <c r="CZ400" s="163"/>
      <c r="DA400" s="163"/>
      <c r="DB400" s="163"/>
      <c r="DC400" s="163"/>
      <c r="DD400" s="163"/>
      <c r="DE400" s="163"/>
      <c r="DF400" s="163"/>
      <c r="DG400" s="163"/>
      <c r="DH400" s="163"/>
      <c r="DI400" s="163"/>
      <c r="DJ400" s="163"/>
      <c r="DK400" s="163"/>
      <c r="DL400" s="163"/>
      <c r="DM400" s="163"/>
      <c r="DN400" s="163"/>
      <c r="DO400" s="163"/>
      <c r="DP400" s="163"/>
      <c r="DQ400" s="163"/>
      <c r="DR400" s="163"/>
      <c r="DS400" s="163"/>
      <c r="DT400" s="163"/>
      <c r="DU400" s="163"/>
      <c r="DV400" s="163"/>
      <c r="DW400" s="163"/>
      <c r="DX400" s="163"/>
      <c r="DY400" s="163"/>
      <c r="DZ400" s="163"/>
      <c r="EA400" s="163"/>
      <c r="EB400" s="163"/>
      <c r="EC400" s="163"/>
      <c r="ED400" s="163"/>
      <c r="EE400" s="163"/>
      <c r="EF400" s="163"/>
      <c r="EG400" s="163"/>
      <c r="EH400" s="163"/>
      <c r="EI400" s="163"/>
      <c r="EJ400" s="163"/>
      <c r="EK400" s="163"/>
      <c r="EL400" s="163"/>
      <c r="EM400" s="163"/>
    </row>
    <row r="401" spans="1:143" s="334" customFormat="1" x14ac:dyDescent="0.2">
      <c r="A401" s="335" t="s">
        <v>300</v>
      </c>
      <c r="B401" s="333"/>
      <c r="C401" s="333">
        <f>C431/1.21-C399</f>
        <v>0</v>
      </c>
      <c r="D401" s="333">
        <f t="shared" ref="D401:AH401" si="88">D431/1.21-D399</f>
        <v>0</v>
      </c>
      <c r="E401" s="333">
        <f t="shared" ca="1" si="88"/>
        <v>0</v>
      </c>
      <c r="F401" s="333">
        <f t="shared" ca="1" si="88"/>
        <v>0</v>
      </c>
      <c r="G401" s="333">
        <f t="shared" ca="1" si="88"/>
        <v>0</v>
      </c>
      <c r="H401" s="333">
        <f t="shared" ca="1" si="88"/>
        <v>0</v>
      </c>
      <c r="I401" s="333">
        <f t="shared" ca="1" si="88"/>
        <v>0</v>
      </c>
      <c r="J401" s="333">
        <f t="shared" ca="1" si="88"/>
        <v>0</v>
      </c>
      <c r="K401" s="333">
        <f t="shared" ca="1" si="88"/>
        <v>0</v>
      </c>
      <c r="L401" s="333">
        <f t="shared" ca="1" si="88"/>
        <v>0</v>
      </c>
      <c r="M401" s="333">
        <f t="shared" ca="1" si="88"/>
        <v>0</v>
      </c>
      <c r="N401" s="333">
        <f t="shared" ca="1" si="88"/>
        <v>0</v>
      </c>
      <c r="O401" s="333">
        <f t="shared" ca="1" si="88"/>
        <v>0</v>
      </c>
      <c r="P401" s="333">
        <f t="shared" ca="1" si="88"/>
        <v>0</v>
      </c>
      <c r="Q401" s="333">
        <f t="shared" ca="1" si="88"/>
        <v>0</v>
      </c>
      <c r="R401" s="333">
        <f t="shared" ca="1" si="88"/>
        <v>0</v>
      </c>
      <c r="S401" s="333">
        <f t="shared" ca="1" si="88"/>
        <v>0</v>
      </c>
      <c r="T401" s="333">
        <f t="shared" ca="1" si="88"/>
        <v>0</v>
      </c>
      <c r="U401" s="333">
        <f t="shared" ca="1" si="88"/>
        <v>0</v>
      </c>
      <c r="V401" s="333">
        <f t="shared" ca="1" si="88"/>
        <v>0</v>
      </c>
      <c r="W401" s="333">
        <f t="shared" ca="1" si="88"/>
        <v>0</v>
      </c>
      <c r="X401" s="333">
        <f t="shared" ca="1" si="88"/>
        <v>0</v>
      </c>
      <c r="Y401" s="333">
        <f t="shared" ca="1" si="88"/>
        <v>0</v>
      </c>
      <c r="Z401" s="333">
        <f t="shared" ca="1" si="88"/>
        <v>0</v>
      </c>
      <c r="AA401" s="333">
        <f t="shared" ca="1" si="88"/>
        <v>0</v>
      </c>
      <c r="AB401" s="333">
        <f t="shared" ca="1" si="88"/>
        <v>0</v>
      </c>
      <c r="AC401" s="333">
        <f t="shared" ca="1" si="88"/>
        <v>0</v>
      </c>
      <c r="AD401" s="333">
        <f t="shared" ca="1" si="88"/>
        <v>0</v>
      </c>
      <c r="AE401" s="333">
        <f t="shared" ca="1" si="88"/>
        <v>0</v>
      </c>
      <c r="AF401" s="333">
        <f t="shared" ca="1" si="88"/>
        <v>0</v>
      </c>
      <c r="AG401" s="333">
        <f t="shared" ca="1" si="88"/>
        <v>0</v>
      </c>
      <c r="AH401" s="333">
        <f t="shared" ca="1" si="88"/>
        <v>0</v>
      </c>
      <c r="AI401" s="60"/>
      <c r="AJ401" s="60"/>
      <c r="AK401" s="163"/>
      <c r="AL401" s="163"/>
      <c r="AM401" s="163"/>
      <c r="AN401" s="163"/>
      <c r="AO401" s="163"/>
      <c r="AP401" s="163"/>
      <c r="AQ401" s="163"/>
      <c r="AR401" s="163"/>
      <c r="AS401" s="163"/>
      <c r="AT401" s="163"/>
      <c r="AU401" s="163"/>
      <c r="AV401" s="163"/>
      <c r="AW401" s="163"/>
      <c r="AX401" s="163"/>
      <c r="AY401" s="163"/>
      <c r="AZ401" s="163"/>
      <c r="BA401" s="163"/>
      <c r="BB401" s="163"/>
      <c r="BC401" s="163"/>
      <c r="BD401" s="163"/>
      <c r="BE401" s="163"/>
      <c r="BF401" s="163"/>
      <c r="BG401" s="163"/>
      <c r="BH401" s="163"/>
      <c r="BI401" s="163"/>
      <c r="BJ401" s="163"/>
      <c r="BK401" s="163"/>
      <c r="BL401" s="163"/>
      <c r="BM401" s="163"/>
      <c r="BN401" s="163"/>
      <c r="BO401" s="163"/>
      <c r="BP401" s="163"/>
      <c r="BQ401" s="163"/>
      <c r="BR401" s="163"/>
      <c r="BS401" s="163"/>
      <c r="BT401" s="163"/>
      <c r="BU401" s="163"/>
      <c r="BV401" s="163"/>
      <c r="BW401" s="163"/>
      <c r="BX401" s="163"/>
      <c r="BY401" s="163"/>
      <c r="BZ401" s="163"/>
      <c r="CA401" s="163"/>
      <c r="CB401" s="163"/>
      <c r="CC401" s="163"/>
      <c r="CD401" s="163"/>
      <c r="CE401" s="163"/>
      <c r="CF401" s="163"/>
      <c r="CG401" s="163"/>
      <c r="CH401" s="163"/>
      <c r="CI401" s="163"/>
      <c r="CJ401" s="163"/>
      <c r="CK401" s="163"/>
      <c r="CL401" s="163"/>
      <c r="CM401" s="163"/>
      <c r="CN401" s="163"/>
      <c r="CO401" s="163"/>
      <c r="CP401" s="163"/>
      <c r="CQ401" s="163"/>
      <c r="CR401" s="163"/>
      <c r="CS401" s="163"/>
      <c r="CT401" s="163"/>
      <c r="CU401" s="163"/>
      <c r="CV401" s="163"/>
      <c r="CW401" s="163"/>
      <c r="CX401" s="163"/>
      <c r="CY401" s="163"/>
      <c r="CZ401" s="163"/>
      <c r="DA401" s="163"/>
      <c r="DB401" s="163"/>
      <c r="DC401" s="163"/>
      <c r="DD401" s="163"/>
      <c r="DE401" s="163"/>
      <c r="DF401" s="163"/>
      <c r="DG401" s="163"/>
      <c r="DH401" s="163"/>
      <c r="DI401" s="163"/>
      <c r="DJ401" s="163"/>
      <c r="DK401" s="163"/>
      <c r="DL401" s="163"/>
      <c r="DM401" s="163"/>
      <c r="DN401" s="163"/>
      <c r="DO401" s="163"/>
      <c r="DP401" s="163"/>
      <c r="DQ401" s="163"/>
      <c r="DR401" s="163"/>
      <c r="DS401" s="163"/>
      <c r="DT401" s="163"/>
      <c r="DU401" s="163"/>
      <c r="DV401" s="163"/>
      <c r="DW401" s="163"/>
      <c r="DX401" s="163"/>
      <c r="DY401" s="163"/>
      <c r="DZ401" s="163"/>
      <c r="EA401" s="163"/>
      <c r="EB401" s="163"/>
      <c r="EC401" s="163"/>
      <c r="ED401" s="163"/>
      <c r="EE401" s="163"/>
      <c r="EF401" s="163"/>
      <c r="EG401" s="163"/>
      <c r="EH401" s="163"/>
      <c r="EI401" s="163"/>
      <c r="EJ401" s="163"/>
      <c r="EK401" s="163"/>
      <c r="EL401" s="163"/>
      <c r="EM401" s="163"/>
    </row>
    <row r="402" spans="1:143" s="71" customFormat="1" x14ac:dyDescent="0.2">
      <c r="A402" s="331" t="s">
        <v>290</v>
      </c>
      <c r="B402" s="344">
        <f>B399</f>
        <v>0.2</v>
      </c>
      <c r="C402" s="344">
        <f t="shared" ref="C402:AG402" si="89">C399</f>
        <v>0.20899999999999999</v>
      </c>
      <c r="D402" s="344">
        <f t="shared" si="89"/>
        <v>0.23100000000000001</v>
      </c>
      <c r="E402" s="344">
        <f t="shared" ca="1" si="89"/>
        <v>0.253</v>
      </c>
      <c r="F402" s="344">
        <f t="shared" ca="1" si="89"/>
        <v>0.26300000000000001</v>
      </c>
      <c r="G402" s="344">
        <f t="shared" ca="1" si="89"/>
        <v>0.26700000000000002</v>
      </c>
      <c r="H402" s="344">
        <f t="shared" ca="1" si="89"/>
        <v>0.27500000000000002</v>
      </c>
      <c r="I402" s="344">
        <f t="shared" ca="1" si="89"/>
        <v>0.28000000000000003</v>
      </c>
      <c r="J402" s="344">
        <f t="shared" ca="1" si="89"/>
        <v>0.28699999999999998</v>
      </c>
      <c r="K402" s="344">
        <f t="shared" ca="1" si="89"/>
        <v>0.29199999999999998</v>
      </c>
      <c r="L402" s="344">
        <f t="shared" ca="1" si="89"/>
        <v>0.29599999999999999</v>
      </c>
      <c r="M402" s="344">
        <f t="shared" ca="1" si="89"/>
        <v>0.30399999999999999</v>
      </c>
      <c r="N402" s="344">
        <f t="shared" ca="1" si="89"/>
        <v>0.31</v>
      </c>
      <c r="O402" s="344">
        <f t="shared" ca="1" si="89"/>
        <v>0.315</v>
      </c>
      <c r="P402" s="344">
        <f t="shared" ca="1" si="89"/>
        <v>0.308</v>
      </c>
      <c r="Q402" s="344">
        <f t="shared" ca="1" si="89"/>
        <v>0.312</v>
      </c>
      <c r="R402" s="344">
        <f t="shared" ca="1" si="89"/>
        <v>0.318</v>
      </c>
      <c r="S402" s="344">
        <f t="shared" ca="1" si="89"/>
        <v>0.32500000000000001</v>
      </c>
      <c r="T402" s="344">
        <f t="shared" ca="1" si="89"/>
        <v>0.33200000000000002</v>
      </c>
      <c r="U402" s="344">
        <f t="shared" ca="1" si="89"/>
        <v>0.34699999999999998</v>
      </c>
      <c r="V402" s="344">
        <f t="shared" ca="1" si="89"/>
        <v>0.35399999999999998</v>
      </c>
      <c r="W402" s="344">
        <f t="shared" ca="1" si="89"/>
        <v>0.36</v>
      </c>
      <c r="X402" s="344">
        <f t="shared" ca="1" si="89"/>
        <v>0.36699999999999999</v>
      </c>
      <c r="Y402" s="344">
        <f t="shared" ca="1" si="89"/>
        <v>0.373</v>
      </c>
      <c r="Z402" s="344">
        <f t="shared" ca="1" si="89"/>
        <v>0.38</v>
      </c>
      <c r="AA402" s="344">
        <f t="shared" ca="1" si="89"/>
        <v>0.38600000000000001</v>
      </c>
      <c r="AB402" s="344">
        <f t="shared" ca="1" si="89"/>
        <v>0.39300000000000002</v>
      </c>
      <c r="AC402" s="344">
        <f t="shared" ca="1" si="89"/>
        <v>0.39900000000000002</v>
      </c>
      <c r="AD402" s="344">
        <f t="shared" ca="1" si="89"/>
        <v>0.40500000000000003</v>
      </c>
      <c r="AE402" s="344">
        <f t="shared" ca="1" si="89"/>
        <v>0.41299999999999998</v>
      </c>
      <c r="AF402" s="344">
        <f t="shared" ca="1" si="89"/>
        <v>0.42099999999999999</v>
      </c>
      <c r="AG402" s="344">
        <f t="shared" ca="1" si="89"/>
        <v>0.42099999999999999</v>
      </c>
      <c r="AH402" s="344">
        <f ca="1">AH399</f>
        <v>0.42199999999999999</v>
      </c>
      <c r="AI402" s="60"/>
      <c r="AJ402" s="60"/>
      <c r="AK402" s="163"/>
      <c r="AL402" s="163"/>
      <c r="AM402" s="163"/>
      <c r="AN402" s="163"/>
      <c r="AO402" s="163"/>
      <c r="AP402" s="163"/>
      <c r="AQ402" s="163"/>
      <c r="AR402" s="163"/>
      <c r="AS402" s="163"/>
      <c r="AT402" s="163"/>
      <c r="AU402" s="163"/>
      <c r="AV402" s="163"/>
      <c r="AW402" s="163"/>
      <c r="AX402" s="163"/>
      <c r="AY402" s="163"/>
      <c r="AZ402" s="163"/>
      <c r="BA402" s="163"/>
      <c r="BB402" s="163"/>
      <c r="BC402" s="163"/>
      <c r="BD402" s="163"/>
      <c r="BE402" s="163"/>
      <c r="BF402" s="163"/>
      <c r="BG402" s="163"/>
      <c r="BH402" s="163"/>
      <c r="BI402" s="163"/>
      <c r="BJ402" s="163"/>
      <c r="BK402" s="163"/>
      <c r="BL402" s="163"/>
      <c r="BM402" s="163"/>
      <c r="BN402" s="163"/>
      <c r="BO402" s="163"/>
      <c r="BP402" s="163"/>
      <c r="BQ402" s="163"/>
      <c r="BR402" s="163"/>
      <c r="BS402" s="163"/>
      <c r="BT402" s="163"/>
      <c r="BU402" s="163"/>
      <c r="BV402" s="163"/>
      <c r="BW402" s="163"/>
      <c r="BX402" s="163"/>
      <c r="BY402" s="163"/>
      <c r="BZ402" s="163"/>
      <c r="CA402" s="163"/>
      <c r="CB402" s="163"/>
      <c r="CC402" s="163"/>
      <c r="CD402" s="163"/>
      <c r="CE402" s="163"/>
      <c r="CF402" s="163"/>
      <c r="CG402" s="163"/>
      <c r="CH402" s="163"/>
      <c r="CI402" s="163"/>
      <c r="CJ402" s="163"/>
      <c r="CK402" s="163"/>
      <c r="CL402" s="163"/>
      <c r="CM402" s="163"/>
      <c r="CN402" s="163"/>
      <c r="CO402" s="163"/>
      <c r="CP402" s="163"/>
      <c r="CQ402" s="163"/>
      <c r="CR402" s="163"/>
      <c r="CS402" s="163"/>
      <c r="CT402" s="163"/>
      <c r="CU402" s="163"/>
      <c r="CV402" s="163"/>
      <c r="CW402" s="163"/>
      <c r="CX402" s="163"/>
      <c r="CY402" s="163"/>
      <c r="CZ402" s="163"/>
      <c r="DA402" s="163"/>
      <c r="DB402" s="163"/>
      <c r="DC402" s="163"/>
      <c r="DD402" s="163"/>
      <c r="DE402" s="163"/>
      <c r="DF402" s="163"/>
      <c r="DG402" s="163"/>
      <c r="DH402" s="163"/>
      <c r="DI402" s="163"/>
      <c r="DJ402" s="163"/>
      <c r="DK402" s="163"/>
      <c r="DL402" s="163"/>
      <c r="DM402" s="163"/>
      <c r="DN402" s="163"/>
      <c r="DO402" s="163"/>
      <c r="DP402" s="163"/>
      <c r="DQ402" s="163"/>
      <c r="DR402" s="163"/>
      <c r="DS402" s="163"/>
      <c r="DT402" s="163"/>
      <c r="DU402" s="163"/>
      <c r="DV402" s="163"/>
      <c r="DW402" s="163"/>
      <c r="DX402" s="163"/>
      <c r="DY402" s="163"/>
      <c r="DZ402" s="163"/>
      <c r="EA402" s="163"/>
      <c r="EB402" s="163"/>
      <c r="EC402" s="163"/>
      <c r="ED402" s="163"/>
      <c r="EE402" s="163"/>
      <c r="EF402" s="163"/>
      <c r="EG402" s="163"/>
      <c r="EH402" s="163"/>
      <c r="EI402" s="163"/>
      <c r="EJ402" s="163"/>
      <c r="EK402" s="163"/>
      <c r="EL402" s="163"/>
      <c r="EM402" s="163"/>
    </row>
    <row r="403" spans="1:143" s="71" customFormat="1" x14ac:dyDescent="0.2">
      <c r="A403" s="345" t="s">
        <v>382</v>
      </c>
      <c r="B403" s="337">
        <v>0</v>
      </c>
      <c r="C403" s="337">
        <v>0</v>
      </c>
      <c r="D403" s="337">
        <v>0</v>
      </c>
      <c r="E403" s="337">
        <v>0.15</v>
      </c>
      <c r="F403" s="337">
        <v>0.15</v>
      </c>
      <c r="G403" s="337">
        <v>0.15</v>
      </c>
      <c r="H403" s="337">
        <v>0.15</v>
      </c>
      <c r="I403" s="337">
        <v>0.15</v>
      </c>
      <c r="J403" s="337">
        <v>0.2</v>
      </c>
      <c r="K403" s="337">
        <v>0.2</v>
      </c>
      <c r="L403" s="337">
        <v>0.2</v>
      </c>
      <c r="M403" s="337">
        <v>0.25</v>
      </c>
      <c r="N403" s="337">
        <v>0.25</v>
      </c>
      <c r="O403" s="337">
        <v>0.25</v>
      </c>
      <c r="P403" s="337">
        <v>0.27</v>
      </c>
      <c r="Q403" s="337">
        <v>0.3</v>
      </c>
      <c r="R403" s="337">
        <v>0.3</v>
      </c>
      <c r="S403" s="337">
        <v>0.35</v>
      </c>
      <c r="T403" s="337">
        <v>0.35</v>
      </c>
      <c r="U403" s="337">
        <v>1</v>
      </c>
      <c r="V403" s="337">
        <v>1</v>
      </c>
      <c r="W403" s="337">
        <v>1</v>
      </c>
      <c r="X403" s="337">
        <v>1</v>
      </c>
      <c r="Y403" s="337">
        <v>1</v>
      </c>
      <c r="Z403" s="337">
        <v>1</v>
      </c>
      <c r="AA403" s="337">
        <v>1</v>
      </c>
      <c r="AB403" s="337">
        <v>1</v>
      </c>
      <c r="AC403" s="337">
        <v>1</v>
      </c>
      <c r="AD403" s="337">
        <v>1</v>
      </c>
      <c r="AE403" s="337">
        <v>1</v>
      </c>
      <c r="AF403" s="337">
        <v>1</v>
      </c>
      <c r="AG403" s="337">
        <v>1</v>
      </c>
      <c r="AH403" s="337">
        <v>1.05</v>
      </c>
      <c r="AI403" s="60"/>
      <c r="AJ403" s="60"/>
      <c r="AK403" s="163"/>
      <c r="AL403" s="163"/>
      <c r="AM403" s="163"/>
      <c r="AN403" s="163"/>
      <c r="AO403" s="163"/>
      <c r="AP403" s="163"/>
      <c r="AQ403" s="163"/>
      <c r="AR403" s="163"/>
      <c r="AS403" s="163"/>
      <c r="AT403" s="163"/>
      <c r="AU403" s="163"/>
      <c r="AV403" s="163"/>
      <c r="AW403" s="163"/>
      <c r="AX403" s="163"/>
      <c r="AY403" s="163"/>
      <c r="AZ403" s="163"/>
      <c r="BA403" s="163"/>
      <c r="BB403" s="163"/>
      <c r="BC403" s="163"/>
      <c r="BD403" s="163"/>
      <c r="BE403" s="163"/>
      <c r="BF403" s="163"/>
      <c r="BG403" s="163"/>
      <c r="BH403" s="163"/>
      <c r="BI403" s="163"/>
      <c r="BJ403" s="163"/>
      <c r="BK403" s="163"/>
      <c r="BL403" s="163"/>
      <c r="BM403" s="163"/>
      <c r="BN403" s="163"/>
      <c r="BO403" s="163"/>
      <c r="BP403" s="163"/>
      <c r="BQ403" s="163"/>
      <c r="BR403" s="163"/>
      <c r="BS403" s="163"/>
      <c r="BT403" s="163"/>
      <c r="BU403" s="163"/>
      <c r="BV403" s="163"/>
      <c r="BW403" s="163"/>
      <c r="BX403" s="163"/>
      <c r="BY403" s="163"/>
      <c r="BZ403" s="163"/>
      <c r="CA403" s="163"/>
      <c r="CB403" s="163"/>
      <c r="CC403" s="163"/>
      <c r="CD403" s="163"/>
      <c r="CE403" s="163"/>
      <c r="CF403" s="163"/>
      <c r="CG403" s="163"/>
      <c r="CH403" s="163"/>
      <c r="CI403" s="163"/>
      <c r="CJ403" s="163"/>
      <c r="CK403" s="163"/>
      <c r="CL403" s="163"/>
      <c r="CM403" s="163"/>
      <c r="CN403" s="163"/>
      <c r="CO403" s="163"/>
      <c r="CP403" s="163"/>
      <c r="CQ403" s="163"/>
      <c r="CR403" s="163"/>
      <c r="CS403" s="163"/>
      <c r="CT403" s="163"/>
      <c r="CU403" s="163"/>
      <c r="CV403" s="163"/>
      <c r="CW403" s="163"/>
      <c r="CX403" s="163"/>
      <c r="CY403" s="163"/>
      <c r="CZ403" s="163"/>
      <c r="DA403" s="163"/>
      <c r="DB403" s="163"/>
      <c r="DC403" s="163"/>
      <c r="DD403" s="163"/>
      <c r="DE403" s="163"/>
      <c r="DF403" s="163"/>
      <c r="DG403" s="163"/>
      <c r="DH403" s="163"/>
      <c r="DI403" s="163"/>
      <c r="DJ403" s="163"/>
      <c r="DK403" s="163"/>
      <c r="DL403" s="163"/>
      <c r="DM403" s="163"/>
      <c r="DN403" s="163"/>
      <c r="DO403" s="163"/>
      <c r="DP403" s="163"/>
      <c r="DQ403" s="163"/>
      <c r="DR403" s="163"/>
      <c r="DS403" s="163"/>
      <c r="DT403" s="163"/>
      <c r="DU403" s="163"/>
      <c r="DV403" s="163"/>
      <c r="DW403" s="163"/>
      <c r="DX403" s="163"/>
      <c r="DY403" s="163"/>
      <c r="DZ403" s="163"/>
      <c r="EA403" s="163"/>
      <c r="EB403" s="163"/>
      <c r="EC403" s="163"/>
      <c r="ED403" s="163"/>
      <c r="EE403" s="163"/>
      <c r="EF403" s="163"/>
      <c r="EG403" s="163"/>
      <c r="EH403" s="163"/>
      <c r="EI403" s="163"/>
      <c r="EJ403" s="163"/>
      <c r="EK403" s="163"/>
      <c r="EL403" s="163"/>
      <c r="EM403" s="163"/>
    </row>
    <row r="404" spans="1:143" s="71" customFormat="1" x14ac:dyDescent="0.2">
      <c r="A404" s="346" t="s">
        <v>291</v>
      </c>
      <c r="B404" s="347">
        <f t="shared" ref="B404:AG404" si="90">B402+B395</f>
        <v>0.38700000000000001</v>
      </c>
      <c r="C404" s="347">
        <f t="shared" si="90"/>
        <v>0.40400000000000003</v>
      </c>
      <c r="D404" s="347">
        <f t="shared" si="90"/>
        <v>0.44</v>
      </c>
      <c r="E404" s="347">
        <f t="shared" ca="1" si="90"/>
        <v>0.47599999999999998</v>
      </c>
      <c r="F404" s="347">
        <f t="shared" ca="1" si="90"/>
        <v>0.52900000000000003</v>
      </c>
      <c r="G404" s="347">
        <f t="shared" ca="1" si="90"/>
        <v>0.53800000000000003</v>
      </c>
      <c r="H404" s="347">
        <f t="shared" ca="1" si="90"/>
        <v>0.55100000000000005</v>
      </c>
      <c r="I404" s="347">
        <f t="shared" ca="1" si="90"/>
        <v>0.56299999999999994</v>
      </c>
      <c r="J404" s="347">
        <f t="shared" ca="1" si="90"/>
        <v>0.57499999999999996</v>
      </c>
      <c r="K404" s="347">
        <f t="shared" ca="1" si="90"/>
        <v>0.58499999999999996</v>
      </c>
      <c r="L404" s="347">
        <f t="shared" ca="1" si="90"/>
        <v>0.59299999999999997</v>
      </c>
      <c r="M404" s="347">
        <f t="shared" ca="1" si="90"/>
        <v>0.60699999999999998</v>
      </c>
      <c r="N404" s="347">
        <f t="shared" ca="1" si="90"/>
        <v>0.61899999999999999</v>
      </c>
      <c r="O404" s="347">
        <f t="shared" ca="1" si="90"/>
        <v>0.63</v>
      </c>
      <c r="P404" s="347">
        <f t="shared" ca="1" si="90"/>
        <v>0.625</v>
      </c>
      <c r="Q404" s="347">
        <f t="shared" ca="1" si="90"/>
        <v>0.63100000000000001</v>
      </c>
      <c r="R404" s="347">
        <f t="shared" ca="1" si="90"/>
        <v>0.64300000000000002</v>
      </c>
      <c r="S404" s="347">
        <f t="shared" ca="1" si="90"/>
        <v>0.65700000000000003</v>
      </c>
      <c r="T404" s="347">
        <f t="shared" ca="1" si="90"/>
        <v>0.67</v>
      </c>
      <c r="U404" s="347">
        <f t="shared" ca="1" si="90"/>
        <v>0.69699999999999995</v>
      </c>
      <c r="V404" s="347">
        <f t="shared" ca="1" si="90"/>
        <v>0.71</v>
      </c>
      <c r="W404" s="347">
        <f t="shared" ca="1" si="90"/>
        <v>0.72299999999999998</v>
      </c>
      <c r="X404" s="347">
        <f t="shared" ca="1" si="90"/>
        <v>0.73599999999999999</v>
      </c>
      <c r="Y404" s="347">
        <f t="shared" ca="1" si="90"/>
        <v>0.749</v>
      </c>
      <c r="Z404" s="347">
        <f t="shared" ca="1" si="90"/>
        <v>0.76300000000000001</v>
      </c>
      <c r="AA404" s="347">
        <f t="shared" ca="1" si="90"/>
        <v>0.77500000000000002</v>
      </c>
      <c r="AB404" s="347">
        <f t="shared" ca="1" si="90"/>
        <v>0.78900000000000003</v>
      </c>
      <c r="AC404" s="347">
        <f t="shared" ca="1" si="90"/>
        <v>0.80200000000000005</v>
      </c>
      <c r="AD404" s="347">
        <f t="shared" ca="1" si="90"/>
        <v>0.81400000000000006</v>
      </c>
      <c r="AE404" s="347">
        <f t="shared" ca="1" si="90"/>
        <v>0.83</v>
      </c>
      <c r="AF404" s="347">
        <f t="shared" ca="1" si="90"/>
        <v>0.84699999999999998</v>
      </c>
      <c r="AG404" s="348">
        <f t="shared" ca="1" si="90"/>
        <v>0.84599999999999997</v>
      </c>
      <c r="AH404" s="348">
        <f ca="1">AH402+AH395</f>
        <v>0.84699999999999998</v>
      </c>
      <c r="AI404" s="60"/>
      <c r="AJ404" s="60"/>
      <c r="AK404" s="163"/>
      <c r="AL404" s="163"/>
      <c r="AM404" s="163"/>
      <c r="AN404" s="163"/>
      <c r="AO404" s="163"/>
      <c r="AP404" s="163"/>
      <c r="AQ404" s="163"/>
      <c r="AR404" s="163"/>
      <c r="AS404" s="163"/>
      <c r="AT404" s="163"/>
      <c r="AU404" s="163"/>
      <c r="AV404" s="163"/>
      <c r="AW404" s="163"/>
      <c r="AX404" s="163"/>
      <c r="AY404" s="163"/>
      <c r="AZ404" s="163"/>
      <c r="BA404" s="163"/>
      <c r="BB404" s="163"/>
      <c r="BC404" s="163"/>
      <c r="BD404" s="163"/>
      <c r="BE404" s="163"/>
      <c r="BF404" s="163"/>
      <c r="BG404" s="163"/>
      <c r="BH404" s="163"/>
      <c r="BI404" s="163"/>
      <c r="BJ404" s="163"/>
      <c r="BK404" s="163"/>
      <c r="BL404" s="163"/>
      <c r="BM404" s="163"/>
      <c r="BN404" s="163"/>
      <c r="BO404" s="163"/>
      <c r="BP404" s="163"/>
      <c r="BQ404" s="163"/>
      <c r="BR404" s="163"/>
      <c r="BS404" s="163"/>
      <c r="BT404" s="163"/>
      <c r="BU404" s="163"/>
      <c r="BV404" s="163"/>
      <c r="BW404" s="163"/>
      <c r="BX404" s="163"/>
      <c r="BY404" s="163"/>
      <c r="BZ404" s="163"/>
      <c r="CA404" s="163"/>
      <c r="CB404" s="163"/>
      <c r="CC404" s="163"/>
      <c r="CD404" s="163"/>
      <c r="CE404" s="163"/>
      <c r="CF404" s="163"/>
      <c r="CG404" s="163"/>
      <c r="CH404" s="163"/>
      <c r="CI404" s="163"/>
      <c r="CJ404" s="163"/>
      <c r="CK404" s="163"/>
      <c r="CL404" s="163"/>
      <c r="CM404" s="163"/>
      <c r="CN404" s="163"/>
      <c r="CO404" s="163"/>
      <c r="CP404" s="163"/>
      <c r="CQ404" s="163"/>
      <c r="CR404" s="163"/>
      <c r="CS404" s="163"/>
      <c r="CT404" s="163"/>
      <c r="CU404" s="163"/>
      <c r="CV404" s="163"/>
      <c r="CW404" s="163"/>
      <c r="CX404" s="163"/>
      <c r="CY404" s="163"/>
      <c r="CZ404" s="163"/>
      <c r="DA404" s="163"/>
      <c r="DB404" s="163"/>
      <c r="DC404" s="163"/>
      <c r="DD404" s="163"/>
      <c r="DE404" s="163"/>
      <c r="DF404" s="163"/>
      <c r="DG404" s="163"/>
      <c r="DH404" s="163"/>
      <c r="DI404" s="163"/>
      <c r="DJ404" s="163"/>
      <c r="DK404" s="163"/>
      <c r="DL404" s="163"/>
      <c r="DM404" s="163"/>
      <c r="DN404" s="163"/>
      <c r="DO404" s="163"/>
      <c r="DP404" s="163"/>
      <c r="DQ404" s="163"/>
      <c r="DR404" s="163"/>
      <c r="DS404" s="163"/>
      <c r="DT404" s="163"/>
      <c r="DU404" s="163"/>
      <c r="DV404" s="163"/>
      <c r="DW404" s="163"/>
      <c r="DX404" s="163"/>
      <c r="DY404" s="163"/>
      <c r="DZ404" s="163"/>
      <c r="EA404" s="163"/>
      <c r="EB404" s="163"/>
      <c r="EC404" s="163"/>
      <c r="ED404" s="163"/>
      <c r="EE404" s="163"/>
      <c r="EF404" s="163"/>
      <c r="EG404" s="163"/>
      <c r="EH404" s="163"/>
      <c r="EI404" s="163"/>
      <c r="EJ404" s="163"/>
      <c r="EK404" s="163"/>
      <c r="EL404" s="163"/>
      <c r="EM404" s="163"/>
    </row>
    <row r="405" spans="1:143" s="151" customFormat="1" x14ac:dyDescent="0.2">
      <c r="A405" s="349" t="s">
        <v>305</v>
      </c>
      <c r="B405" s="350"/>
      <c r="C405" s="350"/>
      <c r="D405" s="350"/>
      <c r="E405" s="350"/>
      <c r="F405" s="350"/>
      <c r="G405" s="350"/>
      <c r="H405" s="350"/>
      <c r="I405" s="350"/>
      <c r="J405" s="350"/>
      <c r="K405" s="350"/>
      <c r="L405" s="350"/>
      <c r="M405" s="350"/>
      <c r="N405" s="350"/>
      <c r="O405" s="350"/>
      <c r="P405" s="350"/>
      <c r="Q405" s="350"/>
      <c r="R405" s="350"/>
      <c r="S405" s="350"/>
      <c r="T405" s="350"/>
      <c r="U405" s="350"/>
      <c r="V405" s="350"/>
      <c r="W405" s="350"/>
      <c r="X405" s="350"/>
      <c r="Y405" s="350"/>
      <c r="Z405" s="350"/>
      <c r="AA405" s="350"/>
      <c r="AB405" s="350"/>
      <c r="AC405" s="350"/>
      <c r="AD405" s="350"/>
      <c r="AE405" s="350"/>
      <c r="AF405" s="350"/>
      <c r="AG405" s="351"/>
      <c r="AH405" s="351"/>
      <c r="AI405" s="60"/>
      <c r="AJ405" s="60"/>
      <c r="AK405" s="163"/>
      <c r="AL405" s="163"/>
      <c r="AM405" s="163"/>
      <c r="AN405" s="163"/>
      <c r="AO405" s="163"/>
      <c r="AP405" s="163"/>
      <c r="AQ405" s="163"/>
      <c r="AR405" s="163"/>
      <c r="AS405" s="163"/>
      <c r="AT405" s="163"/>
      <c r="AU405" s="163"/>
      <c r="AV405" s="163"/>
      <c r="AW405" s="163"/>
      <c r="AX405" s="163"/>
      <c r="AY405" s="163"/>
      <c r="AZ405" s="163"/>
      <c r="BA405" s="163"/>
      <c r="BB405" s="163"/>
      <c r="BC405" s="163"/>
      <c r="BD405" s="163"/>
      <c r="BE405" s="163"/>
      <c r="BF405" s="163"/>
      <c r="BG405" s="163"/>
      <c r="BH405" s="163"/>
      <c r="BI405" s="163"/>
      <c r="BJ405" s="163"/>
      <c r="BK405" s="163"/>
      <c r="BL405" s="163"/>
      <c r="BM405" s="163"/>
      <c r="BN405" s="163"/>
      <c r="BO405" s="163"/>
      <c r="BP405" s="163"/>
      <c r="BQ405" s="163"/>
      <c r="BR405" s="163"/>
      <c r="BS405" s="163"/>
      <c r="BT405" s="163"/>
      <c r="BU405" s="163"/>
      <c r="BV405" s="163"/>
      <c r="BW405" s="163"/>
      <c r="BX405" s="163"/>
      <c r="BY405" s="163"/>
      <c r="BZ405" s="163"/>
      <c r="CA405" s="163"/>
      <c r="CB405" s="163"/>
      <c r="CC405" s="163"/>
      <c r="CD405" s="163"/>
      <c r="CE405" s="163"/>
      <c r="CF405" s="163"/>
      <c r="CG405" s="163"/>
      <c r="CH405" s="163"/>
      <c r="CI405" s="163"/>
      <c r="CJ405" s="163"/>
      <c r="CK405" s="163"/>
      <c r="CL405" s="163"/>
      <c r="CM405" s="163"/>
      <c r="CN405" s="163"/>
      <c r="CO405" s="163"/>
      <c r="CP405" s="163"/>
      <c r="CQ405" s="163"/>
      <c r="CR405" s="163"/>
      <c r="CS405" s="163"/>
      <c r="CT405" s="163"/>
      <c r="CU405" s="163"/>
      <c r="CV405" s="163"/>
      <c r="CW405" s="163"/>
      <c r="CX405" s="163"/>
      <c r="CY405" s="163"/>
      <c r="CZ405" s="163"/>
      <c r="DA405" s="163"/>
      <c r="DB405" s="163"/>
      <c r="DC405" s="163"/>
      <c r="DD405" s="163"/>
      <c r="DE405" s="163"/>
      <c r="DF405" s="163"/>
      <c r="DG405" s="163"/>
      <c r="DH405" s="163"/>
      <c r="DI405" s="163"/>
      <c r="DJ405" s="163"/>
      <c r="DK405" s="163"/>
      <c r="DL405" s="163"/>
      <c r="DM405" s="163"/>
      <c r="DN405" s="163"/>
      <c r="DO405" s="163"/>
      <c r="DP405" s="163"/>
      <c r="DQ405" s="163"/>
      <c r="DR405" s="163"/>
      <c r="DS405" s="163"/>
      <c r="DT405" s="163"/>
      <c r="DU405" s="163"/>
      <c r="DV405" s="163"/>
      <c r="DW405" s="163"/>
      <c r="DX405" s="163"/>
      <c r="DY405" s="163"/>
      <c r="DZ405" s="163"/>
      <c r="EA405" s="163"/>
      <c r="EB405" s="163"/>
      <c r="EC405" s="163"/>
      <c r="ED405" s="163"/>
      <c r="EE405" s="163"/>
      <c r="EF405" s="163"/>
      <c r="EG405" s="163"/>
      <c r="EH405" s="163"/>
      <c r="EI405" s="163"/>
      <c r="EJ405" s="163"/>
      <c r="EK405" s="163"/>
      <c r="EL405" s="163"/>
      <c r="EM405" s="163"/>
    </row>
    <row r="406" spans="1:143" s="151" customFormat="1" x14ac:dyDescent="0.2">
      <c r="A406" s="352" t="s">
        <v>49</v>
      </c>
      <c r="B406" s="350"/>
      <c r="C406" s="350"/>
      <c r="D406" s="350"/>
      <c r="E406" s="350"/>
      <c r="F406" s="350"/>
      <c r="G406" s="350"/>
      <c r="H406" s="350"/>
      <c r="I406" s="350"/>
      <c r="J406" s="350"/>
      <c r="K406" s="350"/>
      <c r="L406" s="350"/>
      <c r="M406" s="350"/>
      <c r="N406" s="350"/>
      <c r="O406" s="350"/>
      <c r="P406" s="350"/>
      <c r="Q406" s="350"/>
      <c r="R406" s="350"/>
      <c r="S406" s="350"/>
      <c r="T406" s="350"/>
      <c r="U406" s="350"/>
      <c r="V406" s="350"/>
      <c r="W406" s="350"/>
      <c r="X406" s="350"/>
      <c r="Y406" s="350"/>
      <c r="Z406" s="350"/>
      <c r="AA406" s="350"/>
      <c r="AB406" s="350"/>
      <c r="AC406" s="350"/>
      <c r="AD406" s="350"/>
      <c r="AE406" s="350"/>
      <c r="AF406" s="350"/>
      <c r="AG406" s="351"/>
      <c r="AH406" s="351"/>
      <c r="AI406" s="60"/>
      <c r="AJ406" s="60"/>
      <c r="AK406" s="163"/>
      <c r="AL406" s="163"/>
      <c r="AM406" s="163"/>
      <c r="AN406" s="163"/>
      <c r="AO406" s="163"/>
      <c r="AP406" s="163"/>
      <c r="AQ406" s="163"/>
      <c r="AR406" s="163"/>
      <c r="AS406" s="163"/>
      <c r="AT406" s="163"/>
      <c r="AU406" s="163"/>
      <c r="AV406" s="163"/>
      <c r="AW406" s="163"/>
      <c r="AX406" s="163"/>
      <c r="AY406" s="163"/>
      <c r="AZ406" s="163"/>
      <c r="BA406" s="163"/>
      <c r="BB406" s="163"/>
      <c r="BC406" s="163"/>
      <c r="BD406" s="163"/>
      <c r="BE406" s="163"/>
      <c r="BF406" s="163"/>
      <c r="BG406" s="163"/>
      <c r="BH406" s="163"/>
      <c r="BI406" s="163"/>
      <c r="BJ406" s="163"/>
      <c r="BK406" s="163"/>
      <c r="BL406" s="163"/>
      <c r="BM406" s="163"/>
      <c r="BN406" s="163"/>
      <c r="BO406" s="163"/>
      <c r="BP406" s="163"/>
      <c r="BQ406" s="163"/>
      <c r="BR406" s="163"/>
      <c r="BS406" s="163"/>
      <c r="BT406" s="163"/>
      <c r="BU406" s="163"/>
      <c r="BV406" s="163"/>
      <c r="BW406" s="163"/>
      <c r="BX406" s="163"/>
      <c r="BY406" s="163"/>
      <c r="BZ406" s="163"/>
      <c r="CA406" s="163"/>
      <c r="CB406" s="163"/>
      <c r="CC406" s="163"/>
      <c r="CD406" s="163"/>
      <c r="CE406" s="163"/>
      <c r="CF406" s="163"/>
      <c r="CG406" s="163"/>
      <c r="CH406" s="163"/>
      <c r="CI406" s="163"/>
      <c r="CJ406" s="163"/>
      <c r="CK406" s="163"/>
      <c r="CL406" s="163"/>
      <c r="CM406" s="163"/>
      <c r="CN406" s="163"/>
      <c r="CO406" s="163"/>
      <c r="CP406" s="163"/>
      <c r="CQ406" s="163"/>
      <c r="CR406" s="163"/>
      <c r="CS406" s="163"/>
      <c r="CT406" s="163"/>
      <c r="CU406" s="163"/>
      <c r="CV406" s="163"/>
      <c r="CW406" s="163"/>
      <c r="CX406" s="163"/>
      <c r="CY406" s="163"/>
      <c r="CZ406" s="163"/>
      <c r="DA406" s="163"/>
      <c r="DB406" s="163"/>
      <c r="DC406" s="163"/>
      <c r="DD406" s="163"/>
      <c r="DE406" s="163"/>
      <c r="DF406" s="163"/>
      <c r="DG406" s="163"/>
      <c r="DH406" s="163"/>
      <c r="DI406" s="163"/>
      <c r="DJ406" s="163"/>
      <c r="DK406" s="163"/>
      <c r="DL406" s="163"/>
      <c r="DM406" s="163"/>
      <c r="DN406" s="163"/>
      <c r="DO406" s="163"/>
      <c r="DP406" s="163"/>
      <c r="DQ406" s="163"/>
      <c r="DR406" s="163"/>
      <c r="DS406" s="163"/>
      <c r="DT406" s="163"/>
      <c r="DU406" s="163"/>
      <c r="DV406" s="163"/>
      <c r="DW406" s="163"/>
      <c r="DX406" s="163"/>
      <c r="DY406" s="163"/>
      <c r="DZ406" s="163"/>
      <c r="EA406" s="163"/>
      <c r="EB406" s="163"/>
      <c r="EC406" s="163"/>
      <c r="ED406" s="163"/>
      <c r="EE406" s="163"/>
      <c r="EF406" s="163"/>
      <c r="EG406" s="163"/>
      <c r="EH406" s="163"/>
      <c r="EI406" s="163"/>
      <c r="EJ406" s="163"/>
      <c r="EK406" s="163"/>
      <c r="EL406" s="163"/>
      <c r="EM406" s="163"/>
    </row>
    <row r="407" spans="1:143" s="334" customFormat="1" x14ac:dyDescent="0.2">
      <c r="A407" s="331" t="s">
        <v>298</v>
      </c>
      <c r="B407" s="342">
        <f>E381</f>
        <v>0.2</v>
      </c>
      <c r="C407" s="342">
        <f>ROUND(IF('Datu ievade'!$B$373='Datu ievade'!$B$374,(1+C387)*((SUM(C181:C189)+SUM(Aprekini!C19:C22))/('Datu ievade'!F265+'Datu ievade'!F273+'Datu ievade'!F280)),IF('Datu ievade'!$B$373='Datu ievade'!$B$375,(1+C387)*((SUM('Datu ievade'!C181:C189)+SUM(Aprekini!C19:C22))/('Datu ievade'!F265+'Datu ievade'!F273+'Datu ievade'!F280)),)),3)</f>
        <v>0.19500000000000001</v>
      </c>
      <c r="D407" s="342">
        <f>ROUND(IF('Datu ievade'!$B$373='Datu ievade'!$B$374,(1+D387)*((SUM(D181:D189)+SUM(Aprekini!D19:D22))/('Datu ievade'!G265+'Datu ievade'!G273+'Datu ievade'!G280)),IF('Datu ievade'!$B$373='Datu ievade'!$B$375,(1+D387)*((SUM('Datu ievade'!D181:D189)+SUM(Aprekini!D19:D22))/('Datu ievade'!G265+'Datu ievade'!G273+'Datu ievade'!G280)),)),3)</f>
        <v>0.20100000000000001</v>
      </c>
      <c r="E407" s="342">
        <f>ROUND(IF('Datu ievade'!$B$373='Datu ievade'!$B$374,(1+E387)*((SUM(E181:E189)+SUM(Aprekini!E19:E22))/('Datu ievade'!H265+'Datu ievade'!H273+'Datu ievade'!H280)),IF('Datu ievade'!$B$373='Datu ievade'!$B$375,(1+E387)*((SUM('Datu ievade'!E181:E189)+SUM(Aprekini!E19:E22))/('Datu ievade'!H265+'Datu ievade'!H273+'Datu ievade'!H280)),)),3)</f>
        <v>0.20599999999999999</v>
      </c>
      <c r="F407" s="342">
        <f>ROUND(IF('Datu ievade'!$B$373='Datu ievade'!$B$374,(1+F387)*((SUM(F181:F189)+SUM(Aprekini!F19:F22))/('Datu ievade'!I265+'Datu ievade'!I273+'Datu ievade'!I280)),IF('Datu ievade'!$B$373='Datu ievade'!$B$375,(1+F387)*((SUM('Datu ievade'!F181:F189)+SUM(Aprekini!F19:F22))/('Datu ievade'!I265+'Datu ievade'!I273+'Datu ievade'!I280)),)),3)</f>
        <v>0.20899999999999999</v>
      </c>
      <c r="G407" s="342">
        <f>ROUND(IF('Datu ievade'!$B$373='Datu ievade'!$B$374,(1+G387)*((SUM(G181:G189)+SUM(Aprekini!G19:G22))/('Datu ievade'!J265+'Datu ievade'!J273+'Datu ievade'!J280)),IF('Datu ievade'!$B$373='Datu ievade'!$B$375,(1+G387)*((SUM('Datu ievade'!G181:G189)+SUM(Aprekini!G19:G22))/('Datu ievade'!J265+'Datu ievade'!J273+'Datu ievade'!J280)),)),3)</f>
        <v>0.21299999999999999</v>
      </c>
      <c r="H407" s="342">
        <f>ROUND(IF('Datu ievade'!$B$373='Datu ievade'!$B$374,(1+H387)*((SUM(H181:H189)+SUM(Aprekini!H19:H22))/('Datu ievade'!K265+'Datu ievade'!K273+'Datu ievade'!K280)),IF('Datu ievade'!$B$373='Datu ievade'!$B$375,(1+H387)*((SUM('Datu ievade'!H181:H189)+SUM(Aprekini!H19:H22))/('Datu ievade'!K265+'Datu ievade'!K273+'Datu ievade'!K280)),)),3)</f>
        <v>0.216</v>
      </c>
      <c r="I407" s="342">
        <f>ROUND(IF('Datu ievade'!$B$373='Datu ievade'!$B$374,(1+I387)*((SUM(I181:I189)+SUM(Aprekini!I19:I22))/('Datu ievade'!L265+'Datu ievade'!L273+'Datu ievade'!L280)),IF('Datu ievade'!$B$373='Datu ievade'!$B$375,(1+I387)*((SUM('Datu ievade'!I181:I189)+SUM(Aprekini!I19:I22))/('Datu ievade'!L265+'Datu ievade'!L273+'Datu ievade'!L280)),)),3)</f>
        <v>0.22</v>
      </c>
      <c r="J407" s="342">
        <f>ROUND(IF('Datu ievade'!$B$373='Datu ievade'!$B$374,(1+J387)*((SUM(J181:J189)+SUM(Aprekini!J19:J22))/('Datu ievade'!M265+'Datu ievade'!M273+'Datu ievade'!M280)),IF('Datu ievade'!$B$373='Datu ievade'!$B$375,(1+J387)*((SUM('Datu ievade'!J181:J189)+SUM(Aprekini!J19:J22))/('Datu ievade'!M265+'Datu ievade'!M273+'Datu ievade'!M280)),)),3)</f>
        <v>0.223</v>
      </c>
      <c r="K407" s="342">
        <f>ROUND(IF('Datu ievade'!$B$373='Datu ievade'!$B$374,(1+K387)*((SUM(K181:K189)+SUM(Aprekini!K19:K22))/('Datu ievade'!N265+'Datu ievade'!N273+'Datu ievade'!N280)),IF('Datu ievade'!$B$373='Datu ievade'!$B$375,(1+K387)*((SUM('Datu ievade'!K181:K189)+SUM(Aprekini!K19:K22))/('Datu ievade'!N265+'Datu ievade'!N273+'Datu ievade'!N280)),)),3)</f>
        <v>0.22700000000000001</v>
      </c>
      <c r="L407" s="342">
        <f>ROUND(IF('Datu ievade'!$B$373='Datu ievade'!$B$374,(1+L387)*((SUM(L181:L189)+SUM(Aprekini!L19:L22))/('Datu ievade'!O265+'Datu ievade'!O273+'Datu ievade'!O280)),IF('Datu ievade'!$B$373='Datu ievade'!$B$375,(1+L387)*((SUM('Datu ievade'!L181:L189)+SUM(Aprekini!L19:L22))/('Datu ievade'!O265+'Datu ievade'!O273+'Datu ievade'!O280)),)),3)</f>
        <v>0.23</v>
      </c>
      <c r="M407" s="342">
        <f>ROUND(IF('Datu ievade'!$B$373='Datu ievade'!$B$374,(1+M387)*((SUM(M181:M189)+SUM(Aprekini!M19:M22))/('Datu ievade'!P265+'Datu ievade'!P273+'Datu ievade'!P280)),IF('Datu ievade'!$B$373='Datu ievade'!$B$375,(1+M387)*((SUM('Datu ievade'!M181:M189)+SUM(Aprekini!M19:M22))/('Datu ievade'!P265+'Datu ievade'!P273+'Datu ievade'!P280)),)),3)</f>
        <v>0.23300000000000001</v>
      </c>
      <c r="N407" s="342">
        <f>ROUND(IF('Datu ievade'!$B$373='Datu ievade'!$B$374,(1+N387)*((SUM(N181:N189)+SUM(Aprekini!N19:N22))/('Datu ievade'!Q265+'Datu ievade'!Q273+'Datu ievade'!Q280)),IF('Datu ievade'!$B$373='Datu ievade'!$B$375,(1+N387)*((SUM('Datu ievade'!N181:N189)+SUM(Aprekini!N19:N22))/('Datu ievade'!Q265+'Datu ievade'!Q273+'Datu ievade'!Q280)),)),3)</f>
        <v>0.23799999999999999</v>
      </c>
      <c r="O407" s="342">
        <f>ROUND(IF('Datu ievade'!$B$373='Datu ievade'!$B$374,(1+O387)*((SUM(O181:O189)+SUM(Aprekini!O19:O22))/('Datu ievade'!R265+'Datu ievade'!R273+'Datu ievade'!R280)),IF('Datu ievade'!$B$373='Datu ievade'!$B$375,(1+O387)*((SUM('Datu ievade'!O181:O189)+SUM(Aprekini!O19:O22))/('Datu ievade'!R265+'Datu ievade'!R273+'Datu ievade'!R280)),)),3)</f>
        <v>0.24299999999999999</v>
      </c>
      <c r="P407" s="342">
        <f>ROUND(IF('Datu ievade'!$B$373='Datu ievade'!$B$374,(1+P387)*((SUM(P181:P189)+SUM(Aprekini!P19:P22))/('Datu ievade'!S265+'Datu ievade'!S273+'Datu ievade'!S280)),IF('Datu ievade'!$B$373='Datu ievade'!$B$375,(1+P387)*((SUM('Datu ievade'!P181:P189)+SUM(Aprekini!P19:P22))/('Datu ievade'!S265+'Datu ievade'!S273+'Datu ievade'!S280)),)),3)</f>
        <v>0.248</v>
      </c>
      <c r="Q407" s="342">
        <f>ROUND(IF('Datu ievade'!$B$373='Datu ievade'!$B$374,(1+Q387)*((SUM(Q181:Q189)+SUM(Aprekini!Q19:Q22))/('Datu ievade'!T265+'Datu ievade'!T273+'Datu ievade'!T280)),IF('Datu ievade'!$B$373='Datu ievade'!$B$375,(1+Q387)*((SUM('Datu ievade'!Q181:Q189)+SUM(Aprekini!Q19:Q22))/('Datu ievade'!T265+'Datu ievade'!T273+'Datu ievade'!T280)),)),3)</f>
        <v>0.249</v>
      </c>
      <c r="R407" s="342">
        <f>ROUND(IF('Datu ievade'!$B$373='Datu ievade'!$B$374,(1+R387)*((SUM(R181:R189)+SUM(Aprekini!R19:R22))/('Datu ievade'!U265+'Datu ievade'!U273+'Datu ievade'!U280)),IF('Datu ievade'!$B$373='Datu ievade'!$B$375,(1+R387)*((SUM('Datu ievade'!R181:R189)+SUM(Aprekini!R19:R22))/('Datu ievade'!U265+'Datu ievade'!U273+'Datu ievade'!U280)),)),3)</f>
        <v>0.254</v>
      </c>
      <c r="S407" s="342">
        <f>ROUND(IF('Datu ievade'!$B$373='Datu ievade'!$B$374,(1+S387)*((SUM(S181:S189)+SUM(Aprekini!S19:S22))/('Datu ievade'!V265+'Datu ievade'!V273+'Datu ievade'!V280)),IF('Datu ievade'!$B$373='Datu ievade'!$B$375,(1+S387)*((SUM('Datu ievade'!S181:S189)+SUM(Aprekini!S19:S22))/('Datu ievade'!V265+'Datu ievade'!V273+'Datu ievade'!V280)),)),3)</f>
        <v>0.25900000000000001</v>
      </c>
      <c r="T407" s="342">
        <f>ROUND(IF('Datu ievade'!$B$373='Datu ievade'!$B$374,(1+T387)*((SUM(T181:T189)+SUM(Aprekini!T19:T22))/('Datu ievade'!W265+'Datu ievade'!W273+'Datu ievade'!W280)),IF('Datu ievade'!$B$373='Datu ievade'!$B$375,(1+T387)*((SUM('Datu ievade'!T181:T189)+SUM(Aprekini!T19:T22))/('Datu ievade'!W265+'Datu ievade'!W273+'Datu ievade'!W280)),)),3)</f>
        <v>0.26400000000000001</v>
      </c>
      <c r="U407" s="342">
        <f>ROUND(IF('Datu ievade'!$B$373='Datu ievade'!$B$374,(1+U387)*((SUM(U181:U189)+SUM(Aprekini!U19:U22))/('Datu ievade'!X265+'Datu ievade'!X273+'Datu ievade'!X280)),IF('Datu ievade'!$B$373='Datu ievade'!$B$375,(1+U387)*((SUM('Datu ievade'!U181:U189)+SUM(Aprekini!U19:U22))/('Datu ievade'!X265+'Datu ievade'!X273+'Datu ievade'!X280)),)),3)</f>
        <v>0.26900000000000002</v>
      </c>
      <c r="V407" s="342">
        <f>ROUND(IF('Datu ievade'!$B$373='Datu ievade'!$B$374,(1+V387)*((SUM(V181:V189)+SUM(Aprekini!V19:V22))/('Datu ievade'!Y265+'Datu ievade'!Y273+'Datu ievade'!Y280)),IF('Datu ievade'!$B$373='Datu ievade'!$B$375,(1+V387)*((SUM('Datu ievade'!V181:V189)+SUM(Aprekini!V19:V22))/('Datu ievade'!Y265+'Datu ievade'!Y273+'Datu ievade'!Y280)),)),3)</f>
        <v>0.27500000000000002</v>
      </c>
      <c r="W407" s="342">
        <f>ROUND(IF('Datu ievade'!$B$373='Datu ievade'!$B$374,(1+W387)*((SUM(W181:W189)+SUM(Aprekini!W19:W22))/('Datu ievade'!Z265+'Datu ievade'!Z273+'Datu ievade'!Z280)),IF('Datu ievade'!$B$373='Datu ievade'!$B$375,(1+W387)*((SUM('Datu ievade'!W181:W189)+SUM(Aprekini!W19:W22))/('Datu ievade'!Z265+'Datu ievade'!Z273+'Datu ievade'!Z280)),)),3)</f>
        <v>0.28000000000000003</v>
      </c>
      <c r="X407" s="342">
        <f>ROUND(IF('Datu ievade'!$B$373='Datu ievade'!$B$374,(1+X387)*((SUM(X181:X189)+SUM(Aprekini!X19:X22))/('Datu ievade'!AA265+'Datu ievade'!AA273+'Datu ievade'!AA280)),IF('Datu ievade'!$B$373='Datu ievade'!$B$375,(1+X387)*((SUM('Datu ievade'!X181:X189)+SUM(Aprekini!X19:X22))/('Datu ievade'!AA265+'Datu ievade'!AA273+'Datu ievade'!AA280)),)),3)</f>
        <v>0.28499999999999998</v>
      </c>
      <c r="Y407" s="342">
        <f>ROUND(IF('Datu ievade'!$B$373='Datu ievade'!$B$374,(1+Y387)*((SUM(Y181:Y189)+SUM(Aprekini!Y19:Y22))/('Datu ievade'!AB265+'Datu ievade'!AB273+'Datu ievade'!AB280)),IF('Datu ievade'!$B$373='Datu ievade'!$B$375,(1+Y387)*((SUM('Datu ievade'!Y181:Y189)+SUM(Aprekini!Y19:Y22))/('Datu ievade'!AB265+'Datu ievade'!AB273+'Datu ievade'!AB280)),)),3)</f>
        <v>0.28999999999999998</v>
      </c>
      <c r="Z407" s="342">
        <f>ROUND(IF('Datu ievade'!$B$373='Datu ievade'!$B$374,(1+Z387)*((SUM(Z181:Z189)+SUM(Aprekini!Z19:Z22))/('Datu ievade'!AC265+'Datu ievade'!AC273+'Datu ievade'!AC280)),IF('Datu ievade'!$B$373='Datu ievade'!$B$375,(1+Z387)*((SUM('Datu ievade'!Z181:Z189)+SUM(Aprekini!Z19:Z22))/('Datu ievade'!AC265+'Datu ievade'!AC273+'Datu ievade'!AC280)),)),3)</f>
        <v>0.29499999999999998</v>
      </c>
      <c r="AA407" s="342">
        <f>ROUND(IF('Datu ievade'!$B$373='Datu ievade'!$B$374,(1+AA387)*((SUM(AA181:AA189)+SUM(Aprekini!AA19:AA22))/('Datu ievade'!AD265+'Datu ievade'!AD273+'Datu ievade'!AD280)),IF('Datu ievade'!$B$373='Datu ievade'!$B$375,(1+AA387)*((SUM('Datu ievade'!AA181:AA189)+SUM(Aprekini!AA19:AA22))/('Datu ievade'!AD265+'Datu ievade'!AD273+'Datu ievade'!AD280)),)),3)</f>
        <v>0.30099999999999999</v>
      </c>
      <c r="AB407" s="342">
        <f>ROUND(IF('Datu ievade'!$B$373='Datu ievade'!$B$374,(1+AB387)*((SUM(AB181:AB189)+SUM(Aprekini!AB19:AB22))/('Datu ievade'!AE265+'Datu ievade'!AE273+'Datu ievade'!AE280)),IF('Datu ievade'!$B$373='Datu ievade'!$B$375,(1+AB387)*((SUM('Datu ievade'!AB181:AB189)+SUM(Aprekini!AB19:AB22))/('Datu ievade'!AE265+'Datu ievade'!AE273+'Datu ievade'!AE280)),)),3)</f>
        <v>0.30599999999999999</v>
      </c>
      <c r="AC407" s="342">
        <f>ROUND(IF('Datu ievade'!$B$373='Datu ievade'!$B$374,(1+AC387)*((SUM(AC181:AC189)+SUM(Aprekini!AC19:AC22))/('Datu ievade'!AF265+'Datu ievade'!AF273+'Datu ievade'!AF280)),IF('Datu ievade'!$B$373='Datu ievade'!$B$375,(1+AC387)*((SUM('Datu ievade'!AC181:AC189)+SUM(Aprekini!AC19:AC22))/('Datu ievade'!AF265+'Datu ievade'!AF273+'Datu ievade'!AF280)),)),3)</f>
        <v>0.311</v>
      </c>
      <c r="AD407" s="342">
        <f>ROUND(IF('Datu ievade'!$B$373='Datu ievade'!$B$374,(1+AD387)*((SUM(AD181:AD189)+SUM(Aprekini!AD19:AD22))/('Datu ievade'!AG265+'Datu ievade'!AG273+'Datu ievade'!AG280)),IF('Datu ievade'!$B$373='Datu ievade'!$B$375,(1+AD387)*((SUM('Datu ievade'!AD181:AD189)+SUM(Aprekini!AD19:AD22))/('Datu ievade'!AG265+'Datu ievade'!AG273+'Datu ievade'!AG280)),)),3)</f>
        <v>0.316</v>
      </c>
      <c r="AE407" s="342">
        <f>ROUND(IF('Datu ievade'!$B$373='Datu ievade'!$B$374,(1+AE387)*((SUM(AE181:AE189)+SUM(Aprekini!AE19:AE22))/('Datu ievade'!AH265+'Datu ievade'!AH273+'Datu ievade'!AH280)),IF('Datu ievade'!$B$373='Datu ievade'!$B$375,(1+AE387)*((SUM('Datu ievade'!AE181:AE189)+SUM(Aprekini!AE19:AE22))/('Datu ievade'!AH265+'Datu ievade'!AH273+'Datu ievade'!AH280)),)),3)</f>
        <v>0.32200000000000001</v>
      </c>
      <c r="AF407" s="342">
        <f>ROUND(IF('Datu ievade'!$B$373='Datu ievade'!$B$374,(1+AF387)*((SUM(AF181:AF189)+SUM(Aprekini!AF19:AF22))/('Datu ievade'!AI265+'Datu ievade'!AI273+'Datu ievade'!AI280)),IF('Datu ievade'!$B$373='Datu ievade'!$B$375,(1+AF387)*((SUM('Datu ievade'!AF181:AF189)+SUM(Aprekini!AF19:AF22))/('Datu ievade'!AI265+'Datu ievade'!AI273+'Datu ievade'!AI280)),)),3)</f>
        <v>0.32900000000000001</v>
      </c>
      <c r="AG407" s="342">
        <f>ROUND(IF('Datu ievade'!$B$373='Datu ievade'!$B$374,(1+AG387)*((SUM(AG181:AG189)+SUM(Aprekini!AG19:AG22))/('Datu ievade'!AJ265+'Datu ievade'!AJ273+'Datu ievade'!AJ280)),IF('Datu ievade'!$B$373='Datu ievade'!$B$375,(1+AG387)*((SUM('Datu ievade'!AG181:AG189)+SUM(Aprekini!AG19:AG22))/('Datu ievade'!AJ265+'Datu ievade'!AJ273+'Datu ievade'!AJ280)),)),3)</f>
        <v>0.32900000000000001</v>
      </c>
      <c r="AH407" s="342">
        <f>ROUND(IF('Datu ievade'!$B$373='Datu ievade'!$B$374,(1+AH387)*((SUM(AH181:AH189)+SUM(Aprekini!AH19:AH22))/('Datu ievade'!AK265+'Datu ievade'!AK273+'Datu ievade'!AK280)),IF('Datu ievade'!$B$373='Datu ievade'!$B$375,(1+AH387)*((SUM('Datu ievade'!AH181:AH189)+SUM(Aprekini!AH19:AH22))/('Datu ievade'!AK265+'Datu ievade'!AK273+'Datu ievade'!AK280)),)),3)</f>
        <v>0.32900000000000001</v>
      </c>
      <c r="AI407" s="60"/>
      <c r="AJ407" s="60"/>
      <c r="AK407" s="163"/>
      <c r="AL407" s="163"/>
      <c r="AM407" s="163"/>
      <c r="AN407" s="163"/>
      <c r="AO407" s="163"/>
      <c r="AP407" s="163"/>
      <c r="AQ407" s="163"/>
      <c r="AR407" s="163"/>
      <c r="AS407" s="163"/>
      <c r="AT407" s="163"/>
      <c r="AU407" s="163"/>
      <c r="AV407" s="163"/>
      <c r="AW407" s="163"/>
      <c r="AX407" s="163"/>
      <c r="AY407" s="163"/>
      <c r="AZ407" s="163"/>
      <c r="BA407" s="163"/>
      <c r="BB407" s="163"/>
      <c r="BC407" s="163"/>
      <c r="BD407" s="163"/>
      <c r="BE407" s="163"/>
      <c r="BF407" s="163"/>
      <c r="BG407" s="163"/>
      <c r="BH407" s="163"/>
      <c r="BI407" s="163"/>
      <c r="BJ407" s="163"/>
      <c r="BK407" s="163"/>
      <c r="BL407" s="163"/>
      <c r="BM407" s="163"/>
      <c r="BN407" s="163"/>
      <c r="BO407" s="163"/>
      <c r="BP407" s="163"/>
      <c r="BQ407" s="163"/>
      <c r="BR407" s="163"/>
      <c r="BS407" s="163"/>
      <c r="BT407" s="163"/>
      <c r="BU407" s="163"/>
      <c r="BV407" s="163"/>
      <c r="BW407" s="163"/>
      <c r="BX407" s="163"/>
      <c r="BY407" s="163"/>
      <c r="BZ407" s="163"/>
      <c r="CA407" s="163"/>
      <c r="CB407" s="163"/>
      <c r="CC407" s="163"/>
      <c r="CD407" s="163"/>
      <c r="CE407" s="163"/>
      <c r="CF407" s="163"/>
      <c r="CG407" s="163"/>
      <c r="CH407" s="163"/>
      <c r="CI407" s="163"/>
      <c r="CJ407" s="163"/>
      <c r="CK407" s="163"/>
      <c r="CL407" s="163"/>
      <c r="CM407" s="163"/>
      <c r="CN407" s="163"/>
      <c r="CO407" s="163"/>
      <c r="CP407" s="163"/>
      <c r="CQ407" s="163"/>
      <c r="CR407" s="163"/>
      <c r="CS407" s="163"/>
      <c r="CT407" s="163"/>
      <c r="CU407" s="163"/>
      <c r="CV407" s="163"/>
      <c r="CW407" s="163"/>
      <c r="CX407" s="163"/>
      <c r="CY407" s="163"/>
      <c r="CZ407" s="163"/>
      <c r="DA407" s="163"/>
      <c r="DB407" s="163"/>
      <c r="DC407" s="163"/>
      <c r="DD407" s="163"/>
      <c r="DE407" s="163"/>
      <c r="DF407" s="163"/>
      <c r="DG407" s="163"/>
      <c r="DH407" s="163"/>
      <c r="DI407" s="163"/>
      <c r="DJ407" s="163"/>
      <c r="DK407" s="163"/>
      <c r="DL407" s="163"/>
      <c r="DM407" s="163"/>
      <c r="DN407" s="163"/>
      <c r="DO407" s="163"/>
      <c r="DP407" s="163"/>
      <c r="DQ407" s="163"/>
      <c r="DR407" s="163"/>
      <c r="DS407" s="163"/>
      <c r="DT407" s="163"/>
      <c r="DU407" s="163"/>
      <c r="DV407" s="163"/>
      <c r="DW407" s="163"/>
      <c r="DX407" s="163"/>
      <c r="DY407" s="163"/>
      <c r="DZ407" s="163"/>
      <c r="EA407" s="163"/>
      <c r="EB407" s="163"/>
      <c r="EC407" s="163"/>
      <c r="ED407" s="163"/>
      <c r="EE407" s="163"/>
      <c r="EF407" s="163"/>
      <c r="EG407" s="163"/>
      <c r="EH407" s="163"/>
      <c r="EI407" s="163"/>
      <c r="EJ407" s="163"/>
      <c r="EK407" s="163"/>
      <c r="EL407" s="163"/>
      <c r="EM407" s="163"/>
    </row>
    <row r="408" spans="1:143" s="334" customFormat="1" x14ac:dyDescent="0.2">
      <c r="A408" s="331" t="s">
        <v>299</v>
      </c>
      <c r="B408" s="333"/>
      <c r="C408" s="333">
        <f>C407-B407</f>
        <v>-5.0000000000000044E-3</v>
      </c>
      <c r="D408" s="333">
        <f t="shared" ref="D408:AG408" si="91">D407-C407</f>
        <v>6.0000000000000053E-3</v>
      </c>
      <c r="E408" s="333">
        <f t="shared" si="91"/>
        <v>4.9999999999999767E-3</v>
      </c>
      <c r="F408" s="333">
        <f t="shared" si="91"/>
        <v>3.0000000000000027E-3</v>
      </c>
      <c r="G408" s="333">
        <f t="shared" si="91"/>
        <v>4.0000000000000036E-3</v>
      </c>
      <c r="H408" s="333">
        <f t="shared" si="91"/>
        <v>3.0000000000000027E-3</v>
      </c>
      <c r="I408" s="333">
        <f t="shared" si="91"/>
        <v>4.0000000000000036E-3</v>
      </c>
      <c r="J408" s="333">
        <f t="shared" si="91"/>
        <v>3.0000000000000027E-3</v>
      </c>
      <c r="K408" s="333">
        <f t="shared" si="91"/>
        <v>4.0000000000000036E-3</v>
      </c>
      <c r="L408" s="333">
        <f t="shared" si="91"/>
        <v>3.0000000000000027E-3</v>
      </c>
      <c r="M408" s="333">
        <f t="shared" si="91"/>
        <v>3.0000000000000027E-3</v>
      </c>
      <c r="N408" s="333">
        <f t="shared" si="91"/>
        <v>4.9999999999999767E-3</v>
      </c>
      <c r="O408" s="333">
        <f t="shared" si="91"/>
        <v>5.0000000000000044E-3</v>
      </c>
      <c r="P408" s="333">
        <f t="shared" si="91"/>
        <v>5.0000000000000044E-3</v>
      </c>
      <c r="Q408" s="333">
        <f t="shared" si="91"/>
        <v>1.0000000000000009E-3</v>
      </c>
      <c r="R408" s="333">
        <f t="shared" si="91"/>
        <v>5.0000000000000044E-3</v>
      </c>
      <c r="S408" s="333">
        <f t="shared" si="91"/>
        <v>5.0000000000000044E-3</v>
      </c>
      <c r="T408" s="333">
        <f t="shared" si="91"/>
        <v>5.0000000000000044E-3</v>
      </c>
      <c r="U408" s="333">
        <f t="shared" si="91"/>
        <v>5.0000000000000044E-3</v>
      </c>
      <c r="V408" s="333">
        <f t="shared" si="91"/>
        <v>6.0000000000000053E-3</v>
      </c>
      <c r="W408" s="333">
        <f t="shared" si="91"/>
        <v>5.0000000000000044E-3</v>
      </c>
      <c r="X408" s="333">
        <f t="shared" si="91"/>
        <v>4.9999999999999489E-3</v>
      </c>
      <c r="Y408" s="333">
        <f t="shared" si="91"/>
        <v>5.0000000000000044E-3</v>
      </c>
      <c r="Z408" s="333">
        <f t="shared" si="91"/>
        <v>5.0000000000000044E-3</v>
      </c>
      <c r="AA408" s="333">
        <f t="shared" si="91"/>
        <v>6.0000000000000053E-3</v>
      </c>
      <c r="AB408" s="333">
        <f t="shared" si="91"/>
        <v>5.0000000000000044E-3</v>
      </c>
      <c r="AC408" s="333">
        <f t="shared" si="91"/>
        <v>5.0000000000000044E-3</v>
      </c>
      <c r="AD408" s="333">
        <f t="shared" si="91"/>
        <v>5.0000000000000044E-3</v>
      </c>
      <c r="AE408" s="333">
        <f t="shared" si="91"/>
        <v>6.0000000000000053E-3</v>
      </c>
      <c r="AF408" s="333">
        <f t="shared" si="91"/>
        <v>7.0000000000000062E-3</v>
      </c>
      <c r="AG408" s="333">
        <f t="shared" si="91"/>
        <v>0</v>
      </c>
      <c r="AH408" s="333">
        <f>AH407-AG407</f>
        <v>0</v>
      </c>
      <c r="AI408" s="60"/>
      <c r="AJ408" s="60"/>
      <c r="AK408" s="163"/>
      <c r="AL408" s="163"/>
      <c r="AM408" s="163"/>
      <c r="AN408" s="163"/>
      <c r="AO408" s="163"/>
      <c r="AP408" s="163"/>
      <c r="AQ408" s="163"/>
      <c r="AR408" s="163"/>
      <c r="AS408" s="163"/>
      <c r="AT408" s="163"/>
      <c r="AU408" s="163"/>
      <c r="AV408" s="163"/>
      <c r="AW408" s="163"/>
      <c r="AX408" s="163"/>
      <c r="AY408" s="163"/>
      <c r="AZ408" s="163"/>
      <c r="BA408" s="163"/>
      <c r="BB408" s="163"/>
      <c r="BC408" s="163"/>
      <c r="BD408" s="163"/>
      <c r="BE408" s="163"/>
      <c r="BF408" s="163"/>
      <c r="BG408" s="163"/>
      <c r="BH408" s="163"/>
      <c r="BI408" s="163"/>
      <c r="BJ408" s="163"/>
      <c r="BK408" s="163"/>
      <c r="BL408" s="163"/>
      <c r="BM408" s="163"/>
      <c r="BN408" s="163"/>
      <c r="BO408" s="163"/>
      <c r="BP408" s="163"/>
      <c r="BQ408" s="163"/>
      <c r="BR408" s="163"/>
      <c r="BS408" s="163"/>
      <c r="BT408" s="163"/>
      <c r="BU408" s="163"/>
      <c r="BV408" s="163"/>
      <c r="BW408" s="163"/>
      <c r="BX408" s="163"/>
      <c r="BY408" s="163"/>
      <c r="BZ408" s="163"/>
      <c r="CA408" s="163"/>
      <c r="CB408" s="163"/>
      <c r="CC408" s="163"/>
      <c r="CD408" s="163"/>
      <c r="CE408" s="163"/>
      <c r="CF408" s="163"/>
      <c r="CG408" s="163"/>
      <c r="CH408" s="163"/>
      <c r="CI408" s="163"/>
      <c r="CJ408" s="163"/>
      <c r="CK408" s="163"/>
      <c r="CL408" s="163"/>
      <c r="CM408" s="163"/>
      <c r="CN408" s="163"/>
      <c r="CO408" s="163"/>
      <c r="CP408" s="163"/>
      <c r="CQ408" s="163"/>
      <c r="CR408" s="163"/>
      <c r="CS408" s="163"/>
      <c r="CT408" s="163"/>
      <c r="CU408" s="163"/>
      <c r="CV408" s="163"/>
      <c r="CW408" s="163"/>
      <c r="CX408" s="163"/>
      <c r="CY408" s="163"/>
      <c r="CZ408" s="163"/>
      <c r="DA408" s="163"/>
      <c r="DB408" s="163"/>
      <c r="DC408" s="163"/>
      <c r="DD408" s="163"/>
      <c r="DE408" s="163"/>
      <c r="DF408" s="163"/>
      <c r="DG408" s="163"/>
      <c r="DH408" s="163"/>
      <c r="DI408" s="163"/>
      <c r="DJ408" s="163"/>
      <c r="DK408" s="163"/>
      <c r="DL408" s="163"/>
      <c r="DM408" s="163"/>
      <c r="DN408" s="163"/>
      <c r="DO408" s="163"/>
      <c r="DP408" s="163"/>
      <c r="DQ408" s="163"/>
      <c r="DR408" s="163"/>
      <c r="DS408" s="163"/>
      <c r="DT408" s="163"/>
      <c r="DU408" s="163"/>
      <c r="DV408" s="163"/>
      <c r="DW408" s="163"/>
      <c r="DX408" s="163"/>
      <c r="DY408" s="163"/>
      <c r="DZ408" s="163"/>
      <c r="EA408" s="163"/>
      <c r="EB408" s="163"/>
      <c r="EC408" s="163"/>
      <c r="ED408" s="163"/>
      <c r="EE408" s="163"/>
      <c r="EF408" s="163"/>
      <c r="EG408" s="163"/>
      <c r="EH408" s="163"/>
      <c r="EI408" s="163"/>
      <c r="EJ408" s="163"/>
      <c r="EK408" s="163"/>
      <c r="EL408" s="163"/>
      <c r="EM408" s="163"/>
    </row>
    <row r="409" spans="1:143" s="334" customFormat="1" x14ac:dyDescent="0.2">
      <c r="A409" s="335"/>
      <c r="B409" s="333"/>
      <c r="C409" s="333"/>
      <c r="D409" s="333"/>
      <c r="E409" s="333"/>
      <c r="F409" s="333"/>
      <c r="G409" s="333"/>
      <c r="H409" s="333"/>
      <c r="I409" s="333"/>
      <c r="J409" s="333"/>
      <c r="K409" s="333"/>
      <c r="L409" s="333"/>
      <c r="M409" s="333"/>
      <c r="N409" s="333"/>
      <c r="O409" s="333"/>
      <c r="P409" s="333"/>
      <c r="Q409" s="333"/>
      <c r="R409" s="333"/>
      <c r="S409" s="333"/>
      <c r="T409" s="333"/>
      <c r="U409" s="333"/>
      <c r="V409" s="333"/>
      <c r="W409" s="333"/>
      <c r="X409" s="333"/>
      <c r="Y409" s="333"/>
      <c r="Z409" s="333"/>
      <c r="AA409" s="333"/>
      <c r="AB409" s="333"/>
      <c r="AC409" s="333"/>
      <c r="AD409" s="333"/>
      <c r="AE409" s="333"/>
      <c r="AF409" s="333"/>
      <c r="AG409" s="333"/>
      <c r="AH409" s="333"/>
      <c r="AI409" s="60"/>
      <c r="AJ409" s="60"/>
      <c r="AK409" s="163"/>
      <c r="AL409" s="163"/>
      <c r="AM409" s="163"/>
      <c r="AN409" s="163"/>
      <c r="AO409" s="163"/>
      <c r="AP409" s="163"/>
      <c r="AQ409" s="163"/>
      <c r="AR409" s="163"/>
      <c r="AS409" s="163"/>
      <c r="AT409" s="163"/>
      <c r="AU409" s="163"/>
      <c r="AV409" s="163"/>
      <c r="AW409" s="163"/>
      <c r="AX409" s="163"/>
      <c r="AY409" s="163"/>
      <c r="AZ409" s="163"/>
      <c r="BA409" s="163"/>
      <c r="BB409" s="163"/>
      <c r="BC409" s="163"/>
      <c r="BD409" s="163"/>
      <c r="BE409" s="163"/>
      <c r="BF409" s="163"/>
      <c r="BG409" s="163"/>
      <c r="BH409" s="163"/>
      <c r="BI409" s="163"/>
      <c r="BJ409" s="163"/>
      <c r="BK409" s="163"/>
      <c r="BL409" s="163"/>
      <c r="BM409" s="163"/>
      <c r="BN409" s="163"/>
      <c r="BO409" s="163"/>
      <c r="BP409" s="163"/>
      <c r="BQ409" s="163"/>
      <c r="BR409" s="163"/>
      <c r="BS409" s="163"/>
      <c r="BT409" s="163"/>
      <c r="BU409" s="163"/>
      <c r="BV409" s="163"/>
      <c r="BW409" s="163"/>
      <c r="BX409" s="163"/>
      <c r="BY409" s="163"/>
      <c r="BZ409" s="163"/>
      <c r="CA409" s="163"/>
      <c r="CB409" s="163"/>
      <c r="CC409" s="163"/>
      <c r="CD409" s="163"/>
      <c r="CE409" s="163"/>
      <c r="CF409" s="163"/>
      <c r="CG409" s="163"/>
      <c r="CH409" s="163"/>
      <c r="CI409" s="163"/>
      <c r="CJ409" s="163"/>
      <c r="CK409" s="163"/>
      <c r="CL409" s="163"/>
      <c r="CM409" s="163"/>
      <c r="CN409" s="163"/>
      <c r="CO409" s="163"/>
      <c r="CP409" s="163"/>
      <c r="CQ409" s="163"/>
      <c r="CR409" s="163"/>
      <c r="CS409" s="163"/>
      <c r="CT409" s="163"/>
      <c r="CU409" s="163"/>
      <c r="CV409" s="163"/>
      <c r="CW409" s="163"/>
      <c r="CX409" s="163"/>
      <c r="CY409" s="163"/>
      <c r="CZ409" s="163"/>
      <c r="DA409" s="163"/>
      <c r="DB409" s="163"/>
      <c r="DC409" s="163"/>
      <c r="DD409" s="163"/>
      <c r="DE409" s="163"/>
      <c r="DF409" s="163"/>
      <c r="DG409" s="163"/>
      <c r="DH409" s="163"/>
      <c r="DI409" s="163"/>
      <c r="DJ409" s="163"/>
      <c r="DK409" s="163"/>
      <c r="DL409" s="163"/>
      <c r="DM409" s="163"/>
      <c r="DN409" s="163"/>
      <c r="DO409" s="163"/>
      <c r="DP409" s="163"/>
      <c r="DQ409" s="163"/>
      <c r="DR409" s="163"/>
      <c r="DS409" s="163"/>
      <c r="DT409" s="163"/>
      <c r="DU409" s="163"/>
      <c r="DV409" s="163"/>
      <c r="DW409" s="163"/>
      <c r="DX409" s="163"/>
      <c r="DY409" s="163"/>
      <c r="DZ409" s="163"/>
      <c r="EA409" s="163"/>
      <c r="EB409" s="163"/>
      <c r="EC409" s="163"/>
      <c r="ED409" s="163"/>
      <c r="EE409" s="163"/>
      <c r="EF409" s="163"/>
      <c r="EG409" s="163"/>
      <c r="EH409" s="163"/>
      <c r="EI409" s="163"/>
      <c r="EJ409" s="163"/>
      <c r="EK409" s="163"/>
      <c r="EL409" s="163"/>
      <c r="EM409" s="163"/>
    </row>
    <row r="410" spans="1:143" s="334" customFormat="1" x14ac:dyDescent="0.2">
      <c r="A410" s="331" t="s">
        <v>290</v>
      </c>
      <c r="B410" s="333">
        <f>B407</f>
        <v>0.2</v>
      </c>
      <c r="C410" s="333">
        <f t="shared" ref="C410:AG410" si="92">C407</f>
        <v>0.19500000000000001</v>
      </c>
      <c r="D410" s="333">
        <f t="shared" si="92"/>
        <v>0.20100000000000001</v>
      </c>
      <c r="E410" s="333">
        <f t="shared" si="92"/>
        <v>0.20599999999999999</v>
      </c>
      <c r="F410" s="333">
        <f t="shared" si="92"/>
        <v>0.20899999999999999</v>
      </c>
      <c r="G410" s="333">
        <f t="shared" si="92"/>
        <v>0.21299999999999999</v>
      </c>
      <c r="H410" s="333">
        <f t="shared" si="92"/>
        <v>0.216</v>
      </c>
      <c r="I410" s="333">
        <f t="shared" si="92"/>
        <v>0.22</v>
      </c>
      <c r="J410" s="333">
        <f t="shared" si="92"/>
        <v>0.223</v>
      </c>
      <c r="K410" s="333">
        <f t="shared" si="92"/>
        <v>0.22700000000000001</v>
      </c>
      <c r="L410" s="333">
        <f t="shared" si="92"/>
        <v>0.23</v>
      </c>
      <c r="M410" s="333">
        <f t="shared" si="92"/>
        <v>0.23300000000000001</v>
      </c>
      <c r="N410" s="333">
        <f t="shared" si="92"/>
        <v>0.23799999999999999</v>
      </c>
      <c r="O410" s="333">
        <f t="shared" si="92"/>
        <v>0.24299999999999999</v>
      </c>
      <c r="P410" s="333">
        <f t="shared" si="92"/>
        <v>0.248</v>
      </c>
      <c r="Q410" s="333">
        <f t="shared" si="92"/>
        <v>0.249</v>
      </c>
      <c r="R410" s="333">
        <f t="shared" si="92"/>
        <v>0.254</v>
      </c>
      <c r="S410" s="333">
        <f t="shared" si="92"/>
        <v>0.25900000000000001</v>
      </c>
      <c r="T410" s="333">
        <f t="shared" si="92"/>
        <v>0.26400000000000001</v>
      </c>
      <c r="U410" s="333">
        <f t="shared" si="92"/>
        <v>0.26900000000000002</v>
      </c>
      <c r="V410" s="333">
        <f t="shared" si="92"/>
        <v>0.27500000000000002</v>
      </c>
      <c r="W410" s="333">
        <f t="shared" si="92"/>
        <v>0.28000000000000003</v>
      </c>
      <c r="X410" s="333">
        <f t="shared" si="92"/>
        <v>0.28499999999999998</v>
      </c>
      <c r="Y410" s="333">
        <f t="shared" si="92"/>
        <v>0.28999999999999998</v>
      </c>
      <c r="Z410" s="333">
        <f t="shared" si="92"/>
        <v>0.29499999999999998</v>
      </c>
      <c r="AA410" s="333">
        <f t="shared" si="92"/>
        <v>0.30099999999999999</v>
      </c>
      <c r="AB410" s="333">
        <f t="shared" si="92"/>
        <v>0.30599999999999999</v>
      </c>
      <c r="AC410" s="333">
        <f t="shared" si="92"/>
        <v>0.311</v>
      </c>
      <c r="AD410" s="333">
        <f t="shared" si="92"/>
        <v>0.316</v>
      </c>
      <c r="AE410" s="333">
        <f t="shared" si="92"/>
        <v>0.32200000000000001</v>
      </c>
      <c r="AF410" s="333">
        <f t="shared" si="92"/>
        <v>0.32900000000000001</v>
      </c>
      <c r="AG410" s="333">
        <f t="shared" si="92"/>
        <v>0.32900000000000001</v>
      </c>
      <c r="AH410" s="333">
        <f>AH407</f>
        <v>0.32900000000000001</v>
      </c>
      <c r="AI410" s="60"/>
      <c r="AJ410" s="60"/>
      <c r="AK410" s="163"/>
      <c r="AL410" s="163"/>
      <c r="AM410" s="163"/>
      <c r="AN410" s="163"/>
      <c r="AO410" s="163"/>
      <c r="AP410" s="163"/>
      <c r="AQ410" s="163"/>
      <c r="AR410" s="163"/>
      <c r="AS410" s="163"/>
      <c r="AT410" s="163"/>
      <c r="AU410" s="163"/>
      <c r="AV410" s="163"/>
      <c r="AW410" s="163"/>
      <c r="AX410" s="163"/>
      <c r="AY410" s="163"/>
      <c r="AZ410" s="163"/>
      <c r="BA410" s="163"/>
      <c r="BB410" s="163"/>
      <c r="BC410" s="163"/>
      <c r="BD410" s="163"/>
      <c r="BE410" s="163"/>
      <c r="BF410" s="163"/>
      <c r="BG410" s="163"/>
      <c r="BH410" s="163"/>
      <c r="BI410" s="163"/>
      <c r="BJ410" s="163"/>
      <c r="BK410" s="163"/>
      <c r="BL410" s="163"/>
      <c r="BM410" s="163"/>
      <c r="BN410" s="163"/>
      <c r="BO410" s="163"/>
      <c r="BP410" s="163"/>
      <c r="BQ410" s="163"/>
      <c r="BR410" s="163"/>
      <c r="BS410" s="163"/>
      <c r="BT410" s="163"/>
      <c r="BU410" s="163"/>
      <c r="BV410" s="163"/>
      <c r="BW410" s="163"/>
      <c r="BX410" s="163"/>
      <c r="BY410" s="163"/>
      <c r="BZ410" s="163"/>
      <c r="CA410" s="163"/>
      <c r="CB410" s="163"/>
      <c r="CC410" s="163"/>
      <c r="CD410" s="163"/>
      <c r="CE410" s="163"/>
      <c r="CF410" s="163"/>
      <c r="CG410" s="163"/>
      <c r="CH410" s="163"/>
      <c r="CI410" s="163"/>
      <c r="CJ410" s="163"/>
      <c r="CK410" s="163"/>
      <c r="CL410" s="163"/>
      <c r="CM410" s="163"/>
      <c r="CN410" s="163"/>
      <c r="CO410" s="163"/>
      <c r="CP410" s="163"/>
      <c r="CQ410" s="163"/>
      <c r="CR410" s="163"/>
      <c r="CS410" s="163"/>
      <c r="CT410" s="163"/>
      <c r="CU410" s="163"/>
      <c r="CV410" s="163"/>
      <c r="CW410" s="163"/>
      <c r="CX410" s="163"/>
      <c r="CY410" s="163"/>
      <c r="CZ410" s="163"/>
      <c r="DA410" s="163"/>
      <c r="DB410" s="163"/>
      <c r="DC410" s="163"/>
      <c r="DD410" s="163"/>
      <c r="DE410" s="163"/>
      <c r="DF410" s="163"/>
      <c r="DG410" s="163"/>
      <c r="DH410" s="163"/>
      <c r="DI410" s="163"/>
      <c r="DJ410" s="163"/>
      <c r="DK410" s="163"/>
      <c r="DL410" s="163"/>
      <c r="DM410" s="163"/>
      <c r="DN410" s="163"/>
      <c r="DO410" s="163"/>
      <c r="DP410" s="163"/>
      <c r="DQ410" s="163"/>
      <c r="DR410" s="163"/>
      <c r="DS410" s="163"/>
      <c r="DT410" s="163"/>
      <c r="DU410" s="163"/>
      <c r="DV410" s="163"/>
      <c r="DW410" s="163"/>
      <c r="DX410" s="163"/>
      <c r="DY410" s="163"/>
      <c r="DZ410" s="163"/>
      <c r="EA410" s="163"/>
      <c r="EB410" s="163"/>
      <c r="EC410" s="163"/>
      <c r="ED410" s="163"/>
      <c r="EE410" s="163"/>
      <c r="EF410" s="163"/>
      <c r="EG410" s="163"/>
      <c r="EH410" s="163"/>
      <c r="EI410" s="163"/>
      <c r="EJ410" s="163"/>
      <c r="EK410" s="163"/>
      <c r="EL410" s="163"/>
      <c r="EM410" s="163"/>
    </row>
    <row r="411" spans="1:143" s="151" customFormat="1" x14ac:dyDescent="0.2">
      <c r="A411" s="338" t="s">
        <v>59</v>
      </c>
      <c r="B411" s="353"/>
      <c r="C411" s="353"/>
      <c r="D411" s="353"/>
      <c r="E411" s="353"/>
      <c r="F411" s="353"/>
      <c r="G411" s="353"/>
      <c r="H411" s="353"/>
      <c r="I411" s="353"/>
      <c r="J411" s="353"/>
      <c r="K411" s="353"/>
      <c r="L411" s="353"/>
      <c r="M411" s="353"/>
      <c r="N411" s="353"/>
      <c r="O411" s="353"/>
      <c r="P411" s="353"/>
      <c r="Q411" s="353"/>
      <c r="R411" s="353"/>
      <c r="S411" s="353"/>
      <c r="T411" s="353"/>
      <c r="U411" s="353"/>
      <c r="V411" s="353"/>
      <c r="W411" s="353"/>
      <c r="X411" s="353"/>
      <c r="Y411" s="353"/>
      <c r="Z411" s="353"/>
      <c r="AA411" s="353"/>
      <c r="AB411" s="353"/>
      <c r="AC411" s="353"/>
      <c r="AD411" s="353"/>
      <c r="AE411" s="353"/>
      <c r="AF411" s="353"/>
      <c r="AG411" s="354"/>
      <c r="AH411" s="354"/>
      <c r="AI411" s="60"/>
      <c r="AJ411" s="60"/>
      <c r="AK411" s="163"/>
      <c r="AL411" s="163"/>
      <c r="AM411" s="163"/>
      <c r="AN411" s="163"/>
      <c r="AO411" s="163"/>
      <c r="AP411" s="163"/>
      <c r="AQ411" s="163"/>
      <c r="AR411" s="163"/>
      <c r="AS411" s="163"/>
      <c r="AT411" s="163"/>
      <c r="AU411" s="163"/>
      <c r="AV411" s="163"/>
      <c r="AW411" s="163"/>
      <c r="AX411" s="163"/>
      <c r="AY411" s="163"/>
      <c r="AZ411" s="163"/>
      <c r="BA411" s="163"/>
      <c r="BB411" s="163"/>
      <c r="BC411" s="163"/>
      <c r="BD411" s="163"/>
      <c r="BE411" s="163"/>
      <c r="BF411" s="163"/>
      <c r="BG411" s="163"/>
      <c r="BH411" s="163"/>
      <c r="BI411" s="163"/>
      <c r="BJ411" s="163"/>
      <c r="BK411" s="163"/>
      <c r="BL411" s="163"/>
      <c r="BM411" s="163"/>
      <c r="BN411" s="163"/>
      <c r="BO411" s="163"/>
      <c r="BP411" s="163"/>
      <c r="BQ411" s="163"/>
      <c r="BR411" s="163"/>
      <c r="BS411" s="163"/>
      <c r="BT411" s="163"/>
      <c r="BU411" s="163"/>
      <c r="BV411" s="163"/>
      <c r="BW411" s="163"/>
      <c r="BX411" s="163"/>
      <c r="BY411" s="163"/>
      <c r="BZ411" s="163"/>
      <c r="CA411" s="163"/>
      <c r="CB411" s="163"/>
      <c r="CC411" s="163"/>
      <c r="CD411" s="163"/>
      <c r="CE411" s="163"/>
      <c r="CF411" s="163"/>
      <c r="CG411" s="163"/>
      <c r="CH411" s="163"/>
      <c r="CI411" s="163"/>
      <c r="CJ411" s="163"/>
      <c r="CK411" s="163"/>
      <c r="CL411" s="163"/>
      <c r="CM411" s="163"/>
      <c r="CN411" s="163"/>
      <c r="CO411" s="163"/>
      <c r="CP411" s="163"/>
      <c r="CQ411" s="163"/>
      <c r="CR411" s="163"/>
      <c r="CS411" s="163"/>
      <c r="CT411" s="163"/>
      <c r="CU411" s="163"/>
      <c r="CV411" s="163"/>
      <c r="CW411" s="163"/>
      <c r="CX411" s="163"/>
      <c r="CY411" s="163"/>
      <c r="CZ411" s="163"/>
      <c r="DA411" s="163"/>
      <c r="DB411" s="163"/>
      <c r="DC411" s="163"/>
      <c r="DD411" s="163"/>
      <c r="DE411" s="163"/>
      <c r="DF411" s="163"/>
      <c r="DG411" s="163"/>
      <c r="DH411" s="163"/>
      <c r="DI411" s="163"/>
      <c r="DJ411" s="163"/>
      <c r="DK411" s="163"/>
      <c r="DL411" s="163"/>
      <c r="DM411" s="163"/>
      <c r="DN411" s="163"/>
      <c r="DO411" s="163"/>
      <c r="DP411" s="163"/>
      <c r="DQ411" s="163"/>
      <c r="DR411" s="163"/>
      <c r="DS411" s="163"/>
      <c r="DT411" s="163"/>
      <c r="DU411" s="163"/>
      <c r="DV411" s="163"/>
      <c r="DW411" s="163"/>
      <c r="DX411" s="163"/>
      <c r="DY411" s="163"/>
      <c r="DZ411" s="163"/>
      <c r="EA411" s="163"/>
      <c r="EB411" s="163"/>
      <c r="EC411" s="163"/>
      <c r="ED411" s="163"/>
      <c r="EE411" s="163"/>
      <c r="EF411" s="163"/>
      <c r="EG411" s="163"/>
      <c r="EH411" s="163"/>
      <c r="EI411" s="163"/>
      <c r="EJ411" s="163"/>
      <c r="EK411" s="163"/>
      <c r="EL411" s="163"/>
      <c r="EM411" s="163"/>
    </row>
    <row r="412" spans="1:143" s="334" customFormat="1" x14ac:dyDescent="0.2">
      <c r="A412" s="331" t="str">
        <f>A407</f>
        <v xml:space="preserve">     Aprēķinātais tarifs</v>
      </c>
      <c r="B412" s="342">
        <f>E382</f>
        <v>0.2</v>
      </c>
      <c r="C412" s="342">
        <f>ROUND(IF('Datu ievade'!$B$373='Datu ievade'!$B$374,(1+C387)*((SUM(C192:C200)+SUM(Aprekini!C24:C27))/('Datu ievade'!F300+'Datu ievade'!F308+'Datu ievade'!F315)),IF('Datu ievade'!$B$373='Datu ievade'!$B$375,(1+C387)*((SUM('Datu ievade'!C192:C200)+SUM(Aprekini!C24:C27))/('Datu ievade'!F300+'Datu ievade'!F308+'Datu ievade'!F315)),)),3)</f>
        <v>0.20899999999999999</v>
      </c>
      <c r="D412" s="342">
        <f>ROUND(IF('Datu ievade'!$B$373='Datu ievade'!$B$374,(1+D387)*((SUM(D192:D200)+SUM(Aprekini!D24:D27))/('Datu ievade'!G300+'Datu ievade'!G308+'Datu ievade'!G315)),IF('Datu ievade'!$B$373='Datu ievade'!$B$375,(1+D387)*((SUM('Datu ievade'!D192:D200)+SUM(Aprekini!D24:D27))/('Datu ievade'!G300+'Datu ievade'!G308+'Datu ievade'!G315)),)),3)</f>
        <v>0.215</v>
      </c>
      <c r="E412" s="342">
        <f>ROUND(IF('Datu ievade'!$B$373='Datu ievade'!$B$374,(1+E387)*((SUM(E192:E200)+SUM(Aprekini!E24:E27))/('Datu ievade'!H300+'Datu ievade'!H308+'Datu ievade'!H315)),IF('Datu ievade'!$B$373='Datu ievade'!$B$375,(1+E387)*((SUM('Datu ievade'!E192:E200)+SUM(Aprekini!E24:E27))/('Datu ievade'!H300+'Datu ievade'!H308+'Datu ievade'!H315)),)),3)</f>
        <v>0.221</v>
      </c>
      <c r="F412" s="342">
        <f>ROUND(IF('Datu ievade'!$B$373='Datu ievade'!$B$374,(1+F387)*((SUM(F192:F200)+SUM(Aprekini!F24:F27))/('Datu ievade'!I300+'Datu ievade'!I308+'Datu ievade'!I315)),IF('Datu ievade'!$B$373='Datu ievade'!$B$375,(1+F387)*((SUM('Datu ievade'!F192:F200)+SUM(Aprekini!F24:F27))/('Datu ievade'!I300+'Datu ievade'!I308+'Datu ievade'!I315)),)),3)</f>
        <v>0.224</v>
      </c>
      <c r="G412" s="342">
        <f>ROUND(IF('Datu ievade'!$B$373='Datu ievade'!$B$374,(1+G387)*((SUM(G192:G200)+SUM(Aprekini!G24:G27))/('Datu ievade'!J300+'Datu ievade'!J308+'Datu ievade'!J315)),IF('Datu ievade'!$B$373='Datu ievade'!$B$375,(1+G387)*((SUM('Datu ievade'!G192:G200)+SUM(Aprekini!G24:G27))/('Datu ievade'!J300+'Datu ievade'!J308+'Datu ievade'!J315)),)),3)</f>
        <v>0.22800000000000001</v>
      </c>
      <c r="H412" s="342">
        <f>ROUND(IF('Datu ievade'!$B$373='Datu ievade'!$B$374,(1+H387)*((SUM(H192:H200)+SUM(Aprekini!H24:H27))/('Datu ievade'!K300+'Datu ievade'!K308+'Datu ievade'!K315)),IF('Datu ievade'!$B$373='Datu ievade'!$B$375,(1+H387)*((SUM('Datu ievade'!H192:H200)+SUM(Aprekini!H24:H27))/('Datu ievade'!K300+'Datu ievade'!K308+'Datu ievade'!K315)),)),3)</f>
        <v>0.23200000000000001</v>
      </c>
      <c r="I412" s="342">
        <f>ROUND(IF('Datu ievade'!$B$373='Datu ievade'!$B$374,(1+I387)*((SUM(I192:I200)+SUM(Aprekini!I24:I27))/('Datu ievade'!L300+'Datu ievade'!L308+'Datu ievade'!L315)),IF('Datu ievade'!$B$373='Datu ievade'!$B$375,(1+I387)*((SUM('Datu ievade'!I192:I200)+SUM(Aprekini!I24:I27))/('Datu ievade'!L300+'Datu ievade'!L308+'Datu ievade'!L315)),)),3)</f>
        <v>0.23499999999999999</v>
      </c>
      <c r="J412" s="342">
        <f>ROUND(IF('Datu ievade'!$B$373='Datu ievade'!$B$374,(1+J387)*((SUM(J192:J200)+SUM(Aprekini!J24:J27))/('Datu ievade'!M300+'Datu ievade'!M308+'Datu ievade'!M315)),IF('Datu ievade'!$B$373='Datu ievade'!$B$375,(1+J387)*((SUM('Datu ievade'!J192:J200)+SUM(Aprekini!J24:J27))/('Datu ievade'!M300+'Datu ievade'!M308+'Datu ievade'!M315)),)),3)</f>
        <v>0.23899999999999999</v>
      </c>
      <c r="K412" s="342">
        <f>ROUND(IF('Datu ievade'!$B$373='Datu ievade'!$B$374,(1+K387)*((SUM(K192:K200)+SUM(Aprekini!K24:K27))/('Datu ievade'!N300+'Datu ievade'!N308+'Datu ievade'!N315)),IF('Datu ievade'!$B$373='Datu ievade'!$B$375,(1+K387)*((SUM('Datu ievade'!K192:K200)+SUM(Aprekini!K24:K27))/('Datu ievade'!N300+'Datu ievade'!N308+'Datu ievade'!N315)),)),3)</f>
        <v>0.24299999999999999</v>
      </c>
      <c r="L412" s="342">
        <f>ROUND(IF('Datu ievade'!$B$373='Datu ievade'!$B$374,(1+L387)*((SUM(L192:L200)+SUM(Aprekini!L24:L27))/('Datu ievade'!O300+'Datu ievade'!O308+'Datu ievade'!O315)),IF('Datu ievade'!$B$373='Datu ievade'!$B$375,(1+L387)*((SUM('Datu ievade'!L192:L200)+SUM(Aprekini!L24:L27))/('Datu ievade'!O300+'Datu ievade'!O308+'Datu ievade'!O315)),)),3)</f>
        <v>0.246</v>
      </c>
      <c r="M412" s="342">
        <f>ROUND(IF('Datu ievade'!$B$373='Datu ievade'!$B$374,(1+M387)*((SUM(M192:M200)+SUM(Aprekini!M24:M27))/('Datu ievade'!P300+'Datu ievade'!P308+'Datu ievade'!P315)),IF('Datu ievade'!$B$373='Datu ievade'!$B$375,(1+M387)*((SUM('Datu ievade'!M192:M200)+SUM(Aprekini!M24:M27))/('Datu ievade'!P300+'Datu ievade'!P308+'Datu ievade'!P315)),)),3)</f>
        <v>0.25</v>
      </c>
      <c r="N412" s="342">
        <f>ROUND(IF('Datu ievade'!$B$373='Datu ievade'!$B$374,(1+N387)*((SUM(N192:N200)+SUM(Aprekini!N24:N27))/('Datu ievade'!Q300+'Datu ievade'!Q308+'Datu ievade'!Q315)),IF('Datu ievade'!$B$373='Datu ievade'!$B$375,(1+N387)*((SUM('Datu ievade'!N192:N200)+SUM(Aprekini!N24:N27))/('Datu ievade'!Q300+'Datu ievade'!Q308+'Datu ievade'!Q315)),)),3)</f>
        <v>0.255</v>
      </c>
      <c r="O412" s="342">
        <f>ROUND(IF('Datu ievade'!$B$373='Datu ievade'!$B$374,(1+O387)*((SUM(O192:O200)+SUM(Aprekini!O24:O27))/('Datu ievade'!R300+'Datu ievade'!R308+'Datu ievade'!R315)),IF('Datu ievade'!$B$373='Datu ievade'!$B$375,(1+O387)*((SUM('Datu ievade'!O192:O200)+SUM(Aprekini!O24:O27))/('Datu ievade'!R300+'Datu ievade'!R308+'Datu ievade'!R315)),)),3)</f>
        <v>0.26</v>
      </c>
      <c r="P412" s="342">
        <f>ROUND(IF('Datu ievade'!$B$373='Datu ievade'!$B$374,(1+P387)*((SUM(P192:P200)+SUM(Aprekini!P24:P27))/('Datu ievade'!S300+'Datu ievade'!S308+'Datu ievade'!S315)),IF('Datu ievade'!$B$373='Datu ievade'!$B$375,(1+P387)*((SUM('Datu ievade'!P192:P200)+SUM(Aprekini!P24:P27))/('Datu ievade'!S300+'Datu ievade'!S308+'Datu ievade'!S315)),)),3)</f>
        <v>0.26600000000000001</v>
      </c>
      <c r="Q412" s="342">
        <f>ROUND(IF('Datu ievade'!$B$373='Datu ievade'!$B$374,(1+Q387)*((SUM(Q192:Q200)+SUM(Aprekini!Q24:Q27))/('Datu ievade'!T300+'Datu ievade'!T308+'Datu ievade'!T315)),IF('Datu ievade'!$B$373='Datu ievade'!$B$375,(1+Q387)*((SUM('Datu ievade'!Q192:Q200)+SUM(Aprekini!Q24:Q27))/('Datu ievade'!T300+'Datu ievade'!T308+'Datu ievade'!T315)),)),3)</f>
        <v>0.26700000000000002</v>
      </c>
      <c r="R412" s="342">
        <f>ROUND(IF('Datu ievade'!$B$373='Datu ievade'!$B$374,(1+R387)*((SUM(R192:R200)+SUM(Aprekini!R24:R27))/('Datu ievade'!U300+'Datu ievade'!U308+'Datu ievade'!U315)),IF('Datu ievade'!$B$373='Datu ievade'!$B$375,(1+R387)*((SUM('Datu ievade'!R192:R200)+SUM(Aprekini!R24:R27))/('Datu ievade'!U300+'Datu ievade'!U308+'Datu ievade'!U315)),)),3)</f>
        <v>0.27300000000000002</v>
      </c>
      <c r="S412" s="342">
        <f>ROUND(IF('Datu ievade'!$B$373='Datu ievade'!$B$374,(1+S387)*((SUM(S192:S200)+SUM(Aprekini!S24:S27))/('Datu ievade'!V300+'Datu ievade'!V308+'Datu ievade'!V315)),IF('Datu ievade'!$B$373='Datu ievade'!$B$375,(1+S387)*((SUM('Datu ievade'!S192:S200)+SUM(Aprekini!S24:S27))/('Datu ievade'!V300+'Datu ievade'!V308+'Datu ievade'!V315)),)),3)</f>
        <v>0.27900000000000003</v>
      </c>
      <c r="T412" s="342">
        <f>ROUND(IF('Datu ievade'!$B$373='Datu ievade'!$B$374,(1+T387)*((SUM(T192:T200)+SUM(Aprekini!T24:T27))/('Datu ievade'!W300+'Datu ievade'!W308+'Datu ievade'!W315)),IF('Datu ievade'!$B$373='Datu ievade'!$B$375,(1+T387)*((SUM('Datu ievade'!T192:T200)+SUM(Aprekini!T24:T27))/('Datu ievade'!W300+'Datu ievade'!W308+'Datu ievade'!W315)),)),3)</f>
        <v>0.28399999999999997</v>
      </c>
      <c r="U412" s="342">
        <f>ROUND(IF('Datu ievade'!$B$373='Datu ievade'!$B$374,(1+U387)*((SUM(U192:U200)+SUM(Aprekini!U24:U27))/('Datu ievade'!X300+'Datu ievade'!X308+'Datu ievade'!X315)),IF('Datu ievade'!$B$373='Datu ievade'!$B$375,(1+U387)*((SUM('Datu ievade'!U192:U200)+SUM(Aprekini!U24:U27))/('Datu ievade'!X300+'Datu ievade'!X308+'Datu ievade'!X315)),)),3)</f>
        <v>0.28999999999999998</v>
      </c>
      <c r="V412" s="342">
        <f>ROUND(IF('Datu ievade'!$B$373='Datu ievade'!$B$374,(1+V387)*((SUM(V192:V200)+SUM(Aprekini!V24:V27))/('Datu ievade'!Y300+'Datu ievade'!Y308+'Datu ievade'!Y315)),IF('Datu ievade'!$B$373='Datu ievade'!$B$375,(1+V387)*((SUM('Datu ievade'!V192:V200)+SUM(Aprekini!V24:V27))/('Datu ievade'!Y300+'Datu ievade'!Y308+'Datu ievade'!Y315)),)),3)</f>
        <v>0.29499999999999998</v>
      </c>
      <c r="W412" s="342">
        <f>ROUND(IF('Datu ievade'!$B$373='Datu ievade'!$B$374,(1+W387)*((SUM(W192:W200)+SUM(Aprekini!W24:W27))/('Datu ievade'!Z300+'Datu ievade'!Z308+'Datu ievade'!Z315)),IF('Datu ievade'!$B$373='Datu ievade'!$B$375,(1+W387)*((SUM('Datu ievade'!W192:W200)+SUM(Aprekini!W24:W27))/('Datu ievade'!Z300+'Datu ievade'!Z308+'Datu ievade'!Z315)),)),3)</f>
        <v>0.30099999999999999</v>
      </c>
      <c r="X412" s="342">
        <f>ROUND(IF('Datu ievade'!$B$373='Datu ievade'!$B$374,(1+X387)*((SUM(X192:X200)+SUM(Aprekini!X24:X27))/('Datu ievade'!AA300+'Datu ievade'!AA308+'Datu ievade'!AA315)),IF('Datu ievade'!$B$373='Datu ievade'!$B$375,(1+X387)*((SUM('Datu ievade'!X192:X200)+SUM(Aprekini!X24:X27))/('Datu ievade'!AA300+'Datu ievade'!AA308+'Datu ievade'!AA315)),)),3)</f>
        <v>0.30599999999999999</v>
      </c>
      <c r="Y412" s="342">
        <f>ROUND(IF('Datu ievade'!$B$373='Datu ievade'!$B$374,(1+Y387)*((SUM(Y192:Y200)+SUM(Aprekini!Y24:Y27))/('Datu ievade'!AB300+'Datu ievade'!AB308+'Datu ievade'!AB315)),IF('Datu ievade'!$B$373='Datu ievade'!$B$375,(1+Y387)*((SUM('Datu ievade'!Y192:Y200)+SUM(Aprekini!Y24:Y27))/('Datu ievade'!AB300+'Datu ievade'!AB308+'Datu ievade'!AB315)),)),3)</f>
        <v>0.312</v>
      </c>
      <c r="Z412" s="342">
        <f>ROUND(IF('Datu ievade'!$B$373='Datu ievade'!$B$374,(1+Z387)*((SUM(Z192:Z200)+SUM(Aprekini!Z24:Z27))/('Datu ievade'!AC300+'Datu ievade'!AC308+'Datu ievade'!AC315)),IF('Datu ievade'!$B$373='Datu ievade'!$B$375,(1+Z387)*((SUM('Datu ievade'!Z192:Z200)+SUM(Aprekini!Z24:Z27))/('Datu ievade'!AC300+'Datu ievade'!AC308+'Datu ievade'!AC315)),)),3)</f>
        <v>0.318</v>
      </c>
      <c r="AA412" s="342">
        <f>ROUND(IF('Datu ievade'!$B$373='Datu ievade'!$B$374,(1+AA387)*((SUM(AA192:AA200)+SUM(Aprekini!AA24:AA27))/('Datu ievade'!AD300+'Datu ievade'!AD308+'Datu ievade'!AD315)),IF('Datu ievade'!$B$373='Datu ievade'!$B$375,(1+AA387)*((SUM('Datu ievade'!AA192:AA200)+SUM(Aprekini!AA24:AA27))/('Datu ievade'!AD300+'Datu ievade'!AD308+'Datu ievade'!AD315)),)),3)</f>
        <v>0.32300000000000001</v>
      </c>
      <c r="AB412" s="342">
        <f>ROUND(IF('Datu ievade'!$B$373='Datu ievade'!$B$374,(1+AB387)*((SUM(AB192:AB200)+SUM(Aprekini!AB24:AB27))/('Datu ievade'!AE300+'Datu ievade'!AE308+'Datu ievade'!AE315)),IF('Datu ievade'!$B$373='Datu ievade'!$B$375,(1+AB387)*((SUM('Datu ievade'!AB192:AB200)+SUM(Aprekini!AB24:AB27))/('Datu ievade'!AE300+'Datu ievade'!AE308+'Datu ievade'!AE315)),)),3)</f>
        <v>0.32900000000000001</v>
      </c>
      <c r="AC412" s="342">
        <f>ROUND(IF('Datu ievade'!$B$373='Datu ievade'!$B$374,(1+AC387)*((SUM(AC192:AC200)+SUM(Aprekini!AC24:AC27))/('Datu ievade'!AF300+'Datu ievade'!AF308+'Datu ievade'!AF315)),IF('Datu ievade'!$B$373='Datu ievade'!$B$375,(1+AC387)*((SUM('Datu ievade'!AC192:AC200)+SUM(Aprekini!AC24:AC27))/('Datu ievade'!AF300+'Datu ievade'!AF308+'Datu ievade'!AF315)),)),3)</f>
        <v>0.33400000000000002</v>
      </c>
      <c r="AD412" s="342">
        <f>ROUND(IF('Datu ievade'!$B$373='Datu ievade'!$B$374,(1+AD387)*((SUM(AD192:AD200)+SUM(Aprekini!AD24:AD27))/('Datu ievade'!AG300+'Datu ievade'!AG308+'Datu ievade'!AG315)),IF('Datu ievade'!$B$373='Datu ievade'!$B$375,(1+AD387)*((SUM('Datu ievade'!AD192:AD200)+SUM(Aprekini!AD24:AD27))/('Datu ievade'!AG300+'Datu ievade'!AG308+'Datu ievade'!AG315)),)),3)</f>
        <v>0.34</v>
      </c>
      <c r="AE412" s="342">
        <f>ROUND(IF('Datu ievade'!$B$373='Datu ievade'!$B$374,(1+AE387)*((SUM(AE192:AE200)+SUM(Aprekini!AE24:AE27))/('Datu ievade'!AH300+'Datu ievade'!AH308+'Datu ievade'!AH315)),IF('Datu ievade'!$B$373='Datu ievade'!$B$375,(1+AE387)*((SUM('Datu ievade'!AE192:AE200)+SUM(Aprekini!AE24:AE27))/('Datu ievade'!AH300+'Datu ievade'!AH308+'Datu ievade'!AH315)),)),3)</f>
        <v>0.34699999999999998</v>
      </c>
      <c r="AF412" s="342">
        <f>ROUND(IF('Datu ievade'!$B$373='Datu ievade'!$B$374,(1+AF387)*((SUM(AF192:AF200)+SUM(Aprekini!AF24:AF27))/('Datu ievade'!AI300+'Datu ievade'!AI308+'Datu ievade'!AI315)),IF('Datu ievade'!$B$373='Datu ievade'!$B$375,(1+AF387)*((SUM('Datu ievade'!AF192:AF200)+SUM(Aprekini!AF24:AF27))/('Datu ievade'!AI300+'Datu ievade'!AI308+'Datu ievade'!AI315)),)),3)</f>
        <v>0.35299999999999998</v>
      </c>
      <c r="AG412" s="342">
        <f>ROUND(IF('Datu ievade'!$B$373='Datu ievade'!$B$374,(1+AG387)*((SUM(AG192:AG200)+SUM(Aprekini!AG24:AG27))/('Datu ievade'!AJ300+'Datu ievade'!AJ308+'Datu ievade'!AJ315)),IF('Datu ievade'!$B$373='Datu ievade'!$B$375,(1+AG387)*((SUM('Datu ievade'!AG192:AG200)+SUM(Aprekini!AG24:AG27))/('Datu ievade'!AJ300+'Datu ievade'!AJ308+'Datu ievade'!AJ315)),)),3)</f>
        <v>0.35299999999999998</v>
      </c>
      <c r="AH412" s="342">
        <f>ROUND(IF('Datu ievade'!$B$373='Datu ievade'!$B$374,(1+AH387)*((SUM(AH192:AH200)+SUM(Aprekini!AH24:AH27))/('Datu ievade'!AK300+'Datu ievade'!AK308+'Datu ievade'!AK315)),IF('Datu ievade'!$B$373='Datu ievade'!$B$375,(1+AH387)*((SUM('Datu ievade'!AH192:AH200)+SUM(Aprekini!AH24:AH27))/('Datu ievade'!AK300+'Datu ievade'!AK308+'Datu ievade'!AK315)),)),3)</f>
        <v>0.35299999999999998</v>
      </c>
      <c r="AI412" s="60"/>
      <c r="AJ412" s="60"/>
      <c r="AK412" s="163"/>
      <c r="AL412" s="163"/>
      <c r="AM412" s="163"/>
      <c r="AN412" s="163"/>
      <c r="AO412" s="163"/>
      <c r="AP412" s="163"/>
      <c r="AQ412" s="163"/>
      <c r="AR412" s="163"/>
      <c r="AS412" s="163"/>
      <c r="AT412" s="163"/>
      <c r="AU412" s="163"/>
      <c r="AV412" s="163"/>
      <c r="AW412" s="163"/>
      <c r="AX412" s="163"/>
      <c r="AY412" s="163"/>
      <c r="AZ412" s="163"/>
      <c r="BA412" s="163"/>
      <c r="BB412" s="163"/>
      <c r="BC412" s="163"/>
      <c r="BD412" s="163"/>
      <c r="BE412" s="163"/>
      <c r="BF412" s="163"/>
      <c r="BG412" s="163"/>
      <c r="BH412" s="163"/>
      <c r="BI412" s="163"/>
      <c r="BJ412" s="163"/>
      <c r="BK412" s="163"/>
      <c r="BL412" s="163"/>
      <c r="BM412" s="163"/>
      <c r="BN412" s="163"/>
      <c r="BO412" s="163"/>
      <c r="BP412" s="163"/>
      <c r="BQ412" s="163"/>
      <c r="BR412" s="163"/>
      <c r="BS412" s="163"/>
      <c r="BT412" s="163"/>
      <c r="BU412" s="163"/>
      <c r="BV412" s="163"/>
      <c r="BW412" s="163"/>
      <c r="BX412" s="163"/>
      <c r="BY412" s="163"/>
      <c r="BZ412" s="163"/>
      <c r="CA412" s="163"/>
      <c r="CB412" s="163"/>
      <c r="CC412" s="163"/>
      <c r="CD412" s="163"/>
      <c r="CE412" s="163"/>
      <c r="CF412" s="163"/>
      <c r="CG412" s="163"/>
      <c r="CH412" s="163"/>
      <c r="CI412" s="163"/>
      <c r="CJ412" s="163"/>
      <c r="CK412" s="163"/>
      <c r="CL412" s="163"/>
      <c r="CM412" s="163"/>
      <c r="CN412" s="163"/>
      <c r="CO412" s="163"/>
      <c r="CP412" s="163"/>
      <c r="CQ412" s="163"/>
      <c r="CR412" s="163"/>
      <c r="CS412" s="163"/>
      <c r="CT412" s="163"/>
      <c r="CU412" s="163"/>
      <c r="CV412" s="163"/>
      <c r="CW412" s="163"/>
      <c r="CX412" s="163"/>
      <c r="CY412" s="163"/>
      <c r="CZ412" s="163"/>
      <c r="DA412" s="163"/>
      <c r="DB412" s="163"/>
      <c r="DC412" s="163"/>
      <c r="DD412" s="163"/>
      <c r="DE412" s="163"/>
      <c r="DF412" s="163"/>
      <c r="DG412" s="163"/>
      <c r="DH412" s="163"/>
      <c r="DI412" s="163"/>
      <c r="DJ412" s="163"/>
      <c r="DK412" s="163"/>
      <c r="DL412" s="163"/>
      <c r="DM412" s="163"/>
      <c r="DN412" s="163"/>
      <c r="DO412" s="163"/>
      <c r="DP412" s="163"/>
      <c r="DQ412" s="163"/>
      <c r="DR412" s="163"/>
      <c r="DS412" s="163"/>
      <c r="DT412" s="163"/>
      <c r="DU412" s="163"/>
      <c r="DV412" s="163"/>
      <c r="DW412" s="163"/>
      <c r="DX412" s="163"/>
      <c r="DY412" s="163"/>
      <c r="DZ412" s="163"/>
      <c r="EA412" s="163"/>
      <c r="EB412" s="163"/>
      <c r="EC412" s="163"/>
      <c r="ED412" s="163"/>
      <c r="EE412" s="163"/>
      <c r="EF412" s="163"/>
      <c r="EG412" s="163"/>
      <c r="EH412" s="163"/>
      <c r="EI412" s="163"/>
      <c r="EJ412" s="163"/>
      <c r="EK412" s="163"/>
      <c r="EL412" s="163"/>
      <c r="EM412" s="163"/>
    </row>
    <row r="413" spans="1:143" s="334" customFormat="1" x14ac:dyDescent="0.2">
      <c r="A413" s="331" t="s">
        <v>299</v>
      </c>
      <c r="B413" s="333"/>
      <c r="C413" s="333">
        <f>C412-B412</f>
        <v>8.9999999999999802E-3</v>
      </c>
      <c r="D413" s="333">
        <f t="shared" ref="D413:AG413" si="93">D412-C412</f>
        <v>6.0000000000000053E-3</v>
      </c>
      <c r="E413" s="333">
        <f t="shared" si="93"/>
        <v>6.0000000000000053E-3</v>
      </c>
      <c r="F413" s="333">
        <f t="shared" si="93"/>
        <v>3.0000000000000027E-3</v>
      </c>
      <c r="G413" s="333">
        <f t="shared" si="93"/>
        <v>4.0000000000000036E-3</v>
      </c>
      <c r="H413" s="333">
        <f t="shared" si="93"/>
        <v>4.0000000000000036E-3</v>
      </c>
      <c r="I413" s="333">
        <f t="shared" si="93"/>
        <v>2.9999999999999749E-3</v>
      </c>
      <c r="J413" s="333">
        <f t="shared" si="93"/>
        <v>4.0000000000000036E-3</v>
      </c>
      <c r="K413" s="333">
        <f t="shared" si="93"/>
        <v>4.0000000000000036E-3</v>
      </c>
      <c r="L413" s="333">
        <f t="shared" si="93"/>
        <v>3.0000000000000027E-3</v>
      </c>
      <c r="M413" s="333">
        <f t="shared" si="93"/>
        <v>4.0000000000000036E-3</v>
      </c>
      <c r="N413" s="333">
        <f t="shared" si="93"/>
        <v>5.0000000000000044E-3</v>
      </c>
      <c r="O413" s="333">
        <f t="shared" si="93"/>
        <v>5.0000000000000044E-3</v>
      </c>
      <c r="P413" s="333">
        <f t="shared" si="93"/>
        <v>6.0000000000000053E-3</v>
      </c>
      <c r="Q413" s="333">
        <f t="shared" si="93"/>
        <v>1.0000000000000009E-3</v>
      </c>
      <c r="R413" s="333">
        <f t="shared" si="93"/>
        <v>6.0000000000000053E-3</v>
      </c>
      <c r="S413" s="333">
        <f t="shared" si="93"/>
        <v>6.0000000000000053E-3</v>
      </c>
      <c r="T413" s="333">
        <f t="shared" si="93"/>
        <v>4.9999999999999489E-3</v>
      </c>
      <c r="U413" s="333">
        <f t="shared" si="93"/>
        <v>6.0000000000000053E-3</v>
      </c>
      <c r="V413" s="333">
        <f t="shared" si="93"/>
        <v>5.0000000000000044E-3</v>
      </c>
      <c r="W413" s="333">
        <f t="shared" si="93"/>
        <v>6.0000000000000053E-3</v>
      </c>
      <c r="X413" s="333">
        <f t="shared" si="93"/>
        <v>5.0000000000000044E-3</v>
      </c>
      <c r="Y413" s="333">
        <f t="shared" si="93"/>
        <v>6.0000000000000053E-3</v>
      </c>
      <c r="Z413" s="333">
        <f t="shared" si="93"/>
        <v>6.0000000000000053E-3</v>
      </c>
      <c r="AA413" s="333">
        <f t="shared" si="93"/>
        <v>5.0000000000000044E-3</v>
      </c>
      <c r="AB413" s="333">
        <f t="shared" si="93"/>
        <v>6.0000000000000053E-3</v>
      </c>
      <c r="AC413" s="333">
        <f t="shared" si="93"/>
        <v>5.0000000000000044E-3</v>
      </c>
      <c r="AD413" s="333">
        <f t="shared" si="93"/>
        <v>6.0000000000000053E-3</v>
      </c>
      <c r="AE413" s="333">
        <f t="shared" si="93"/>
        <v>6.9999999999999507E-3</v>
      </c>
      <c r="AF413" s="333">
        <f t="shared" si="93"/>
        <v>6.0000000000000053E-3</v>
      </c>
      <c r="AG413" s="333">
        <f t="shared" si="93"/>
        <v>0</v>
      </c>
      <c r="AH413" s="333">
        <f>AH412-AG412</f>
        <v>0</v>
      </c>
      <c r="AI413" s="60"/>
      <c r="AJ413" s="60"/>
      <c r="AK413" s="163"/>
      <c r="AL413" s="163"/>
      <c r="AM413" s="163"/>
      <c r="AN413" s="163"/>
      <c r="AO413" s="163"/>
      <c r="AP413" s="163"/>
      <c r="AQ413" s="163"/>
      <c r="AR413" s="163"/>
      <c r="AS413" s="163"/>
      <c r="AT413" s="163"/>
      <c r="AU413" s="163"/>
      <c r="AV413" s="163"/>
      <c r="AW413" s="163"/>
      <c r="AX413" s="163"/>
      <c r="AY413" s="163"/>
      <c r="AZ413" s="163"/>
      <c r="BA413" s="163"/>
      <c r="BB413" s="163"/>
      <c r="BC413" s="163"/>
      <c r="BD413" s="163"/>
      <c r="BE413" s="163"/>
      <c r="BF413" s="163"/>
      <c r="BG413" s="163"/>
      <c r="BH413" s="163"/>
      <c r="BI413" s="163"/>
      <c r="BJ413" s="163"/>
      <c r="BK413" s="163"/>
      <c r="BL413" s="163"/>
      <c r="BM413" s="163"/>
      <c r="BN413" s="163"/>
      <c r="BO413" s="163"/>
      <c r="BP413" s="163"/>
      <c r="BQ413" s="163"/>
      <c r="BR413" s="163"/>
      <c r="BS413" s="163"/>
      <c r="BT413" s="163"/>
      <c r="BU413" s="163"/>
      <c r="BV413" s="163"/>
      <c r="BW413" s="163"/>
      <c r="BX413" s="163"/>
      <c r="BY413" s="163"/>
      <c r="BZ413" s="163"/>
      <c r="CA413" s="163"/>
      <c r="CB413" s="163"/>
      <c r="CC413" s="163"/>
      <c r="CD413" s="163"/>
      <c r="CE413" s="163"/>
      <c r="CF413" s="163"/>
      <c r="CG413" s="163"/>
      <c r="CH413" s="163"/>
      <c r="CI413" s="163"/>
      <c r="CJ413" s="163"/>
      <c r="CK413" s="163"/>
      <c r="CL413" s="163"/>
      <c r="CM413" s="163"/>
      <c r="CN413" s="163"/>
      <c r="CO413" s="163"/>
      <c r="CP413" s="163"/>
      <c r="CQ413" s="163"/>
      <c r="CR413" s="163"/>
      <c r="CS413" s="163"/>
      <c r="CT413" s="163"/>
      <c r="CU413" s="163"/>
      <c r="CV413" s="163"/>
      <c r="CW413" s="163"/>
      <c r="CX413" s="163"/>
      <c r="CY413" s="163"/>
      <c r="CZ413" s="163"/>
      <c r="DA413" s="163"/>
      <c r="DB413" s="163"/>
      <c r="DC413" s="163"/>
      <c r="DD413" s="163"/>
      <c r="DE413" s="163"/>
      <c r="DF413" s="163"/>
      <c r="DG413" s="163"/>
      <c r="DH413" s="163"/>
      <c r="DI413" s="163"/>
      <c r="DJ413" s="163"/>
      <c r="DK413" s="163"/>
      <c r="DL413" s="163"/>
      <c r="DM413" s="163"/>
      <c r="DN413" s="163"/>
      <c r="DO413" s="163"/>
      <c r="DP413" s="163"/>
      <c r="DQ413" s="163"/>
      <c r="DR413" s="163"/>
      <c r="DS413" s="163"/>
      <c r="DT413" s="163"/>
      <c r="DU413" s="163"/>
      <c r="DV413" s="163"/>
      <c r="DW413" s="163"/>
      <c r="DX413" s="163"/>
      <c r="DY413" s="163"/>
      <c r="DZ413" s="163"/>
      <c r="EA413" s="163"/>
      <c r="EB413" s="163"/>
      <c r="EC413" s="163"/>
      <c r="ED413" s="163"/>
      <c r="EE413" s="163"/>
      <c r="EF413" s="163"/>
      <c r="EG413" s="163"/>
      <c r="EH413" s="163"/>
      <c r="EI413" s="163"/>
      <c r="EJ413" s="163"/>
      <c r="EK413" s="163"/>
      <c r="EL413" s="163"/>
      <c r="EM413" s="163"/>
    </row>
    <row r="414" spans="1:143" s="334" customFormat="1" x14ac:dyDescent="0.2">
      <c r="A414" s="335"/>
      <c r="B414" s="333"/>
      <c r="C414" s="333"/>
      <c r="D414" s="333"/>
      <c r="E414" s="333"/>
      <c r="F414" s="333"/>
      <c r="G414" s="333"/>
      <c r="H414" s="333"/>
      <c r="I414" s="333"/>
      <c r="J414" s="333"/>
      <c r="K414" s="333"/>
      <c r="L414" s="333"/>
      <c r="M414" s="333"/>
      <c r="N414" s="333"/>
      <c r="O414" s="333"/>
      <c r="P414" s="333"/>
      <c r="Q414" s="333"/>
      <c r="R414" s="333"/>
      <c r="S414" s="333"/>
      <c r="T414" s="333"/>
      <c r="U414" s="333"/>
      <c r="V414" s="333"/>
      <c r="W414" s="333"/>
      <c r="X414" s="333"/>
      <c r="Y414" s="333"/>
      <c r="Z414" s="333"/>
      <c r="AA414" s="333"/>
      <c r="AB414" s="333"/>
      <c r="AC414" s="333"/>
      <c r="AD414" s="333"/>
      <c r="AE414" s="333"/>
      <c r="AF414" s="333"/>
      <c r="AG414" s="333"/>
      <c r="AH414" s="333"/>
      <c r="AI414" s="60"/>
      <c r="AJ414" s="60"/>
      <c r="AK414" s="163"/>
      <c r="AL414" s="163"/>
      <c r="AM414" s="163"/>
      <c r="AN414" s="163"/>
      <c r="AO414" s="163"/>
      <c r="AP414" s="163"/>
      <c r="AQ414" s="163"/>
      <c r="AR414" s="163"/>
      <c r="AS414" s="163"/>
      <c r="AT414" s="163"/>
      <c r="AU414" s="163"/>
      <c r="AV414" s="163"/>
      <c r="AW414" s="163"/>
      <c r="AX414" s="163"/>
      <c r="AY414" s="163"/>
      <c r="AZ414" s="163"/>
      <c r="BA414" s="163"/>
      <c r="BB414" s="163"/>
      <c r="BC414" s="163"/>
      <c r="BD414" s="163"/>
      <c r="BE414" s="163"/>
      <c r="BF414" s="163"/>
      <c r="BG414" s="163"/>
      <c r="BH414" s="163"/>
      <c r="BI414" s="163"/>
      <c r="BJ414" s="163"/>
      <c r="BK414" s="163"/>
      <c r="BL414" s="163"/>
      <c r="BM414" s="163"/>
      <c r="BN414" s="163"/>
      <c r="BO414" s="163"/>
      <c r="BP414" s="163"/>
      <c r="BQ414" s="163"/>
      <c r="BR414" s="163"/>
      <c r="BS414" s="163"/>
      <c r="BT414" s="163"/>
      <c r="BU414" s="163"/>
      <c r="BV414" s="163"/>
      <c r="BW414" s="163"/>
      <c r="BX414" s="163"/>
      <c r="BY414" s="163"/>
      <c r="BZ414" s="163"/>
      <c r="CA414" s="163"/>
      <c r="CB414" s="163"/>
      <c r="CC414" s="163"/>
      <c r="CD414" s="163"/>
      <c r="CE414" s="163"/>
      <c r="CF414" s="163"/>
      <c r="CG414" s="163"/>
      <c r="CH414" s="163"/>
      <c r="CI414" s="163"/>
      <c r="CJ414" s="163"/>
      <c r="CK414" s="163"/>
      <c r="CL414" s="163"/>
      <c r="CM414" s="163"/>
      <c r="CN414" s="163"/>
      <c r="CO414" s="163"/>
      <c r="CP414" s="163"/>
      <c r="CQ414" s="163"/>
      <c r="CR414" s="163"/>
      <c r="CS414" s="163"/>
      <c r="CT414" s="163"/>
      <c r="CU414" s="163"/>
      <c r="CV414" s="163"/>
      <c r="CW414" s="163"/>
      <c r="CX414" s="163"/>
      <c r="CY414" s="163"/>
      <c r="CZ414" s="163"/>
      <c r="DA414" s="163"/>
      <c r="DB414" s="163"/>
      <c r="DC414" s="163"/>
      <c r="DD414" s="163"/>
      <c r="DE414" s="163"/>
      <c r="DF414" s="163"/>
      <c r="DG414" s="163"/>
      <c r="DH414" s="163"/>
      <c r="DI414" s="163"/>
      <c r="DJ414" s="163"/>
      <c r="DK414" s="163"/>
      <c r="DL414" s="163"/>
      <c r="DM414" s="163"/>
      <c r="DN414" s="163"/>
      <c r="DO414" s="163"/>
      <c r="DP414" s="163"/>
      <c r="DQ414" s="163"/>
      <c r="DR414" s="163"/>
      <c r="DS414" s="163"/>
      <c r="DT414" s="163"/>
      <c r="DU414" s="163"/>
      <c r="DV414" s="163"/>
      <c r="DW414" s="163"/>
      <c r="DX414" s="163"/>
      <c r="DY414" s="163"/>
      <c r="DZ414" s="163"/>
      <c r="EA414" s="163"/>
      <c r="EB414" s="163"/>
      <c r="EC414" s="163"/>
      <c r="ED414" s="163"/>
      <c r="EE414" s="163"/>
      <c r="EF414" s="163"/>
      <c r="EG414" s="163"/>
      <c r="EH414" s="163"/>
      <c r="EI414" s="163"/>
      <c r="EJ414" s="163"/>
      <c r="EK414" s="163"/>
      <c r="EL414" s="163"/>
      <c r="EM414" s="163"/>
    </row>
    <row r="415" spans="1:143" s="334" customFormat="1" x14ac:dyDescent="0.2">
      <c r="A415" s="331" t="s">
        <v>290</v>
      </c>
      <c r="B415" s="333">
        <f>B412</f>
        <v>0.2</v>
      </c>
      <c r="C415" s="333">
        <f t="shared" ref="C415:AG415" si="94">C412</f>
        <v>0.20899999999999999</v>
      </c>
      <c r="D415" s="333">
        <f t="shared" si="94"/>
        <v>0.215</v>
      </c>
      <c r="E415" s="333">
        <f>E412</f>
        <v>0.221</v>
      </c>
      <c r="F415" s="333">
        <f t="shared" si="94"/>
        <v>0.224</v>
      </c>
      <c r="G415" s="333">
        <f t="shared" si="94"/>
        <v>0.22800000000000001</v>
      </c>
      <c r="H415" s="333">
        <f t="shared" si="94"/>
        <v>0.23200000000000001</v>
      </c>
      <c r="I415" s="333">
        <f t="shared" si="94"/>
        <v>0.23499999999999999</v>
      </c>
      <c r="J415" s="333">
        <f t="shared" si="94"/>
        <v>0.23899999999999999</v>
      </c>
      <c r="K415" s="333">
        <f t="shared" si="94"/>
        <v>0.24299999999999999</v>
      </c>
      <c r="L415" s="333">
        <f t="shared" si="94"/>
        <v>0.246</v>
      </c>
      <c r="M415" s="333">
        <f t="shared" si="94"/>
        <v>0.25</v>
      </c>
      <c r="N415" s="333">
        <f t="shared" si="94"/>
        <v>0.255</v>
      </c>
      <c r="O415" s="333">
        <f t="shared" si="94"/>
        <v>0.26</v>
      </c>
      <c r="P415" s="333">
        <f t="shared" si="94"/>
        <v>0.26600000000000001</v>
      </c>
      <c r="Q415" s="333">
        <f t="shared" si="94"/>
        <v>0.26700000000000002</v>
      </c>
      <c r="R415" s="333">
        <f t="shared" si="94"/>
        <v>0.27300000000000002</v>
      </c>
      <c r="S415" s="333">
        <f t="shared" si="94"/>
        <v>0.27900000000000003</v>
      </c>
      <c r="T415" s="333">
        <f t="shared" si="94"/>
        <v>0.28399999999999997</v>
      </c>
      <c r="U415" s="333">
        <f t="shared" si="94"/>
        <v>0.28999999999999998</v>
      </c>
      <c r="V415" s="333">
        <f t="shared" si="94"/>
        <v>0.29499999999999998</v>
      </c>
      <c r="W415" s="333">
        <f t="shared" si="94"/>
        <v>0.30099999999999999</v>
      </c>
      <c r="X415" s="333">
        <f t="shared" si="94"/>
        <v>0.30599999999999999</v>
      </c>
      <c r="Y415" s="333">
        <f t="shared" si="94"/>
        <v>0.312</v>
      </c>
      <c r="Z415" s="333">
        <f t="shared" si="94"/>
        <v>0.318</v>
      </c>
      <c r="AA415" s="333">
        <f t="shared" si="94"/>
        <v>0.32300000000000001</v>
      </c>
      <c r="AB415" s="333">
        <f t="shared" si="94"/>
        <v>0.32900000000000001</v>
      </c>
      <c r="AC415" s="333">
        <f t="shared" si="94"/>
        <v>0.33400000000000002</v>
      </c>
      <c r="AD415" s="333">
        <f t="shared" si="94"/>
        <v>0.34</v>
      </c>
      <c r="AE415" s="333">
        <f t="shared" si="94"/>
        <v>0.34699999999999998</v>
      </c>
      <c r="AF415" s="333">
        <f t="shared" si="94"/>
        <v>0.35299999999999998</v>
      </c>
      <c r="AG415" s="333">
        <f t="shared" si="94"/>
        <v>0.35299999999999998</v>
      </c>
      <c r="AH415" s="333">
        <f>AH412</f>
        <v>0.35299999999999998</v>
      </c>
      <c r="AI415" s="60"/>
      <c r="AJ415" s="60"/>
      <c r="AK415" s="163"/>
      <c r="AL415" s="163"/>
      <c r="AM415" s="163"/>
      <c r="AN415" s="163"/>
      <c r="AO415" s="163"/>
      <c r="AP415" s="163"/>
      <c r="AQ415" s="163"/>
      <c r="AR415" s="163"/>
      <c r="AS415" s="163"/>
      <c r="AT415" s="163"/>
      <c r="AU415" s="163"/>
      <c r="AV415" s="163"/>
      <c r="AW415" s="163"/>
      <c r="AX415" s="163"/>
      <c r="AY415" s="163"/>
      <c r="AZ415" s="163"/>
      <c r="BA415" s="163"/>
      <c r="BB415" s="163"/>
      <c r="BC415" s="163"/>
      <c r="BD415" s="163"/>
      <c r="BE415" s="163"/>
      <c r="BF415" s="163"/>
      <c r="BG415" s="163"/>
      <c r="BH415" s="163"/>
      <c r="BI415" s="163"/>
      <c r="BJ415" s="163"/>
      <c r="BK415" s="163"/>
      <c r="BL415" s="163"/>
      <c r="BM415" s="163"/>
      <c r="BN415" s="163"/>
      <c r="BO415" s="163"/>
      <c r="BP415" s="163"/>
      <c r="BQ415" s="163"/>
      <c r="BR415" s="163"/>
      <c r="BS415" s="163"/>
      <c r="BT415" s="163"/>
      <c r="BU415" s="163"/>
      <c r="BV415" s="163"/>
      <c r="BW415" s="163"/>
      <c r="BX415" s="163"/>
      <c r="BY415" s="163"/>
      <c r="BZ415" s="163"/>
      <c r="CA415" s="163"/>
      <c r="CB415" s="163"/>
      <c r="CC415" s="163"/>
      <c r="CD415" s="163"/>
      <c r="CE415" s="163"/>
      <c r="CF415" s="163"/>
      <c r="CG415" s="163"/>
      <c r="CH415" s="163"/>
      <c r="CI415" s="163"/>
      <c r="CJ415" s="163"/>
      <c r="CK415" s="163"/>
      <c r="CL415" s="163"/>
      <c r="CM415" s="163"/>
      <c r="CN415" s="163"/>
      <c r="CO415" s="163"/>
      <c r="CP415" s="163"/>
      <c r="CQ415" s="163"/>
      <c r="CR415" s="163"/>
      <c r="CS415" s="163"/>
      <c r="CT415" s="163"/>
      <c r="CU415" s="163"/>
      <c r="CV415" s="163"/>
      <c r="CW415" s="163"/>
      <c r="CX415" s="163"/>
      <c r="CY415" s="163"/>
      <c r="CZ415" s="163"/>
      <c r="DA415" s="163"/>
      <c r="DB415" s="163"/>
      <c r="DC415" s="163"/>
      <c r="DD415" s="163"/>
      <c r="DE415" s="163"/>
      <c r="DF415" s="163"/>
      <c r="DG415" s="163"/>
      <c r="DH415" s="163"/>
      <c r="DI415" s="163"/>
      <c r="DJ415" s="163"/>
      <c r="DK415" s="163"/>
      <c r="DL415" s="163"/>
      <c r="DM415" s="163"/>
      <c r="DN415" s="163"/>
      <c r="DO415" s="163"/>
      <c r="DP415" s="163"/>
      <c r="DQ415" s="163"/>
      <c r="DR415" s="163"/>
      <c r="DS415" s="163"/>
      <c r="DT415" s="163"/>
      <c r="DU415" s="163"/>
      <c r="DV415" s="163"/>
      <c r="DW415" s="163"/>
      <c r="DX415" s="163"/>
      <c r="DY415" s="163"/>
      <c r="DZ415" s="163"/>
      <c r="EA415" s="163"/>
      <c r="EB415" s="163"/>
      <c r="EC415" s="163"/>
      <c r="ED415" s="163"/>
      <c r="EE415" s="163"/>
      <c r="EF415" s="163"/>
      <c r="EG415" s="163"/>
      <c r="EH415" s="163"/>
      <c r="EI415" s="163"/>
      <c r="EJ415" s="163"/>
      <c r="EK415" s="163"/>
      <c r="EL415" s="163"/>
      <c r="EM415" s="163"/>
    </row>
    <row r="416" spans="1:143" s="334" customFormat="1" x14ac:dyDescent="0.2">
      <c r="A416" s="345" t="s">
        <v>291</v>
      </c>
      <c r="B416" s="333">
        <f>B410+B415</f>
        <v>0.4</v>
      </c>
      <c r="C416" s="333">
        <f t="shared" ref="C416:AG416" si="95">C410+C415</f>
        <v>0.40400000000000003</v>
      </c>
      <c r="D416" s="333">
        <f t="shared" si="95"/>
        <v>0.41600000000000004</v>
      </c>
      <c r="E416" s="333">
        <f t="shared" si="95"/>
        <v>0.42699999999999999</v>
      </c>
      <c r="F416" s="333">
        <f t="shared" si="95"/>
        <v>0.433</v>
      </c>
      <c r="G416" s="333">
        <f t="shared" si="95"/>
        <v>0.441</v>
      </c>
      <c r="H416" s="333">
        <f t="shared" si="95"/>
        <v>0.44800000000000001</v>
      </c>
      <c r="I416" s="333">
        <f t="shared" si="95"/>
        <v>0.45499999999999996</v>
      </c>
      <c r="J416" s="333">
        <f t="shared" si="95"/>
        <v>0.46199999999999997</v>
      </c>
      <c r="K416" s="333">
        <f t="shared" si="95"/>
        <v>0.47</v>
      </c>
      <c r="L416" s="333">
        <f t="shared" si="95"/>
        <v>0.47599999999999998</v>
      </c>
      <c r="M416" s="333">
        <f t="shared" si="95"/>
        <v>0.48299999999999998</v>
      </c>
      <c r="N416" s="333">
        <f t="shared" si="95"/>
        <v>0.49299999999999999</v>
      </c>
      <c r="O416" s="333">
        <f t="shared" si="95"/>
        <v>0.503</v>
      </c>
      <c r="P416" s="333">
        <f t="shared" si="95"/>
        <v>0.51400000000000001</v>
      </c>
      <c r="Q416" s="333">
        <f t="shared" si="95"/>
        <v>0.51600000000000001</v>
      </c>
      <c r="R416" s="333">
        <f t="shared" si="95"/>
        <v>0.52700000000000002</v>
      </c>
      <c r="S416" s="333">
        <f t="shared" si="95"/>
        <v>0.53800000000000003</v>
      </c>
      <c r="T416" s="333">
        <f t="shared" si="95"/>
        <v>0.54800000000000004</v>
      </c>
      <c r="U416" s="333">
        <f t="shared" si="95"/>
        <v>0.55899999999999994</v>
      </c>
      <c r="V416" s="333">
        <f t="shared" si="95"/>
        <v>0.57000000000000006</v>
      </c>
      <c r="W416" s="333">
        <f t="shared" si="95"/>
        <v>0.58099999999999996</v>
      </c>
      <c r="X416" s="333">
        <f t="shared" si="95"/>
        <v>0.59099999999999997</v>
      </c>
      <c r="Y416" s="333">
        <f t="shared" si="95"/>
        <v>0.60199999999999998</v>
      </c>
      <c r="Z416" s="333">
        <f t="shared" si="95"/>
        <v>0.61299999999999999</v>
      </c>
      <c r="AA416" s="333">
        <f t="shared" si="95"/>
        <v>0.624</v>
      </c>
      <c r="AB416" s="333">
        <f t="shared" si="95"/>
        <v>0.63500000000000001</v>
      </c>
      <c r="AC416" s="333">
        <f t="shared" si="95"/>
        <v>0.64500000000000002</v>
      </c>
      <c r="AD416" s="333">
        <f t="shared" si="95"/>
        <v>0.65600000000000003</v>
      </c>
      <c r="AE416" s="333">
        <f t="shared" si="95"/>
        <v>0.66900000000000004</v>
      </c>
      <c r="AF416" s="333">
        <f t="shared" si="95"/>
        <v>0.68199999999999994</v>
      </c>
      <c r="AG416" s="333">
        <f t="shared" si="95"/>
        <v>0.68199999999999994</v>
      </c>
      <c r="AH416" s="333">
        <f>AH410+AH415</f>
        <v>0.68199999999999994</v>
      </c>
      <c r="AI416" s="60"/>
      <c r="AJ416" s="60"/>
      <c r="AK416" s="163"/>
      <c r="AL416" s="163"/>
      <c r="AM416" s="163"/>
      <c r="AN416" s="163"/>
      <c r="AO416" s="163"/>
      <c r="AP416" s="163"/>
      <c r="AQ416" s="163"/>
      <c r="AR416" s="163"/>
      <c r="AS416" s="163"/>
      <c r="AT416" s="163"/>
      <c r="AU416" s="163"/>
      <c r="AV416" s="163"/>
      <c r="AW416" s="163"/>
      <c r="AX416" s="163"/>
      <c r="AY416" s="163"/>
      <c r="AZ416" s="163"/>
      <c r="BA416" s="163"/>
      <c r="BB416" s="163"/>
      <c r="BC416" s="163"/>
      <c r="BD416" s="163"/>
      <c r="BE416" s="163"/>
      <c r="BF416" s="163"/>
      <c r="BG416" s="163"/>
      <c r="BH416" s="163"/>
      <c r="BI416" s="163"/>
      <c r="BJ416" s="163"/>
      <c r="BK416" s="163"/>
      <c r="BL416" s="163"/>
      <c r="BM416" s="163"/>
      <c r="BN416" s="163"/>
      <c r="BO416" s="163"/>
      <c r="BP416" s="163"/>
      <c r="BQ416" s="163"/>
      <c r="BR416" s="163"/>
      <c r="BS416" s="163"/>
      <c r="BT416" s="163"/>
      <c r="BU416" s="163"/>
      <c r="BV416" s="163"/>
      <c r="BW416" s="163"/>
      <c r="BX416" s="163"/>
      <c r="BY416" s="163"/>
      <c r="BZ416" s="163"/>
      <c r="CA416" s="163"/>
      <c r="CB416" s="163"/>
      <c r="CC416" s="163"/>
      <c r="CD416" s="163"/>
      <c r="CE416" s="163"/>
      <c r="CF416" s="163"/>
      <c r="CG416" s="163"/>
      <c r="CH416" s="163"/>
      <c r="CI416" s="163"/>
      <c r="CJ416" s="163"/>
      <c r="CK416" s="163"/>
      <c r="CL416" s="163"/>
      <c r="CM416" s="163"/>
      <c r="CN416" s="163"/>
      <c r="CO416" s="163"/>
      <c r="CP416" s="163"/>
      <c r="CQ416" s="163"/>
      <c r="CR416" s="163"/>
      <c r="CS416" s="163"/>
      <c r="CT416" s="163"/>
      <c r="CU416" s="163"/>
      <c r="CV416" s="163"/>
      <c r="CW416" s="163"/>
      <c r="CX416" s="163"/>
      <c r="CY416" s="163"/>
      <c r="CZ416" s="163"/>
      <c r="DA416" s="163"/>
      <c r="DB416" s="163"/>
      <c r="DC416" s="163"/>
      <c r="DD416" s="163"/>
      <c r="DE416" s="163"/>
      <c r="DF416" s="163"/>
      <c r="DG416" s="163"/>
      <c r="DH416" s="163"/>
      <c r="DI416" s="163"/>
      <c r="DJ416" s="163"/>
      <c r="DK416" s="163"/>
      <c r="DL416" s="163"/>
      <c r="DM416" s="163"/>
      <c r="DN416" s="163"/>
      <c r="DO416" s="163"/>
      <c r="DP416" s="163"/>
      <c r="DQ416" s="163"/>
      <c r="DR416" s="163"/>
      <c r="DS416" s="163"/>
      <c r="DT416" s="163"/>
      <c r="DU416" s="163"/>
      <c r="DV416" s="163"/>
      <c r="DW416" s="163"/>
      <c r="DX416" s="163"/>
      <c r="DY416" s="163"/>
      <c r="DZ416" s="163"/>
      <c r="EA416" s="163"/>
      <c r="EB416" s="163"/>
      <c r="EC416" s="163"/>
      <c r="ED416" s="163"/>
      <c r="EE416" s="163"/>
      <c r="EF416" s="163"/>
      <c r="EG416" s="163"/>
      <c r="EH416" s="163"/>
      <c r="EI416" s="163"/>
      <c r="EJ416" s="163"/>
      <c r="EK416" s="163"/>
      <c r="EL416" s="163"/>
      <c r="EM416" s="163"/>
    </row>
    <row r="417" spans="1:143" s="356" customFormat="1" x14ac:dyDescent="0.2">
      <c r="A417" s="278" t="s">
        <v>281</v>
      </c>
      <c r="B417" s="355">
        <f>B390</f>
        <v>2014</v>
      </c>
      <c r="C417" s="355">
        <f t="shared" ref="C417:AG417" si="96">C390</f>
        <v>2015</v>
      </c>
      <c r="D417" s="355">
        <f t="shared" si="96"/>
        <v>2016</v>
      </c>
      <c r="E417" s="355">
        <f t="shared" si="96"/>
        <v>2017</v>
      </c>
      <c r="F417" s="355">
        <f t="shared" si="96"/>
        <v>2018</v>
      </c>
      <c r="G417" s="355">
        <f t="shared" si="96"/>
        <v>2019</v>
      </c>
      <c r="H417" s="355">
        <f t="shared" si="96"/>
        <v>2020</v>
      </c>
      <c r="I417" s="355">
        <f t="shared" si="96"/>
        <v>2021</v>
      </c>
      <c r="J417" s="355">
        <f t="shared" si="96"/>
        <v>2022</v>
      </c>
      <c r="K417" s="355">
        <f t="shared" si="96"/>
        <v>2023</v>
      </c>
      <c r="L417" s="355">
        <f t="shared" si="96"/>
        <v>2024</v>
      </c>
      <c r="M417" s="355">
        <f t="shared" si="96"/>
        <v>2025</v>
      </c>
      <c r="N417" s="355">
        <f t="shared" si="96"/>
        <v>2026</v>
      </c>
      <c r="O417" s="355">
        <f t="shared" si="96"/>
        <v>2027</v>
      </c>
      <c r="P417" s="355">
        <f t="shared" si="96"/>
        <v>2028</v>
      </c>
      <c r="Q417" s="355">
        <f t="shared" si="96"/>
        <v>2029</v>
      </c>
      <c r="R417" s="355">
        <f t="shared" si="96"/>
        <v>2030</v>
      </c>
      <c r="S417" s="355">
        <f t="shared" si="96"/>
        <v>2031</v>
      </c>
      <c r="T417" s="355">
        <f t="shared" si="96"/>
        <v>2032</v>
      </c>
      <c r="U417" s="355">
        <f t="shared" si="96"/>
        <v>2033</v>
      </c>
      <c r="V417" s="355">
        <f t="shared" si="96"/>
        <v>2034</v>
      </c>
      <c r="W417" s="355">
        <f t="shared" si="96"/>
        <v>2035</v>
      </c>
      <c r="X417" s="355">
        <f t="shared" si="96"/>
        <v>2036</v>
      </c>
      <c r="Y417" s="355">
        <f t="shared" si="96"/>
        <v>2037</v>
      </c>
      <c r="Z417" s="355">
        <f t="shared" si="96"/>
        <v>2038</v>
      </c>
      <c r="AA417" s="355">
        <f t="shared" si="96"/>
        <v>2039</v>
      </c>
      <c r="AB417" s="355">
        <f t="shared" si="96"/>
        <v>2040</v>
      </c>
      <c r="AC417" s="355">
        <f t="shared" si="96"/>
        <v>2041</v>
      </c>
      <c r="AD417" s="355">
        <f t="shared" si="96"/>
        <v>2042</v>
      </c>
      <c r="AE417" s="355">
        <f t="shared" si="96"/>
        <v>2043</v>
      </c>
      <c r="AF417" s="355">
        <f t="shared" si="96"/>
        <v>2044</v>
      </c>
      <c r="AG417" s="355">
        <f t="shared" si="96"/>
        <v>2045</v>
      </c>
      <c r="AH417" s="355">
        <f>AH390</f>
        <v>2046</v>
      </c>
      <c r="AI417" s="60"/>
      <c r="AJ417" s="60"/>
    </row>
    <row r="418" spans="1:143" s="305" customFormat="1" x14ac:dyDescent="0.2">
      <c r="A418" s="92" t="s">
        <v>431</v>
      </c>
      <c r="B418" s="347">
        <f>'Datu ievade'!$C$43</f>
        <v>201.845</v>
      </c>
      <c r="C418" s="347">
        <f>$B$418*HLOOKUP(C$390,'Datu ievade'!$C$436:$AG$443,6)</f>
        <v>215.97415000000001</v>
      </c>
      <c r="D418" s="347">
        <f>$B$418*HLOOKUP(D$390,'Datu ievade'!$C$436:$AG$443,6)</f>
        <v>222.02950000000001</v>
      </c>
      <c r="E418" s="347">
        <f>$B$418*HLOOKUP(E$390,'Datu ievade'!$C$436:$AG$443,6)</f>
        <v>228.08484999999999</v>
      </c>
      <c r="F418" s="347">
        <f>$B$418*HLOOKUP(F$390,'Datu ievade'!$C$436:$AG$443,6)</f>
        <v>232.12174999999999</v>
      </c>
      <c r="G418" s="347">
        <f>$B$418*HLOOKUP(G$390,'Datu ievade'!$C$436:$AG$443,6)</f>
        <v>236.15864999999999</v>
      </c>
      <c r="H418" s="347">
        <f>$B$418*HLOOKUP(H$390,'Datu ievade'!$C$436:$AG$443,6)</f>
        <v>240.19555</v>
      </c>
      <c r="I418" s="347">
        <f>$B$418*HLOOKUP(I$390,'Datu ievade'!$C$436:$AG$443,6)</f>
        <v>244.23245</v>
      </c>
      <c r="J418" s="347">
        <f>$B$418*HLOOKUP(J$390,'Datu ievade'!$C$436:$AG$443,6)</f>
        <v>248.26935</v>
      </c>
      <c r="K418" s="347">
        <f>$B$418*HLOOKUP(K$390,'Datu ievade'!$C$436:$AG$443,6)</f>
        <v>252.30625000000001</v>
      </c>
      <c r="L418" s="347">
        <f>$B$418*HLOOKUP(L$390,'Datu ievade'!$C$436:$AG$443,6)</f>
        <v>256.34314999999998</v>
      </c>
      <c r="M418" s="347">
        <f>$B$418*HLOOKUP(M$390,'Datu ievade'!$C$436:$AG$443,6)</f>
        <v>260.38004999999998</v>
      </c>
      <c r="N418" s="347">
        <f>$B$418*HLOOKUP(N$390,'Datu ievade'!$C$436:$AG$443,6)</f>
        <v>264.41694999999999</v>
      </c>
      <c r="O418" s="347">
        <f>$B$418*HLOOKUP(O$390,'Datu ievade'!$C$436:$AG$443,6)</f>
        <v>268.45384999999999</v>
      </c>
      <c r="P418" s="347">
        <f>$B$418*HLOOKUP(P$390,'Datu ievade'!$C$436:$AG$443,6)</f>
        <v>274.50920000000002</v>
      </c>
      <c r="Q418" s="347">
        <f>$B$418*HLOOKUP(Q$390,'Datu ievade'!$C$436:$AG$443,6)</f>
        <v>280.56455</v>
      </c>
      <c r="R418" s="347">
        <f>$B$418*HLOOKUP(R$390,'Datu ievade'!$C$436:$AG$443,6)</f>
        <v>286.61989999999997</v>
      </c>
      <c r="S418" s="347">
        <f>$B$418*HLOOKUP(S$390,'Datu ievade'!$C$436:$AG$443,6)</f>
        <v>292.67525000000001</v>
      </c>
      <c r="T418" s="347">
        <f>$B$418*HLOOKUP(T$390,'Datu ievade'!$C$436:$AG$443,6)</f>
        <v>298.73059999999998</v>
      </c>
      <c r="U418" s="347">
        <f>$B$418*HLOOKUP(U$390,'Datu ievade'!$C$436:$AG$443,6)</f>
        <v>304.78595000000001</v>
      </c>
      <c r="V418" s="347">
        <f>$B$418*HLOOKUP(V$390,'Datu ievade'!$C$436:$AG$443,6)</f>
        <v>310.84129999999999</v>
      </c>
      <c r="W418" s="347">
        <f>$B$418*HLOOKUP(W$390,'Datu ievade'!$C$436:$AG$443,6)</f>
        <v>316.89665000000002</v>
      </c>
      <c r="X418" s="347">
        <f>$B$418*HLOOKUP(X$390,'Datu ievade'!$C$436:$AG$443,6)</f>
        <v>322.952</v>
      </c>
      <c r="Y418" s="347">
        <f>$B$418*HLOOKUP(Y$390,'Datu ievade'!$C$436:$AG$443,6)</f>
        <v>329.00734999999997</v>
      </c>
      <c r="Z418" s="347">
        <f>$B$418*HLOOKUP(Z$390,'Datu ievade'!$C$436:$AG$443,6)</f>
        <v>335.06270000000001</v>
      </c>
      <c r="AA418" s="347">
        <f>$B$418*HLOOKUP(AA$390,'Datu ievade'!$C$436:$AG$443,6)</f>
        <v>341.11804999999998</v>
      </c>
      <c r="AB418" s="347">
        <f>$B$418*HLOOKUP(AB$390,'Datu ievade'!$C$436:$AG$443,6)</f>
        <v>347.17340000000002</v>
      </c>
      <c r="AC418" s="347">
        <f>$B$418*HLOOKUP(AC$390,'Datu ievade'!$C$436:$AG$443,6)</f>
        <v>353.22874999999999</v>
      </c>
      <c r="AD418" s="347">
        <f>$B$418*HLOOKUP(AD$390,'Datu ievade'!$C$436:$AG$443,6)</f>
        <v>359.28410000000002</v>
      </c>
      <c r="AE418" s="347">
        <f>$B$418*HLOOKUP(AE$390,'Datu ievade'!$C$436:$AG$443,6)</f>
        <v>365.33945</v>
      </c>
      <c r="AF418" s="347">
        <f>$B$418*HLOOKUP(AF$390,'Datu ievade'!$C$436:$AG$443,6)</f>
        <v>371.39480000000003</v>
      </c>
      <c r="AG418" s="347">
        <f>$B$418*HLOOKUP(AG$390,'Datu ievade'!$C$436:$AG$443,6)</f>
        <v>371.39480000000003</v>
      </c>
      <c r="AH418" s="347">
        <f>$B$418*HLOOKUP(AH$390,'Datu ievade'!$C$436:$AG$443,6)</f>
        <v>371.39480000000003</v>
      </c>
      <c r="AI418" s="60"/>
      <c r="AJ418" s="60"/>
      <c r="AK418" s="356"/>
      <c r="AL418" s="356"/>
      <c r="AM418" s="356"/>
      <c r="AN418" s="356"/>
      <c r="AO418" s="356"/>
      <c r="AP418" s="356"/>
      <c r="AQ418" s="356"/>
      <c r="AR418" s="356"/>
      <c r="AS418" s="356"/>
      <c r="AT418" s="356"/>
      <c r="AU418" s="356"/>
      <c r="AV418" s="356"/>
      <c r="AW418" s="356"/>
      <c r="AX418" s="356"/>
      <c r="AY418" s="356"/>
      <c r="AZ418" s="356"/>
      <c r="BA418" s="356"/>
      <c r="BB418" s="356"/>
      <c r="BC418" s="356"/>
      <c r="BD418" s="356"/>
      <c r="BE418" s="356"/>
      <c r="BF418" s="356"/>
      <c r="BG418" s="356"/>
      <c r="BH418" s="356"/>
      <c r="BI418" s="356"/>
      <c r="BJ418" s="356"/>
      <c r="BK418" s="356"/>
      <c r="BL418" s="356"/>
      <c r="BM418" s="356"/>
      <c r="BN418" s="356"/>
      <c r="BO418" s="356"/>
      <c r="BP418" s="356"/>
      <c r="BQ418" s="356"/>
      <c r="BR418" s="356"/>
      <c r="BS418" s="356"/>
      <c r="BT418" s="356"/>
      <c r="BU418" s="356"/>
      <c r="BV418" s="356"/>
      <c r="BW418" s="356"/>
      <c r="BX418" s="356"/>
      <c r="BY418" s="356"/>
      <c r="BZ418" s="356"/>
      <c r="CA418" s="356"/>
      <c r="CB418" s="356"/>
      <c r="CC418" s="356"/>
      <c r="CD418" s="356"/>
      <c r="CE418" s="356"/>
      <c r="CF418" s="356"/>
      <c r="CG418" s="356"/>
      <c r="CH418" s="356"/>
      <c r="CI418" s="356"/>
      <c r="CJ418" s="356"/>
      <c r="CK418" s="356"/>
      <c r="CL418" s="356"/>
      <c r="CM418" s="356"/>
      <c r="CN418" s="356"/>
      <c r="CO418" s="356"/>
      <c r="CP418" s="356"/>
      <c r="CQ418" s="356"/>
      <c r="CR418" s="356"/>
      <c r="CS418" s="356"/>
      <c r="CT418" s="356"/>
      <c r="CU418" s="356"/>
      <c r="CV418" s="356"/>
      <c r="CW418" s="356"/>
      <c r="CX418" s="356"/>
      <c r="CY418" s="356"/>
      <c r="CZ418" s="356"/>
      <c r="DA418" s="356"/>
      <c r="DB418" s="356"/>
      <c r="DC418" s="356"/>
      <c r="DD418" s="356"/>
      <c r="DE418" s="356"/>
      <c r="DF418" s="356"/>
      <c r="DG418" s="356"/>
      <c r="DH418" s="356"/>
      <c r="DI418" s="356"/>
      <c r="DJ418" s="356"/>
      <c r="DK418" s="356"/>
      <c r="DL418" s="356"/>
      <c r="DM418" s="356"/>
      <c r="DN418" s="356"/>
      <c r="DO418" s="356"/>
      <c r="DP418" s="356"/>
      <c r="DQ418" s="356"/>
      <c r="DR418" s="356"/>
      <c r="DS418" s="356"/>
      <c r="DT418" s="356"/>
      <c r="DU418" s="356"/>
      <c r="DV418" s="356"/>
      <c r="DW418" s="356"/>
      <c r="DX418" s="356"/>
      <c r="DY418" s="356"/>
      <c r="DZ418" s="356"/>
      <c r="EA418" s="356"/>
      <c r="EB418" s="356"/>
      <c r="EC418" s="356"/>
      <c r="ED418" s="356"/>
      <c r="EE418" s="356"/>
      <c r="EF418" s="356"/>
      <c r="EG418" s="356"/>
      <c r="EH418" s="356"/>
      <c r="EI418" s="356"/>
      <c r="EJ418" s="356"/>
      <c r="EK418" s="356"/>
      <c r="EL418" s="356"/>
      <c r="EM418" s="356"/>
    </row>
    <row r="419" spans="1:143" s="356" customFormat="1" x14ac:dyDescent="0.2">
      <c r="A419" s="227" t="s">
        <v>282</v>
      </c>
      <c r="B419" s="357">
        <f t="shared" ref="B419:AH419" si="97">E263*$B$39*30/1000</f>
        <v>8.25</v>
      </c>
      <c r="C419" s="357">
        <f t="shared" si="97"/>
        <v>8.25</v>
      </c>
      <c r="D419" s="357">
        <f t="shared" si="97"/>
        <v>8.25</v>
      </c>
      <c r="E419" s="357">
        <f t="shared" si="97"/>
        <v>8.25</v>
      </c>
      <c r="F419" s="357">
        <f t="shared" si="97"/>
        <v>6.75</v>
      </c>
      <c r="G419" s="357">
        <f t="shared" si="97"/>
        <v>6.75</v>
      </c>
      <c r="H419" s="357">
        <f t="shared" si="97"/>
        <v>6.75</v>
      </c>
      <c r="I419" s="357">
        <f t="shared" si="97"/>
        <v>6.75</v>
      </c>
      <c r="J419" s="357">
        <f t="shared" si="97"/>
        <v>6.75</v>
      </c>
      <c r="K419" s="357">
        <f t="shared" si="97"/>
        <v>6.75</v>
      </c>
      <c r="L419" s="357">
        <f t="shared" si="97"/>
        <v>6.75</v>
      </c>
      <c r="M419" s="357">
        <f t="shared" si="97"/>
        <v>6.75</v>
      </c>
      <c r="N419" s="357">
        <f t="shared" si="97"/>
        <v>6.75</v>
      </c>
      <c r="O419" s="357">
        <f t="shared" si="97"/>
        <v>6.75</v>
      </c>
      <c r="P419" s="357">
        <f t="shared" si="97"/>
        <v>6.75</v>
      </c>
      <c r="Q419" s="357">
        <f t="shared" si="97"/>
        <v>6.75</v>
      </c>
      <c r="R419" s="357">
        <f t="shared" si="97"/>
        <v>6.75</v>
      </c>
      <c r="S419" s="357">
        <f t="shared" si="97"/>
        <v>6.75</v>
      </c>
      <c r="T419" s="357">
        <f t="shared" si="97"/>
        <v>6.75</v>
      </c>
      <c r="U419" s="357">
        <f t="shared" si="97"/>
        <v>6.75</v>
      </c>
      <c r="V419" s="357">
        <f t="shared" si="97"/>
        <v>6.75</v>
      </c>
      <c r="W419" s="357">
        <f t="shared" si="97"/>
        <v>6.75</v>
      </c>
      <c r="X419" s="357">
        <f t="shared" si="97"/>
        <v>6.75</v>
      </c>
      <c r="Y419" s="357">
        <f t="shared" si="97"/>
        <v>6.75</v>
      </c>
      <c r="Z419" s="357">
        <f t="shared" si="97"/>
        <v>6.75</v>
      </c>
      <c r="AA419" s="357">
        <f t="shared" si="97"/>
        <v>6.75</v>
      </c>
      <c r="AB419" s="357">
        <f t="shared" si="97"/>
        <v>6.75</v>
      </c>
      <c r="AC419" s="357">
        <f t="shared" si="97"/>
        <v>6.75</v>
      </c>
      <c r="AD419" s="357">
        <f t="shared" si="97"/>
        <v>6.75</v>
      </c>
      <c r="AE419" s="357">
        <f t="shared" si="97"/>
        <v>6.75</v>
      </c>
      <c r="AF419" s="357">
        <f t="shared" si="97"/>
        <v>6.75</v>
      </c>
      <c r="AG419" s="357">
        <f t="shared" si="97"/>
        <v>6.75</v>
      </c>
      <c r="AH419" s="357">
        <f t="shared" si="97"/>
        <v>6.75</v>
      </c>
      <c r="AI419" s="60"/>
      <c r="AJ419" s="60"/>
    </row>
    <row r="420" spans="1:143" s="305" customFormat="1" ht="25.5" x14ac:dyDescent="0.2">
      <c r="A420" s="358" t="s">
        <v>432</v>
      </c>
      <c r="B420" s="347">
        <f>B392*B419*(1+'Datu ievade'!C444)</f>
        <v>1.8667275000000001</v>
      </c>
      <c r="C420" s="347">
        <f>C392*C419*(1+'Datu ievade'!D444)</f>
        <v>1.9465875000000001</v>
      </c>
      <c r="D420" s="347">
        <f>D392*D419*(1+'Datu ievade'!E444)</f>
        <v>2.0863424999999998</v>
      </c>
      <c r="E420" s="347">
        <f ca="1">E392*E419*(1+'Datu ievade'!F444)</f>
        <v>2.2260974999999998</v>
      </c>
      <c r="F420" s="347">
        <f ca="1">F392*F419*(1+'Datu ievade'!G444)</f>
        <v>2.172555</v>
      </c>
      <c r="G420" s="347">
        <f ca="1">G392*G419*(1+'Datu ievade'!H444)</f>
        <v>2.2133924999999999</v>
      </c>
      <c r="H420" s="347">
        <f ca="1">H392*H419*(1+'Datu ievade'!I444)</f>
        <v>2.2542300000000002</v>
      </c>
      <c r="I420" s="347">
        <f ca="1">I392*I419*(1+'Datu ievade'!J444)</f>
        <v>2.3114024999999998</v>
      </c>
      <c r="J420" s="347">
        <f ca="1">J392*J419*(1+'Datu ievade'!K444)</f>
        <v>2.3522399999999997</v>
      </c>
      <c r="K420" s="347">
        <f ca="1">K392*K419*(1+'Datu ievade'!L444)</f>
        <v>2.3930775</v>
      </c>
      <c r="L420" s="347">
        <f ca="1">L392*L419*(1+'Datu ievade'!M444)</f>
        <v>2.4257474999999999</v>
      </c>
      <c r="M420" s="347">
        <f ca="1">M392*M419*(1+'Datu ievade'!N444)</f>
        <v>2.4747524999999997</v>
      </c>
      <c r="N420" s="347">
        <f ca="1">N392*N419*(1+'Datu ievade'!O444)</f>
        <v>2.5237574999999999</v>
      </c>
      <c r="O420" s="347">
        <f ca="1">O392*O419*(1+'Datu ievade'!P444)</f>
        <v>2.5727625000000001</v>
      </c>
      <c r="P420" s="347">
        <f ca="1">P392*P419*(1+'Datu ievade'!Q444)</f>
        <v>2.5890974999999998</v>
      </c>
      <c r="Q420" s="347">
        <f ca="1">Q392*Q419*(1+'Datu ievade'!R444)</f>
        <v>2.6054324999999996</v>
      </c>
      <c r="R420" s="347">
        <f ca="1">R392*R419*(1+'Datu ievade'!S444)</f>
        <v>2.6544375000000002</v>
      </c>
      <c r="S420" s="347">
        <f ca="1">S392*S419*(1+'Datu ievade'!T444)</f>
        <v>2.7116099999999999</v>
      </c>
      <c r="T420" s="347">
        <f ca="1">T392*T419*(1+'Datu ievade'!U444)</f>
        <v>2.7606150000000005</v>
      </c>
      <c r="U420" s="347">
        <f ca="1">U392*U419*(1+'Datu ievade'!V444)</f>
        <v>2.8586249999999995</v>
      </c>
      <c r="V420" s="347">
        <f ca="1">V392*V419*(1+'Datu ievade'!W444)</f>
        <v>2.9076300000000002</v>
      </c>
      <c r="W420" s="347">
        <f ca="1">W392*W419*(1+'Datu ievade'!X444)</f>
        <v>2.9648024999999998</v>
      </c>
      <c r="X420" s="347">
        <f ca="1">X392*X419*(1+'Datu ievade'!Y444)</f>
        <v>3.0138074999999995</v>
      </c>
      <c r="Y420" s="347">
        <f ca="1">Y392*Y419*(1+'Datu ievade'!Z444)</f>
        <v>3.0709799999999996</v>
      </c>
      <c r="Z420" s="347">
        <f ca="1">Z392*Z419*(1+'Datu ievade'!AA444)</f>
        <v>3.1281525000000001</v>
      </c>
      <c r="AA420" s="347">
        <f ca="1">AA392*AA419*(1+'Datu ievade'!AB444)</f>
        <v>3.1771574999999999</v>
      </c>
      <c r="AB420" s="347">
        <f ca="1">AB392*AB419*(1+'Datu ievade'!AC444)</f>
        <v>3.2343299999999999</v>
      </c>
      <c r="AC420" s="347">
        <f ca="1">AC392*AC419*(1+'Datu ievade'!AD444)</f>
        <v>3.2915025</v>
      </c>
      <c r="AD420" s="347">
        <f ca="1">AD392*AD419*(1+'Datu ievade'!AE444)</f>
        <v>3.3405074999999997</v>
      </c>
      <c r="AE420" s="347">
        <f ca="1">AE392*AE419*(1+'Datu ievade'!AF444)</f>
        <v>3.4058475000000001</v>
      </c>
      <c r="AF420" s="347">
        <f ca="1">AF392*AF419*(1+'Datu ievade'!AG444)</f>
        <v>3.4793549999999995</v>
      </c>
      <c r="AG420" s="347">
        <f ca="1">AG392*AG419*(1+'Datu ievade'!AH444)</f>
        <v>3.4711874999999996</v>
      </c>
      <c r="AH420" s="347">
        <f ca="1">AH392*AH419*(1+'Datu ievade'!AH433)</f>
        <v>3.4711874999999996</v>
      </c>
      <c r="AI420" s="60"/>
      <c r="AJ420" s="60"/>
    </row>
    <row r="421" spans="1:143" s="305" customFormat="1" x14ac:dyDescent="0.2">
      <c r="A421" s="227" t="s">
        <v>283</v>
      </c>
      <c r="B421" s="359">
        <f t="shared" ref="B421:AH421" si="98">E298*$B$39*30/1000</f>
        <v>7.875</v>
      </c>
      <c r="C421" s="359">
        <f t="shared" si="98"/>
        <v>7.875</v>
      </c>
      <c r="D421" s="359">
        <f t="shared" si="98"/>
        <v>7.875</v>
      </c>
      <c r="E421" s="359">
        <f t="shared" si="98"/>
        <v>7.875</v>
      </c>
      <c r="F421" s="359">
        <f t="shared" si="98"/>
        <v>6.375</v>
      </c>
      <c r="G421" s="359">
        <f t="shared" si="98"/>
        <v>6.375</v>
      </c>
      <c r="H421" s="359">
        <f t="shared" si="98"/>
        <v>6.375</v>
      </c>
      <c r="I421" s="359">
        <f t="shared" si="98"/>
        <v>6.375</v>
      </c>
      <c r="J421" s="359">
        <f t="shared" si="98"/>
        <v>6.375</v>
      </c>
      <c r="K421" s="359">
        <f t="shared" si="98"/>
        <v>6.375</v>
      </c>
      <c r="L421" s="359">
        <f t="shared" si="98"/>
        <v>6.375</v>
      </c>
      <c r="M421" s="359">
        <f t="shared" si="98"/>
        <v>6.375</v>
      </c>
      <c r="N421" s="359">
        <f t="shared" si="98"/>
        <v>6.375</v>
      </c>
      <c r="O421" s="359">
        <f t="shared" si="98"/>
        <v>6.375</v>
      </c>
      <c r="P421" s="359">
        <f t="shared" si="98"/>
        <v>6.375</v>
      </c>
      <c r="Q421" s="359">
        <f t="shared" si="98"/>
        <v>6.375</v>
      </c>
      <c r="R421" s="359">
        <f t="shared" si="98"/>
        <v>6.375</v>
      </c>
      <c r="S421" s="359">
        <f t="shared" si="98"/>
        <v>6.375</v>
      </c>
      <c r="T421" s="359">
        <f t="shared" si="98"/>
        <v>6.375</v>
      </c>
      <c r="U421" s="359">
        <f t="shared" si="98"/>
        <v>6.375</v>
      </c>
      <c r="V421" s="359">
        <f t="shared" si="98"/>
        <v>6.375</v>
      </c>
      <c r="W421" s="359">
        <f t="shared" si="98"/>
        <v>6.375</v>
      </c>
      <c r="X421" s="359">
        <f t="shared" si="98"/>
        <v>6.375</v>
      </c>
      <c r="Y421" s="359">
        <f t="shared" si="98"/>
        <v>6.375</v>
      </c>
      <c r="Z421" s="359">
        <f t="shared" si="98"/>
        <v>6.375</v>
      </c>
      <c r="AA421" s="359">
        <f t="shared" si="98"/>
        <v>6.375</v>
      </c>
      <c r="AB421" s="359">
        <f t="shared" si="98"/>
        <v>6.375</v>
      </c>
      <c r="AC421" s="359">
        <f t="shared" si="98"/>
        <v>6.375</v>
      </c>
      <c r="AD421" s="359">
        <f t="shared" si="98"/>
        <v>6.375</v>
      </c>
      <c r="AE421" s="359">
        <f t="shared" si="98"/>
        <v>6.375</v>
      </c>
      <c r="AF421" s="359">
        <f t="shared" si="98"/>
        <v>6.375</v>
      </c>
      <c r="AG421" s="359">
        <f t="shared" si="98"/>
        <v>6.375</v>
      </c>
      <c r="AH421" s="359">
        <f t="shared" si="98"/>
        <v>6.375</v>
      </c>
      <c r="AI421" s="60"/>
      <c r="AJ421" s="60"/>
    </row>
    <row r="422" spans="1:143" s="305" customFormat="1" ht="25.5" x14ac:dyDescent="0.2">
      <c r="A422" s="358" t="s">
        <v>433</v>
      </c>
      <c r="B422" s="347">
        <f>B402*B421*(1+'Datu ievade'!C444)</f>
        <v>1.9057500000000001</v>
      </c>
      <c r="C422" s="347">
        <f>C402*C421*(1+'Datu ievade'!D444)</f>
        <v>1.9915087499999999</v>
      </c>
      <c r="D422" s="347">
        <f>D402*D421*(1+'Datu ievade'!E444)</f>
        <v>2.20114125</v>
      </c>
      <c r="E422" s="347">
        <f ca="1">E402*E421*(1+'Datu ievade'!F444)</f>
        <v>2.4107737500000002</v>
      </c>
      <c r="F422" s="347">
        <f ca="1">F402*F421*(1+'Datu ievade'!G444)</f>
        <v>2.02871625</v>
      </c>
      <c r="G422" s="347">
        <f ca="1">G402*G421*(1+'Datu ievade'!H444)</f>
        <v>2.0595712499999999</v>
      </c>
      <c r="H422" s="347">
        <f ca="1">H402*H421*(1+'Datu ievade'!I444)</f>
        <v>2.12128125</v>
      </c>
      <c r="I422" s="347">
        <f ca="1">I402*I421*(1+'Datu ievade'!J444)</f>
        <v>2.15985</v>
      </c>
      <c r="J422" s="347">
        <f ca="1">J402*J421*(1+'Datu ievade'!K444)</f>
        <v>2.2138462499999996</v>
      </c>
      <c r="K422" s="347">
        <f ca="1">K402*K421*(1+'Datu ievade'!L444)</f>
        <v>2.2524150000000001</v>
      </c>
      <c r="L422" s="347">
        <f ca="1">L402*L421*(1+'Datu ievade'!M444)</f>
        <v>2.2832699999999999</v>
      </c>
      <c r="M422" s="347">
        <f ca="1">M402*M421*(1+'Datu ievade'!N444)</f>
        <v>2.3449800000000001</v>
      </c>
      <c r="N422" s="347">
        <f ca="1">N402*N421*(1+'Datu ievade'!O444)</f>
        <v>2.3912624999999998</v>
      </c>
      <c r="O422" s="347">
        <f ca="1">O402*O421*(1+'Datu ievade'!P444)</f>
        <v>2.4298312500000003</v>
      </c>
      <c r="P422" s="347">
        <f ca="1">P402*P421*(1+'Datu ievade'!Q444)</f>
        <v>2.3758349999999999</v>
      </c>
      <c r="Q422" s="347">
        <f ca="1">Q402*Q421*(1+'Datu ievade'!R444)</f>
        <v>2.4066900000000002</v>
      </c>
      <c r="R422" s="347">
        <f ca="1">R402*R421*(1+'Datu ievade'!S444)</f>
        <v>2.4529725</v>
      </c>
      <c r="S422" s="347">
        <f ca="1">S402*S421*(1+'Datu ievade'!T444)</f>
        <v>2.50696875</v>
      </c>
      <c r="T422" s="347">
        <f ca="1">T402*T421*(1+'Datu ievade'!U444)</f>
        <v>2.5609650000000004</v>
      </c>
      <c r="U422" s="347">
        <f ca="1">U402*U421*(1+'Datu ievade'!V444)</f>
        <v>2.6766712499999996</v>
      </c>
      <c r="V422" s="347">
        <f ca="1">V402*V421*(1+'Datu ievade'!W444)</f>
        <v>2.7306674999999996</v>
      </c>
      <c r="W422" s="347">
        <f ca="1">W402*W421*(1+'Datu ievade'!X444)</f>
        <v>2.7769499999999998</v>
      </c>
      <c r="X422" s="347">
        <f ca="1">X402*X421*(1+'Datu ievade'!Y444)</f>
        <v>2.8309462499999998</v>
      </c>
      <c r="Y422" s="347">
        <f ca="1">Y402*Y421*(1+'Datu ievade'!Z444)</f>
        <v>2.87722875</v>
      </c>
      <c r="Z422" s="347">
        <f ca="1">Z402*Z421*(1+'Datu ievade'!AA444)</f>
        <v>2.931225</v>
      </c>
      <c r="AA422" s="347">
        <f ca="1">AA402*AA421*(1+'Datu ievade'!AB444)</f>
        <v>2.9775074999999998</v>
      </c>
      <c r="AB422" s="347">
        <f ca="1">AB402*AB421*(1+'Datu ievade'!AC444)</f>
        <v>3.0315037499999997</v>
      </c>
      <c r="AC422" s="347">
        <f ca="1">AC402*AC421*(1+'Datu ievade'!AD444)</f>
        <v>3.0777862499999999</v>
      </c>
      <c r="AD422" s="347">
        <f ca="1">AD402*AD421*(1+'Datu ievade'!AE444)</f>
        <v>3.1240687500000002</v>
      </c>
      <c r="AE422" s="347">
        <f ca="1">AE402*AE421*(1+'Datu ievade'!AF444)</f>
        <v>3.1857787499999999</v>
      </c>
      <c r="AF422" s="347">
        <f ca="1">AF402*AF421*(1+'Datu ievade'!AG444)</f>
        <v>3.24748875</v>
      </c>
      <c r="AG422" s="347">
        <f ca="1">AG402*AG421*(1+'Datu ievade'!AH444)</f>
        <v>3.24748875</v>
      </c>
      <c r="AH422" s="347">
        <f ca="1">AH402*AH421*(1+'Datu ievade'!AH433)</f>
        <v>3.2552024999999998</v>
      </c>
      <c r="AI422" s="60"/>
      <c r="AJ422" s="60"/>
    </row>
    <row r="423" spans="1:143" s="305" customFormat="1" x14ac:dyDescent="0.2">
      <c r="A423" s="360" t="s">
        <v>284</v>
      </c>
      <c r="B423" s="347">
        <f t="shared" ref="B423:AG423" si="99">B422+B420</f>
        <v>3.7724774999999999</v>
      </c>
      <c r="C423" s="347">
        <f t="shared" si="99"/>
        <v>3.9380962500000001</v>
      </c>
      <c r="D423" s="347">
        <f t="shared" si="99"/>
        <v>4.2874837499999998</v>
      </c>
      <c r="E423" s="347">
        <f t="shared" ca="1" si="99"/>
        <v>4.6368712500000004</v>
      </c>
      <c r="F423" s="347">
        <f t="shared" ca="1" si="99"/>
        <v>4.2012712499999996</v>
      </c>
      <c r="G423" s="347">
        <f t="shared" ca="1" si="99"/>
        <v>4.2729637499999997</v>
      </c>
      <c r="H423" s="347">
        <f t="shared" ca="1" si="99"/>
        <v>4.3755112500000006</v>
      </c>
      <c r="I423" s="347">
        <f t="shared" ca="1" si="99"/>
        <v>4.4712525000000003</v>
      </c>
      <c r="J423" s="347">
        <f t="shared" ca="1" si="99"/>
        <v>4.5660862499999997</v>
      </c>
      <c r="K423" s="347">
        <f t="shared" ca="1" si="99"/>
        <v>4.6454924999999996</v>
      </c>
      <c r="L423" s="347">
        <f t="shared" ca="1" si="99"/>
        <v>4.7090174999999999</v>
      </c>
      <c r="M423" s="347">
        <f t="shared" ca="1" si="99"/>
        <v>4.8197324999999998</v>
      </c>
      <c r="N423" s="347">
        <f t="shared" ca="1" si="99"/>
        <v>4.9150200000000002</v>
      </c>
      <c r="O423" s="347">
        <f t="shared" ca="1" si="99"/>
        <v>5.0025937500000008</v>
      </c>
      <c r="P423" s="347">
        <f t="shared" ca="1" si="99"/>
        <v>4.9649324999999997</v>
      </c>
      <c r="Q423" s="347">
        <f t="shared" ca="1" si="99"/>
        <v>5.0121225000000003</v>
      </c>
      <c r="R423" s="347">
        <f t="shared" ca="1" si="99"/>
        <v>5.1074099999999998</v>
      </c>
      <c r="S423" s="347">
        <f t="shared" ca="1" si="99"/>
        <v>5.2185787499999998</v>
      </c>
      <c r="T423" s="347">
        <f t="shared" ca="1" si="99"/>
        <v>5.3215800000000009</v>
      </c>
      <c r="U423" s="347">
        <f t="shared" ca="1" si="99"/>
        <v>5.5352962499999991</v>
      </c>
      <c r="V423" s="347">
        <f t="shared" ca="1" si="99"/>
        <v>5.6382975000000002</v>
      </c>
      <c r="W423" s="347">
        <f t="shared" ca="1" si="99"/>
        <v>5.7417524999999996</v>
      </c>
      <c r="X423" s="347">
        <f t="shared" ca="1" si="99"/>
        <v>5.8447537499999989</v>
      </c>
      <c r="Y423" s="347">
        <f t="shared" ca="1" si="99"/>
        <v>5.9482087499999992</v>
      </c>
      <c r="Z423" s="347">
        <f t="shared" ca="1" si="99"/>
        <v>6.0593775000000001</v>
      </c>
      <c r="AA423" s="347">
        <f t="shared" ca="1" si="99"/>
        <v>6.1546649999999996</v>
      </c>
      <c r="AB423" s="347">
        <f t="shared" ca="1" si="99"/>
        <v>6.2658337499999996</v>
      </c>
      <c r="AC423" s="347">
        <f t="shared" ca="1" si="99"/>
        <v>6.3692887499999999</v>
      </c>
      <c r="AD423" s="347">
        <f t="shared" ca="1" si="99"/>
        <v>6.4645762500000004</v>
      </c>
      <c r="AE423" s="347">
        <f t="shared" ca="1" si="99"/>
        <v>6.59162625</v>
      </c>
      <c r="AF423" s="347">
        <f t="shared" ca="1" si="99"/>
        <v>6.7268437499999996</v>
      </c>
      <c r="AG423" s="347">
        <f t="shared" ca="1" si="99"/>
        <v>6.7186762499999997</v>
      </c>
      <c r="AH423" s="347">
        <f ca="1">AH422+AH420</f>
        <v>6.7263899999999994</v>
      </c>
      <c r="AI423" s="60"/>
      <c r="AJ423" s="60"/>
    </row>
    <row r="424" spans="1:143" s="305" customFormat="1" ht="25.5" x14ac:dyDescent="0.2">
      <c r="A424" s="360" t="s">
        <v>285</v>
      </c>
      <c r="B424" s="361">
        <f t="shared" ref="B424:AG424" si="100">B423/B418</f>
        <v>1.8689972503653795E-2</v>
      </c>
      <c r="C424" s="361">
        <f t="shared" si="100"/>
        <v>1.8234109267243327E-2</v>
      </c>
      <c r="D424" s="361">
        <f t="shared" si="100"/>
        <v>1.9310423840075305E-2</v>
      </c>
      <c r="E424" s="361">
        <f t="shared" ca="1" si="100"/>
        <v>2.0329588966562229E-2</v>
      </c>
      <c r="F424" s="361">
        <f t="shared" ca="1" si="100"/>
        <v>1.8099429501974715E-2</v>
      </c>
      <c r="G424" s="361">
        <f t="shared" ca="1" si="100"/>
        <v>1.8093615245513978E-2</v>
      </c>
      <c r="H424" s="361">
        <f t="shared" ca="1" si="100"/>
        <v>1.8216454259872845E-2</v>
      </c>
      <c r="I424" s="361">
        <f t="shared" ca="1" si="100"/>
        <v>1.8307364561916322E-2</v>
      </c>
      <c r="J424" s="361">
        <f t="shared" ca="1" si="100"/>
        <v>1.8391663127164105E-2</v>
      </c>
      <c r="K424" s="361">
        <f t="shared" ca="1" si="100"/>
        <v>1.84121182095172E-2</v>
      </c>
      <c r="L424" s="361">
        <f t="shared" ca="1" si="100"/>
        <v>1.8369975948255297E-2</v>
      </c>
      <c r="M424" s="361">
        <f t="shared" ca="1" si="100"/>
        <v>1.851037550687927E-2</v>
      </c>
      <c r="N424" s="361">
        <f t="shared" ca="1" si="100"/>
        <v>1.858814270416477E-2</v>
      </c>
      <c r="O424" s="361">
        <f t="shared" ca="1" si="100"/>
        <v>1.863483704927309E-2</v>
      </c>
      <c r="P424" s="361">
        <f t="shared" ca="1" si="100"/>
        <v>1.8086579611903714E-2</v>
      </c>
      <c r="Q424" s="361">
        <f t="shared" ca="1" si="100"/>
        <v>1.7864418366468609E-2</v>
      </c>
      <c r="R424" s="361">
        <f t="shared" ca="1" si="100"/>
        <v>1.7819453568995034E-2</v>
      </c>
      <c r="S424" s="361">
        <f t="shared" ca="1" si="100"/>
        <v>1.7830611744587218E-2</v>
      </c>
      <c r="T424" s="361">
        <f t="shared" ca="1" si="100"/>
        <v>1.7813976874146809E-2</v>
      </c>
      <c r="U424" s="361">
        <f t="shared" ca="1" si="100"/>
        <v>1.8161257925439146E-2</v>
      </c>
      <c r="V424" s="361">
        <f t="shared" ca="1" si="100"/>
        <v>1.8138830007466834E-2</v>
      </c>
      <c r="W424" s="361">
        <f t="shared" ca="1" si="100"/>
        <v>1.8118691062212235E-2</v>
      </c>
      <c r="X424" s="361">
        <f t="shared" ca="1" si="100"/>
        <v>1.8097902319849386E-2</v>
      </c>
      <c r="Y424" s="361">
        <f t="shared" ca="1" si="100"/>
        <v>1.8079257955787308E-2</v>
      </c>
      <c r="Z424" s="361">
        <f t="shared" ca="1" si="100"/>
        <v>1.8084309294946886E-2</v>
      </c>
      <c r="AA424" s="361">
        <f t="shared" ca="1" si="100"/>
        <v>1.8042624833250542E-2</v>
      </c>
      <c r="AB424" s="361">
        <f t="shared" ca="1" si="100"/>
        <v>1.8048138912716238E-2</v>
      </c>
      <c r="AC424" s="361">
        <f t="shared" ca="1" si="100"/>
        <v>1.8031626106312128E-2</v>
      </c>
      <c r="AD424" s="361">
        <f t="shared" ca="1" si="100"/>
        <v>1.7992937204847084E-2</v>
      </c>
      <c r="AE424" s="361">
        <f t="shared" ca="1" si="100"/>
        <v>1.8042470502432739E-2</v>
      </c>
      <c r="AF424" s="361">
        <f t="shared" ca="1" si="100"/>
        <v>1.8112380006397501E-2</v>
      </c>
      <c r="AG424" s="361">
        <f t="shared" ca="1" si="100"/>
        <v>1.809038858379277E-2</v>
      </c>
      <c r="AH424" s="361">
        <f ca="1">AH423/AH418</f>
        <v>1.811115826069724E-2</v>
      </c>
      <c r="AI424" s="60"/>
      <c r="AJ424" s="60"/>
    </row>
    <row r="425" spans="1:143" s="356" customFormat="1" ht="25.5" x14ac:dyDescent="0.2">
      <c r="A425" s="360" t="str">
        <f>"11.8. Pieļaujamie kopējie mājsaimn. izdevumi 2% - "&amp;'Datu ievade'!D210*100&amp;"%  robežās, t.sk.:"</f>
        <v>11.8. Pieļaujamie kopējie mājsaimn. izdevumi 2% - 0%  robežās, t.sk.:</v>
      </c>
      <c r="B425" s="362">
        <f>IF(B424&gt;'Datu ievade'!$B$44,B418*'Datu ievade'!$B$44,B423)</f>
        <v>3.7724774999999999</v>
      </c>
      <c r="C425" s="362">
        <f>IF(C424&gt;'Datu ievade'!$B$44,C418*'Datu ievade'!$B$44,C423)</f>
        <v>3.9380962500000001</v>
      </c>
      <c r="D425" s="362">
        <f>IF(D424&gt;'Datu ievade'!$B$44,D418*'Datu ievade'!$B$44,D423)</f>
        <v>4.2874837499999998</v>
      </c>
      <c r="E425" s="362">
        <f ca="1">IF(E424&gt;'Datu ievade'!$B$44,E418*'Datu ievade'!$B$44,E423)</f>
        <v>4.6368712500000004</v>
      </c>
      <c r="F425" s="362">
        <f ca="1">IF(F424&gt;'Datu ievade'!$B$44,F418*'Datu ievade'!$B$44,F423)</f>
        <v>4.2012712499999996</v>
      </c>
      <c r="G425" s="362">
        <f ca="1">IF(G424&gt;'Datu ievade'!$B$44,G418*'Datu ievade'!$B$44,G423)</f>
        <v>4.2729637499999997</v>
      </c>
      <c r="H425" s="362">
        <f ca="1">IF(H424&gt;'Datu ievade'!$B$44,H418*'Datu ievade'!$B$44,H423)</f>
        <v>4.3755112500000006</v>
      </c>
      <c r="I425" s="362">
        <f ca="1">IF(I424&gt;'Datu ievade'!$B$44,I418*'Datu ievade'!$B$44,I423)</f>
        <v>4.4712525000000003</v>
      </c>
      <c r="J425" s="362">
        <f ca="1">IF(J424&gt;'Datu ievade'!$B$44,J418*'Datu ievade'!$B$44,J423)</f>
        <v>4.5660862499999997</v>
      </c>
      <c r="K425" s="362">
        <f ca="1">IF(K424&gt;'Datu ievade'!$B$44,K418*'Datu ievade'!$B$44,K423)</f>
        <v>4.6454924999999996</v>
      </c>
      <c r="L425" s="362">
        <f ca="1">IF(L424&gt;'Datu ievade'!$B$44,L418*'Datu ievade'!$B$44,L423)</f>
        <v>4.7090174999999999</v>
      </c>
      <c r="M425" s="362">
        <f ca="1">IF(M424&gt;'Datu ievade'!$B$44,M418*'Datu ievade'!$B$44,M423)</f>
        <v>4.8197324999999998</v>
      </c>
      <c r="N425" s="362">
        <f ca="1">IF(N424&gt;'Datu ievade'!$B$44,N418*'Datu ievade'!$B$44,N423)</f>
        <v>4.9150200000000002</v>
      </c>
      <c r="O425" s="362">
        <f ca="1">IF(O424&gt;'Datu ievade'!$B$44,O418*'Datu ievade'!$B$44,O423)</f>
        <v>5.0025937500000008</v>
      </c>
      <c r="P425" s="362">
        <f ca="1">IF(P424&gt;'Datu ievade'!$B$44,P418*'Datu ievade'!$B$44,P423)</f>
        <v>4.9649324999999997</v>
      </c>
      <c r="Q425" s="362">
        <f ca="1">IF(Q424&gt;'Datu ievade'!$B$44,Q418*'Datu ievade'!$B$44,Q423)</f>
        <v>5.0121225000000003</v>
      </c>
      <c r="R425" s="362">
        <f ca="1">IF(R424&gt;'Datu ievade'!$B$44,R418*'Datu ievade'!$B$44,R423)</f>
        <v>5.1074099999999998</v>
      </c>
      <c r="S425" s="362">
        <f ca="1">IF(S424&gt;'Datu ievade'!$B$44,S418*'Datu ievade'!$B$44,S423)</f>
        <v>5.2185787499999998</v>
      </c>
      <c r="T425" s="362">
        <f ca="1">IF(T424&gt;'Datu ievade'!$B$44,T418*'Datu ievade'!$B$44,T423)</f>
        <v>5.3215800000000009</v>
      </c>
      <c r="U425" s="362">
        <f ca="1">IF(U424&gt;'Datu ievade'!$B$44,U418*'Datu ievade'!$B$44,U423)</f>
        <v>5.5352962499999991</v>
      </c>
      <c r="V425" s="362">
        <f ca="1">IF(V424&gt;'Datu ievade'!$B$44,V418*'Datu ievade'!$B$44,V423)</f>
        <v>5.6382975000000002</v>
      </c>
      <c r="W425" s="362">
        <f ca="1">IF(W424&gt;'Datu ievade'!$B$44,W418*'Datu ievade'!$B$44,W423)</f>
        <v>5.7417524999999996</v>
      </c>
      <c r="X425" s="362">
        <f ca="1">IF(X424&gt;'Datu ievade'!$B$44,X418*'Datu ievade'!$B$44,X423)</f>
        <v>5.8447537499999989</v>
      </c>
      <c r="Y425" s="362">
        <f ca="1">IF(Y424&gt;'Datu ievade'!$B$44,Y418*'Datu ievade'!$B$44,Y423)</f>
        <v>5.9482087499999992</v>
      </c>
      <c r="Z425" s="362">
        <f ca="1">IF(Z424&gt;'Datu ievade'!$B$44,Z418*'Datu ievade'!$B$44,Z423)</f>
        <v>6.0593775000000001</v>
      </c>
      <c r="AA425" s="362">
        <f ca="1">IF(AA424&gt;'Datu ievade'!$B$44,AA418*'Datu ievade'!$B$44,AA423)</f>
        <v>6.1546649999999996</v>
      </c>
      <c r="AB425" s="362">
        <f ca="1">IF(AB424&gt;'Datu ievade'!$B$44,AB418*'Datu ievade'!$B$44,AB423)</f>
        <v>6.2658337499999996</v>
      </c>
      <c r="AC425" s="362">
        <f ca="1">IF(AC424&gt;'Datu ievade'!$B$44,AC418*'Datu ievade'!$B$44,AC423)</f>
        <v>6.3692887499999999</v>
      </c>
      <c r="AD425" s="362">
        <f ca="1">IF(AD424&gt;'Datu ievade'!$B$44,AD418*'Datu ievade'!$B$44,AD423)</f>
        <v>6.4645762500000004</v>
      </c>
      <c r="AE425" s="362">
        <f ca="1">IF(AE424&gt;'Datu ievade'!$B$44,AE418*'Datu ievade'!$B$44,AE423)</f>
        <v>6.59162625</v>
      </c>
      <c r="AF425" s="362">
        <f ca="1">IF(AF424&gt;'Datu ievade'!$B$44,AF418*'Datu ievade'!$B$44,AF423)</f>
        <v>6.7268437499999996</v>
      </c>
      <c r="AG425" s="362">
        <f ca="1">IF(AG424&gt;'Datu ievade'!$B$44,AG418*'Datu ievade'!$B$44,AG423)</f>
        <v>6.7186762499999997</v>
      </c>
      <c r="AH425" s="362">
        <f ca="1">IF(AH424&gt;'Datu ievade'!$B$44,AH418*'Datu ievade'!$B$44,AH423)</f>
        <v>6.7263899999999994</v>
      </c>
      <c r="AI425" s="60"/>
      <c r="AJ425" s="60"/>
    </row>
    <row r="426" spans="1:143" s="305" customFormat="1" x14ac:dyDescent="0.2">
      <c r="A426" s="360" t="s">
        <v>286</v>
      </c>
      <c r="B426" s="363">
        <f>B420/B423</f>
        <v>0.49482800096223239</v>
      </c>
      <c r="C426" s="363">
        <f t="shared" ref="C426:AG426" si="101">C420/C423</f>
        <v>0.49429657794676807</v>
      </c>
      <c r="D426" s="363">
        <f t="shared" si="101"/>
        <v>0.48661233993015129</v>
      </c>
      <c r="E426" s="363">
        <f t="shared" ca="1" si="101"/>
        <v>0.48008611410118401</v>
      </c>
      <c r="F426" s="363">
        <f t="shared" ca="1" si="101"/>
        <v>0.51711847931742094</v>
      </c>
      <c r="G426" s="363">
        <f t="shared" ca="1" si="101"/>
        <v>0.51799936285441228</v>
      </c>
      <c r="H426" s="363">
        <f t="shared" ca="1" si="101"/>
        <v>0.51519236752048114</v>
      </c>
      <c r="I426" s="363">
        <f t="shared" ca="1" si="101"/>
        <v>0.51694743251471476</v>
      </c>
      <c r="J426" s="363">
        <f t="shared" ca="1" si="101"/>
        <v>0.51515452648315607</v>
      </c>
      <c r="K426" s="363">
        <f t="shared" ca="1" si="101"/>
        <v>0.51513967571791375</v>
      </c>
      <c r="L426" s="363">
        <f t="shared" ca="1" si="101"/>
        <v>0.51512815571401038</v>
      </c>
      <c r="M426" s="363">
        <f t="shared" ca="1" si="101"/>
        <v>0.51346262474110338</v>
      </c>
      <c r="N426" s="363">
        <f t="shared" ca="1" si="101"/>
        <v>0.5134785819793205</v>
      </c>
      <c r="O426" s="363">
        <f t="shared" ca="1" si="101"/>
        <v>0.51428571428571423</v>
      </c>
      <c r="P426" s="363">
        <f t="shared" ca="1" si="101"/>
        <v>0.52147687808444521</v>
      </c>
      <c r="Q426" s="363">
        <f t="shared" ca="1" si="101"/>
        <v>0.51982618142313952</v>
      </c>
      <c r="R426" s="363">
        <f t="shared" ca="1" si="101"/>
        <v>0.51972281449893398</v>
      </c>
      <c r="S426" s="363">
        <f t="shared" ca="1" si="101"/>
        <v>0.51960699069646121</v>
      </c>
      <c r="T426" s="363">
        <f t="shared" ca="1" si="101"/>
        <v>0.51875852660300137</v>
      </c>
      <c r="U426" s="363">
        <f t="shared" ca="1" si="101"/>
        <v>0.51643577342405111</v>
      </c>
      <c r="V426" s="363">
        <f t="shared" ca="1" si="101"/>
        <v>0.51569290197971995</v>
      </c>
      <c r="W426" s="363">
        <f t="shared" ca="1" si="101"/>
        <v>0.51635846372688476</v>
      </c>
      <c r="X426" s="363">
        <f t="shared" ca="1" si="101"/>
        <v>0.51564319540408354</v>
      </c>
      <c r="Y426" s="363">
        <f t="shared" ca="1" si="101"/>
        <v>0.51628652071096193</v>
      </c>
      <c r="Z426" s="363">
        <f t="shared" ca="1" si="101"/>
        <v>0.51624981279017523</v>
      </c>
      <c r="AA426" s="363">
        <f t="shared" ca="1" si="101"/>
        <v>0.51621940430551461</v>
      </c>
      <c r="AB426" s="363">
        <f t="shared" ca="1" si="101"/>
        <v>0.51618509667608081</v>
      </c>
      <c r="AC426" s="363">
        <f t="shared" ca="1" si="101"/>
        <v>0.51677708912160714</v>
      </c>
      <c r="AD426" s="363">
        <f t="shared" ca="1" si="101"/>
        <v>0.51674036639292475</v>
      </c>
      <c r="AE426" s="363">
        <f t="shared" ca="1" si="101"/>
        <v>0.51669305431265922</v>
      </c>
      <c r="AF426" s="363">
        <f t="shared" ca="1" si="101"/>
        <v>0.5172344013490725</v>
      </c>
      <c r="AG426" s="363">
        <f t="shared" ca="1" si="101"/>
        <v>0.51664753157290466</v>
      </c>
      <c r="AH426" s="363">
        <f ca="1">AH420/AH423</f>
        <v>0.51605504587155959</v>
      </c>
      <c r="AI426" s="60"/>
      <c r="AJ426" s="60"/>
    </row>
    <row r="427" spans="1:143" s="305" customFormat="1" x14ac:dyDescent="0.2">
      <c r="A427" s="360" t="s">
        <v>287</v>
      </c>
      <c r="B427" s="363">
        <f>B422/B423</f>
        <v>0.50517199903776766</v>
      </c>
      <c r="C427" s="363">
        <f t="shared" ref="C427:AG427" si="102">C422/C423</f>
        <v>0.50570342205323193</v>
      </c>
      <c r="D427" s="363">
        <f t="shared" si="102"/>
        <v>0.51338766006984871</v>
      </c>
      <c r="E427" s="363">
        <f t="shared" ca="1" si="102"/>
        <v>0.51991388589881593</v>
      </c>
      <c r="F427" s="363">
        <f t="shared" ca="1" si="102"/>
        <v>0.48288152068257917</v>
      </c>
      <c r="G427" s="363">
        <f t="shared" ca="1" si="102"/>
        <v>0.48200063714558777</v>
      </c>
      <c r="H427" s="363">
        <f t="shared" ca="1" si="102"/>
        <v>0.48480763247951875</v>
      </c>
      <c r="I427" s="363">
        <f t="shared" ca="1" si="102"/>
        <v>0.48305256748528513</v>
      </c>
      <c r="J427" s="363">
        <f t="shared" ca="1" si="102"/>
        <v>0.48484547351684382</v>
      </c>
      <c r="K427" s="363">
        <f t="shared" ca="1" si="102"/>
        <v>0.48486032428208642</v>
      </c>
      <c r="L427" s="363">
        <f t="shared" ca="1" si="102"/>
        <v>0.48487184428598956</v>
      </c>
      <c r="M427" s="363">
        <f t="shared" ca="1" si="102"/>
        <v>0.48653737525889668</v>
      </c>
      <c r="N427" s="363">
        <f t="shared" ca="1" si="102"/>
        <v>0.48652141802067944</v>
      </c>
      <c r="O427" s="363">
        <f t="shared" ca="1" si="102"/>
        <v>0.48571428571428571</v>
      </c>
      <c r="P427" s="363">
        <f t="shared" ca="1" si="102"/>
        <v>0.47852312191555474</v>
      </c>
      <c r="Q427" s="363">
        <f t="shared" ca="1" si="102"/>
        <v>0.48017381857686042</v>
      </c>
      <c r="R427" s="363">
        <f t="shared" ca="1" si="102"/>
        <v>0.48027718550106613</v>
      </c>
      <c r="S427" s="363">
        <f t="shared" ca="1" si="102"/>
        <v>0.48039300930353884</v>
      </c>
      <c r="T427" s="363">
        <f t="shared" ca="1" si="102"/>
        <v>0.48124147339699863</v>
      </c>
      <c r="U427" s="363">
        <f t="shared" ca="1" si="102"/>
        <v>0.48356422657594883</v>
      </c>
      <c r="V427" s="363">
        <f t="shared" ca="1" si="102"/>
        <v>0.48430709802027999</v>
      </c>
      <c r="W427" s="363">
        <f t="shared" ca="1" si="102"/>
        <v>0.48364153627311524</v>
      </c>
      <c r="X427" s="363">
        <f t="shared" ca="1" si="102"/>
        <v>0.48435680459591651</v>
      </c>
      <c r="Y427" s="363">
        <f t="shared" ca="1" si="102"/>
        <v>0.48371347928903813</v>
      </c>
      <c r="Z427" s="363">
        <f t="shared" ca="1" si="102"/>
        <v>0.48375018720982477</v>
      </c>
      <c r="AA427" s="363">
        <f t="shared" ca="1" si="102"/>
        <v>0.48378059569448539</v>
      </c>
      <c r="AB427" s="363">
        <f t="shared" ca="1" si="102"/>
        <v>0.48381490332391919</v>
      </c>
      <c r="AC427" s="363">
        <f t="shared" ca="1" si="102"/>
        <v>0.48322291087839281</v>
      </c>
      <c r="AD427" s="363">
        <f t="shared" ca="1" si="102"/>
        <v>0.48325963360707519</v>
      </c>
      <c r="AE427" s="363">
        <f t="shared" ca="1" si="102"/>
        <v>0.48330694568734078</v>
      </c>
      <c r="AF427" s="363">
        <f t="shared" ca="1" si="102"/>
        <v>0.4827655986509275</v>
      </c>
      <c r="AG427" s="363">
        <f t="shared" ca="1" si="102"/>
        <v>0.48335246842709534</v>
      </c>
      <c r="AH427" s="363">
        <f ca="1">AH422/AH423</f>
        <v>0.48394495412844035</v>
      </c>
      <c r="AI427" s="60"/>
      <c r="AJ427" s="60"/>
    </row>
    <row r="428" spans="1:143" s="305" customFormat="1" x14ac:dyDescent="0.2">
      <c r="A428" s="360" t="s">
        <v>288</v>
      </c>
      <c r="B428" s="347">
        <f>B426*B425</f>
        <v>1.8667275000000001</v>
      </c>
      <c r="C428" s="347">
        <f t="shared" ref="C428:AG428" si="103">C426*C425</f>
        <v>1.9465875000000001</v>
      </c>
      <c r="D428" s="347">
        <f t="shared" si="103"/>
        <v>2.0863424999999998</v>
      </c>
      <c r="E428" s="347">
        <f t="shared" ca="1" si="103"/>
        <v>2.2260974999999998</v>
      </c>
      <c r="F428" s="347">
        <f t="shared" ca="1" si="103"/>
        <v>2.172555</v>
      </c>
      <c r="G428" s="347">
        <f t="shared" ca="1" si="103"/>
        <v>2.2133924999999999</v>
      </c>
      <c r="H428" s="347">
        <f t="shared" ca="1" si="103"/>
        <v>2.2542300000000002</v>
      </c>
      <c r="I428" s="347">
        <f t="shared" ca="1" si="103"/>
        <v>2.3114024999999998</v>
      </c>
      <c r="J428" s="347">
        <f t="shared" ca="1" si="103"/>
        <v>2.3522399999999997</v>
      </c>
      <c r="K428" s="347">
        <f t="shared" ca="1" si="103"/>
        <v>2.3930775000000004</v>
      </c>
      <c r="L428" s="347">
        <f t="shared" ca="1" si="103"/>
        <v>2.4257474999999999</v>
      </c>
      <c r="M428" s="347">
        <f t="shared" ca="1" si="103"/>
        <v>2.4747525000000001</v>
      </c>
      <c r="N428" s="347">
        <f t="shared" ca="1" si="103"/>
        <v>2.5237574999999999</v>
      </c>
      <c r="O428" s="347">
        <f t="shared" ca="1" si="103"/>
        <v>2.5727625000000001</v>
      </c>
      <c r="P428" s="347">
        <f t="shared" ca="1" si="103"/>
        <v>2.5890974999999998</v>
      </c>
      <c r="Q428" s="347">
        <f t="shared" ca="1" si="103"/>
        <v>2.6054324999999996</v>
      </c>
      <c r="R428" s="347">
        <f t="shared" ca="1" si="103"/>
        <v>2.6544375000000002</v>
      </c>
      <c r="S428" s="347">
        <f t="shared" ca="1" si="103"/>
        <v>2.7116100000000003</v>
      </c>
      <c r="T428" s="347">
        <f t="shared" ca="1" si="103"/>
        <v>2.7606150000000005</v>
      </c>
      <c r="U428" s="347">
        <f t="shared" ca="1" si="103"/>
        <v>2.8586249999999995</v>
      </c>
      <c r="V428" s="347">
        <f t="shared" ca="1" si="103"/>
        <v>2.9076300000000002</v>
      </c>
      <c r="W428" s="347">
        <f t="shared" ca="1" si="103"/>
        <v>2.9648024999999998</v>
      </c>
      <c r="X428" s="347">
        <f t="shared" ca="1" si="103"/>
        <v>3.0138074999999995</v>
      </c>
      <c r="Y428" s="347">
        <f t="shared" ca="1" si="103"/>
        <v>3.0709799999999996</v>
      </c>
      <c r="Z428" s="347">
        <f t="shared" ca="1" si="103"/>
        <v>3.1281525000000001</v>
      </c>
      <c r="AA428" s="347">
        <f t="shared" ca="1" si="103"/>
        <v>3.1771574999999999</v>
      </c>
      <c r="AB428" s="347">
        <f t="shared" ca="1" si="103"/>
        <v>3.2343299999999999</v>
      </c>
      <c r="AC428" s="347">
        <f t="shared" ca="1" si="103"/>
        <v>3.2915024999999996</v>
      </c>
      <c r="AD428" s="347">
        <f t="shared" ca="1" si="103"/>
        <v>3.3405074999999997</v>
      </c>
      <c r="AE428" s="347">
        <f t="shared" ca="1" si="103"/>
        <v>3.4058475000000001</v>
      </c>
      <c r="AF428" s="347">
        <f t="shared" ca="1" si="103"/>
        <v>3.4793549999999995</v>
      </c>
      <c r="AG428" s="347">
        <f t="shared" ca="1" si="103"/>
        <v>3.4711874999999996</v>
      </c>
      <c r="AH428" s="347">
        <f ca="1">AH426*AH425</f>
        <v>3.4711874999999996</v>
      </c>
      <c r="AI428" s="60"/>
      <c r="AJ428" s="60"/>
    </row>
    <row r="429" spans="1:143" s="305" customFormat="1" x14ac:dyDescent="0.2">
      <c r="A429" s="360" t="s">
        <v>289</v>
      </c>
      <c r="B429" s="347">
        <f>B427*B425</f>
        <v>1.9057500000000001</v>
      </c>
      <c r="C429" s="347">
        <f t="shared" ref="C429:AG429" si="104">C427*C425</f>
        <v>1.9915087499999999</v>
      </c>
      <c r="D429" s="347">
        <f t="shared" si="104"/>
        <v>2.20114125</v>
      </c>
      <c r="E429" s="347">
        <f t="shared" ca="1" si="104"/>
        <v>2.4107737500000002</v>
      </c>
      <c r="F429" s="347">
        <f t="shared" ca="1" si="104"/>
        <v>2.02871625</v>
      </c>
      <c r="G429" s="347">
        <f t="shared" ca="1" si="104"/>
        <v>2.0595712499999999</v>
      </c>
      <c r="H429" s="347">
        <f t="shared" ca="1" si="104"/>
        <v>2.12128125</v>
      </c>
      <c r="I429" s="347">
        <f t="shared" ca="1" si="104"/>
        <v>2.15985</v>
      </c>
      <c r="J429" s="347">
        <f t="shared" ca="1" si="104"/>
        <v>2.2138462499999996</v>
      </c>
      <c r="K429" s="347">
        <f t="shared" ca="1" si="104"/>
        <v>2.2524150000000001</v>
      </c>
      <c r="L429" s="347">
        <f t="shared" ca="1" si="104"/>
        <v>2.2832699999999999</v>
      </c>
      <c r="M429" s="347">
        <f t="shared" ca="1" si="104"/>
        <v>2.3449800000000001</v>
      </c>
      <c r="N429" s="347">
        <f t="shared" ca="1" si="104"/>
        <v>2.3912624999999998</v>
      </c>
      <c r="O429" s="347">
        <f t="shared" ca="1" si="104"/>
        <v>2.4298312500000003</v>
      </c>
      <c r="P429" s="347">
        <f t="shared" ca="1" si="104"/>
        <v>2.3758349999999999</v>
      </c>
      <c r="Q429" s="347">
        <f t="shared" ca="1" si="104"/>
        <v>2.4066900000000002</v>
      </c>
      <c r="R429" s="347">
        <f t="shared" ca="1" si="104"/>
        <v>2.4529725</v>
      </c>
      <c r="S429" s="347">
        <f t="shared" ca="1" si="104"/>
        <v>2.50696875</v>
      </c>
      <c r="T429" s="347">
        <f t="shared" ca="1" si="104"/>
        <v>2.5609650000000004</v>
      </c>
      <c r="U429" s="347">
        <f t="shared" ca="1" si="104"/>
        <v>2.6766712499999996</v>
      </c>
      <c r="V429" s="347">
        <f t="shared" ca="1" si="104"/>
        <v>2.7306674999999996</v>
      </c>
      <c r="W429" s="347">
        <f t="shared" ca="1" si="104"/>
        <v>2.7769499999999998</v>
      </c>
      <c r="X429" s="347">
        <f t="shared" ca="1" si="104"/>
        <v>2.8309462499999998</v>
      </c>
      <c r="Y429" s="347">
        <f t="shared" ca="1" si="104"/>
        <v>2.87722875</v>
      </c>
      <c r="Z429" s="347">
        <f t="shared" ca="1" si="104"/>
        <v>2.931225</v>
      </c>
      <c r="AA429" s="347">
        <f t="shared" ca="1" si="104"/>
        <v>2.9775074999999998</v>
      </c>
      <c r="AB429" s="347">
        <f t="shared" ca="1" si="104"/>
        <v>3.0315037499999997</v>
      </c>
      <c r="AC429" s="347">
        <f t="shared" ca="1" si="104"/>
        <v>3.0777862499999999</v>
      </c>
      <c r="AD429" s="347">
        <f t="shared" ca="1" si="104"/>
        <v>3.1240687500000002</v>
      </c>
      <c r="AE429" s="347">
        <f t="shared" ca="1" si="104"/>
        <v>3.1857787499999999</v>
      </c>
      <c r="AF429" s="347">
        <f t="shared" ca="1" si="104"/>
        <v>3.24748875</v>
      </c>
      <c r="AG429" s="347">
        <f t="shared" ca="1" si="104"/>
        <v>3.24748875</v>
      </c>
      <c r="AH429" s="347">
        <f ca="1">AH427*AH425</f>
        <v>3.2552024999999998</v>
      </c>
      <c r="AI429" s="60"/>
      <c r="AJ429" s="60"/>
    </row>
    <row r="430" spans="1:143" s="305" customFormat="1" x14ac:dyDescent="0.2">
      <c r="A430" s="360" t="s">
        <v>591</v>
      </c>
      <c r="B430" s="344">
        <f>B428/B419</f>
        <v>0.22627</v>
      </c>
      <c r="C430" s="344">
        <f t="shared" ref="C430:AG430" si="105">C428/C419</f>
        <v>0.23595000000000002</v>
      </c>
      <c r="D430" s="344">
        <f t="shared" si="105"/>
        <v>0.25288999999999995</v>
      </c>
      <c r="E430" s="344">
        <f t="shared" ca="1" si="105"/>
        <v>0.26982999999999996</v>
      </c>
      <c r="F430" s="344">
        <f t="shared" ca="1" si="105"/>
        <v>0.32185999999999998</v>
      </c>
      <c r="G430" s="344">
        <f t="shared" ca="1" si="105"/>
        <v>0.32790999999999998</v>
      </c>
      <c r="H430" s="344">
        <f t="shared" ca="1" si="105"/>
        <v>0.33396000000000003</v>
      </c>
      <c r="I430" s="344">
        <f t="shared" ca="1" si="105"/>
        <v>0.34242999999999996</v>
      </c>
      <c r="J430" s="344">
        <f t="shared" ca="1" si="105"/>
        <v>0.34847999999999996</v>
      </c>
      <c r="K430" s="344">
        <f t="shared" ca="1" si="105"/>
        <v>0.35453000000000007</v>
      </c>
      <c r="L430" s="344">
        <f t="shared" ca="1" si="105"/>
        <v>0.35936999999999997</v>
      </c>
      <c r="M430" s="344">
        <f t="shared" ca="1" si="105"/>
        <v>0.36663000000000001</v>
      </c>
      <c r="N430" s="344">
        <f t="shared" ca="1" si="105"/>
        <v>0.37389</v>
      </c>
      <c r="O430" s="344">
        <f t="shared" ca="1" si="105"/>
        <v>0.38114999999999999</v>
      </c>
      <c r="P430" s="344">
        <f t="shared" ca="1" si="105"/>
        <v>0.38356999999999997</v>
      </c>
      <c r="Q430" s="344">
        <f t="shared" ca="1" si="105"/>
        <v>0.38598999999999994</v>
      </c>
      <c r="R430" s="344">
        <f t="shared" ca="1" si="105"/>
        <v>0.39325000000000004</v>
      </c>
      <c r="S430" s="344">
        <f t="shared" ca="1" si="105"/>
        <v>0.40172000000000002</v>
      </c>
      <c r="T430" s="344">
        <f t="shared" ca="1" si="105"/>
        <v>0.40898000000000007</v>
      </c>
      <c r="U430" s="344">
        <f t="shared" ca="1" si="105"/>
        <v>0.42349999999999993</v>
      </c>
      <c r="V430" s="344">
        <f t="shared" ca="1" si="105"/>
        <v>0.43076000000000003</v>
      </c>
      <c r="W430" s="344">
        <f t="shared" ca="1" si="105"/>
        <v>0.43922999999999995</v>
      </c>
      <c r="X430" s="344">
        <f t="shared" ca="1" si="105"/>
        <v>0.44648999999999994</v>
      </c>
      <c r="Y430" s="344">
        <f t="shared" ca="1" si="105"/>
        <v>0.45495999999999992</v>
      </c>
      <c r="Z430" s="344">
        <f t="shared" ca="1" si="105"/>
        <v>0.46343000000000001</v>
      </c>
      <c r="AA430" s="344">
        <f t="shared" ca="1" si="105"/>
        <v>0.47069</v>
      </c>
      <c r="AB430" s="344">
        <f t="shared" ca="1" si="105"/>
        <v>0.47915999999999997</v>
      </c>
      <c r="AC430" s="344">
        <f t="shared" ca="1" si="105"/>
        <v>0.48762999999999995</v>
      </c>
      <c r="AD430" s="344">
        <f t="shared" ca="1" si="105"/>
        <v>0.49488999999999994</v>
      </c>
      <c r="AE430" s="344">
        <f t="shared" ca="1" si="105"/>
        <v>0.50457000000000007</v>
      </c>
      <c r="AF430" s="344">
        <f t="shared" ca="1" si="105"/>
        <v>0.51545999999999992</v>
      </c>
      <c r="AG430" s="344">
        <f t="shared" ca="1" si="105"/>
        <v>0.51424999999999998</v>
      </c>
      <c r="AH430" s="344">
        <f ca="1">AH428/AH419</f>
        <v>0.51424999999999998</v>
      </c>
      <c r="AI430" s="60"/>
      <c r="AJ430" s="60"/>
    </row>
    <row r="431" spans="1:143" s="305" customFormat="1" x14ac:dyDescent="0.2">
      <c r="A431" s="364" t="s">
        <v>592</v>
      </c>
      <c r="B431" s="365">
        <f>B429/B421</f>
        <v>0.24200000000000002</v>
      </c>
      <c r="C431" s="344">
        <f t="shared" ref="C431:AG431" si="106">C429/C421</f>
        <v>0.25289</v>
      </c>
      <c r="D431" s="344">
        <f t="shared" si="106"/>
        <v>0.27950999999999998</v>
      </c>
      <c r="E431" s="344">
        <f t="shared" ca="1" si="106"/>
        <v>0.30613000000000001</v>
      </c>
      <c r="F431" s="344">
        <f t="shared" ca="1" si="106"/>
        <v>0.31823000000000001</v>
      </c>
      <c r="G431" s="344">
        <f t="shared" ca="1" si="106"/>
        <v>0.32306999999999997</v>
      </c>
      <c r="H431" s="344">
        <f t="shared" ca="1" si="106"/>
        <v>0.33274999999999999</v>
      </c>
      <c r="I431" s="344">
        <f t="shared" ca="1" si="106"/>
        <v>0.33879999999999999</v>
      </c>
      <c r="J431" s="344">
        <f t="shared" ca="1" si="106"/>
        <v>0.34726999999999991</v>
      </c>
      <c r="K431" s="344">
        <f t="shared" ca="1" si="106"/>
        <v>0.35332000000000002</v>
      </c>
      <c r="L431" s="344">
        <f t="shared" ca="1" si="106"/>
        <v>0.35815999999999998</v>
      </c>
      <c r="M431" s="344">
        <f t="shared" ca="1" si="106"/>
        <v>0.36784</v>
      </c>
      <c r="N431" s="344">
        <f t="shared" ca="1" si="106"/>
        <v>0.37509999999999999</v>
      </c>
      <c r="O431" s="344">
        <f t="shared" ca="1" si="106"/>
        <v>0.38115000000000004</v>
      </c>
      <c r="P431" s="344">
        <f t="shared" ca="1" si="106"/>
        <v>0.37268000000000001</v>
      </c>
      <c r="Q431" s="344">
        <f t="shared" ca="1" si="106"/>
        <v>0.37752000000000002</v>
      </c>
      <c r="R431" s="344">
        <f t="shared" ca="1" si="106"/>
        <v>0.38478000000000001</v>
      </c>
      <c r="S431" s="344">
        <f t="shared" ca="1" si="106"/>
        <v>0.39324999999999999</v>
      </c>
      <c r="T431" s="344">
        <f t="shared" ca="1" si="106"/>
        <v>0.40172000000000008</v>
      </c>
      <c r="U431" s="344">
        <f t="shared" ca="1" si="106"/>
        <v>0.41986999999999997</v>
      </c>
      <c r="V431" s="344">
        <f t="shared" ca="1" si="106"/>
        <v>0.42833999999999994</v>
      </c>
      <c r="W431" s="344">
        <f t="shared" ca="1" si="106"/>
        <v>0.43559999999999999</v>
      </c>
      <c r="X431" s="344">
        <f t="shared" ca="1" si="106"/>
        <v>0.44406999999999996</v>
      </c>
      <c r="Y431" s="344">
        <f t="shared" ca="1" si="106"/>
        <v>0.45133000000000001</v>
      </c>
      <c r="Z431" s="344">
        <f t="shared" ca="1" si="106"/>
        <v>0.45979999999999999</v>
      </c>
      <c r="AA431" s="344">
        <f t="shared" ca="1" si="106"/>
        <v>0.46705999999999998</v>
      </c>
      <c r="AB431" s="344">
        <f t="shared" ca="1" si="106"/>
        <v>0.47552999999999995</v>
      </c>
      <c r="AC431" s="344">
        <f t="shared" ca="1" si="106"/>
        <v>0.48279</v>
      </c>
      <c r="AD431" s="344">
        <f t="shared" ca="1" si="106"/>
        <v>0.49005000000000004</v>
      </c>
      <c r="AE431" s="344">
        <f t="shared" ca="1" si="106"/>
        <v>0.49973000000000001</v>
      </c>
      <c r="AF431" s="344">
        <f t="shared" ca="1" si="106"/>
        <v>0.50941000000000003</v>
      </c>
      <c r="AG431" s="344">
        <f t="shared" ca="1" si="106"/>
        <v>0.50941000000000003</v>
      </c>
      <c r="AH431" s="344">
        <f ca="1">AH429/AH421</f>
        <v>0.51061999999999996</v>
      </c>
      <c r="AI431" s="60"/>
      <c r="AJ431" s="60"/>
    </row>
    <row r="432" spans="1:143" s="356" customFormat="1" x14ac:dyDescent="0.2">
      <c r="A432" s="366"/>
      <c r="B432" s="367"/>
      <c r="C432" s="368"/>
      <c r="D432" s="368"/>
      <c r="E432" s="368"/>
      <c r="F432" s="368"/>
      <c r="G432" s="368"/>
      <c r="H432" s="368"/>
      <c r="I432" s="368"/>
      <c r="J432" s="368"/>
      <c r="K432" s="368"/>
      <c r="L432" s="368"/>
      <c r="M432" s="368"/>
      <c r="N432" s="368"/>
      <c r="O432" s="368"/>
      <c r="P432" s="368"/>
      <c r="Q432" s="368"/>
      <c r="R432" s="368"/>
      <c r="S432" s="368"/>
      <c r="T432" s="368"/>
      <c r="U432" s="368"/>
      <c r="V432" s="368"/>
      <c r="W432" s="368"/>
      <c r="X432" s="368"/>
      <c r="Y432" s="368"/>
      <c r="Z432" s="368"/>
      <c r="AA432" s="368"/>
      <c r="AB432" s="368"/>
      <c r="AC432" s="368"/>
      <c r="AD432" s="368"/>
      <c r="AE432" s="368"/>
      <c r="AF432" s="368"/>
      <c r="AG432" s="368"/>
      <c r="AH432" s="368"/>
      <c r="AI432" s="62"/>
      <c r="AJ432" s="62"/>
    </row>
    <row r="433" spans="1:37" ht="15" customHeight="1" x14ac:dyDescent="0.2">
      <c r="A433" s="833" t="s">
        <v>491</v>
      </c>
      <c r="B433" s="833"/>
      <c r="C433" s="833"/>
      <c r="D433" s="833"/>
      <c r="E433" s="833"/>
      <c r="F433" s="833"/>
      <c r="G433" s="833"/>
      <c r="H433" s="833"/>
      <c r="AH433" s="369">
        <v>0.21</v>
      </c>
    </row>
    <row r="434" spans="1:37" x14ac:dyDescent="0.2">
      <c r="A434" s="370" t="s">
        <v>434</v>
      </c>
    </row>
    <row r="435" spans="1:37" ht="15" x14ac:dyDescent="0.25">
      <c r="A435" s="371" t="s">
        <v>83</v>
      </c>
      <c r="B435" s="372"/>
      <c r="C435" s="372"/>
      <c r="D435" s="372"/>
      <c r="E435" s="372"/>
      <c r="F435" s="372"/>
      <c r="G435" s="372"/>
      <c r="H435" s="372"/>
      <c r="I435" s="372"/>
      <c r="J435" s="372"/>
      <c r="K435" s="372"/>
      <c r="L435" s="372"/>
      <c r="M435" s="372"/>
      <c r="N435" s="372"/>
      <c r="O435" s="372"/>
      <c r="P435" s="372"/>
      <c r="Q435" s="372"/>
      <c r="R435" s="372"/>
      <c r="S435" s="372"/>
      <c r="T435" s="372"/>
      <c r="U435" s="372"/>
      <c r="V435" s="372"/>
      <c r="W435" s="372"/>
      <c r="X435" s="372"/>
      <c r="Y435" s="372"/>
      <c r="Z435" s="372"/>
      <c r="AA435" s="372"/>
      <c r="AB435" s="372"/>
      <c r="AC435" s="372"/>
      <c r="AD435" s="372"/>
      <c r="AE435" s="372"/>
      <c r="AF435" s="372"/>
      <c r="AG435" s="372"/>
      <c r="AH435" s="372"/>
    </row>
    <row r="436" spans="1:37" x14ac:dyDescent="0.2">
      <c r="A436" s="373"/>
      <c r="B436" s="374">
        <v>2013</v>
      </c>
      <c r="C436" s="374">
        <f t="shared" ref="C436:AG436" si="107">B436+1</f>
        <v>2014</v>
      </c>
      <c r="D436" s="374">
        <f t="shared" si="107"/>
        <v>2015</v>
      </c>
      <c r="E436" s="374">
        <f t="shared" si="107"/>
        <v>2016</v>
      </c>
      <c r="F436" s="374">
        <f t="shared" si="107"/>
        <v>2017</v>
      </c>
      <c r="G436" s="374">
        <f t="shared" si="107"/>
        <v>2018</v>
      </c>
      <c r="H436" s="374">
        <f t="shared" si="107"/>
        <v>2019</v>
      </c>
      <c r="I436" s="374">
        <f t="shared" si="107"/>
        <v>2020</v>
      </c>
      <c r="J436" s="374">
        <f t="shared" si="107"/>
        <v>2021</v>
      </c>
      <c r="K436" s="374">
        <f t="shared" si="107"/>
        <v>2022</v>
      </c>
      <c r="L436" s="374">
        <f t="shared" si="107"/>
        <v>2023</v>
      </c>
      <c r="M436" s="374">
        <f t="shared" si="107"/>
        <v>2024</v>
      </c>
      <c r="N436" s="374">
        <f t="shared" si="107"/>
        <v>2025</v>
      </c>
      <c r="O436" s="374">
        <f t="shared" si="107"/>
        <v>2026</v>
      </c>
      <c r="P436" s="374">
        <f t="shared" si="107"/>
        <v>2027</v>
      </c>
      <c r="Q436" s="374">
        <f t="shared" si="107"/>
        <v>2028</v>
      </c>
      <c r="R436" s="374">
        <f t="shared" si="107"/>
        <v>2029</v>
      </c>
      <c r="S436" s="374">
        <f t="shared" si="107"/>
        <v>2030</v>
      </c>
      <c r="T436" s="374">
        <f t="shared" si="107"/>
        <v>2031</v>
      </c>
      <c r="U436" s="374">
        <f t="shared" si="107"/>
        <v>2032</v>
      </c>
      <c r="V436" s="374">
        <f t="shared" si="107"/>
        <v>2033</v>
      </c>
      <c r="W436" s="374">
        <f t="shared" si="107"/>
        <v>2034</v>
      </c>
      <c r="X436" s="374">
        <f t="shared" si="107"/>
        <v>2035</v>
      </c>
      <c r="Y436" s="374">
        <f t="shared" si="107"/>
        <v>2036</v>
      </c>
      <c r="Z436" s="374">
        <f t="shared" si="107"/>
        <v>2037</v>
      </c>
      <c r="AA436" s="374">
        <f t="shared" si="107"/>
        <v>2038</v>
      </c>
      <c r="AB436" s="374">
        <f t="shared" si="107"/>
        <v>2039</v>
      </c>
      <c r="AC436" s="374">
        <f t="shared" si="107"/>
        <v>2040</v>
      </c>
      <c r="AD436" s="374">
        <f t="shared" si="107"/>
        <v>2041</v>
      </c>
      <c r="AE436" s="374">
        <f t="shared" si="107"/>
        <v>2042</v>
      </c>
      <c r="AF436" s="374">
        <f t="shared" si="107"/>
        <v>2043</v>
      </c>
      <c r="AG436" s="374">
        <f t="shared" si="107"/>
        <v>2044</v>
      </c>
      <c r="AH436" s="374">
        <f>AG436+1</f>
        <v>2045</v>
      </c>
    </row>
    <row r="437" spans="1:37" s="62" customFormat="1" x14ac:dyDescent="0.2">
      <c r="A437" s="373"/>
      <c r="B437" s="375">
        <v>1</v>
      </c>
      <c r="C437" s="375">
        <f t="shared" ref="C437:AG437" si="108">B437+1</f>
        <v>2</v>
      </c>
      <c r="D437" s="375">
        <f t="shared" si="108"/>
        <v>3</v>
      </c>
      <c r="E437" s="375">
        <f t="shared" si="108"/>
        <v>4</v>
      </c>
      <c r="F437" s="375">
        <f t="shared" si="108"/>
        <v>5</v>
      </c>
      <c r="G437" s="375">
        <f t="shared" si="108"/>
        <v>6</v>
      </c>
      <c r="H437" s="375">
        <f t="shared" si="108"/>
        <v>7</v>
      </c>
      <c r="I437" s="375">
        <f t="shared" si="108"/>
        <v>8</v>
      </c>
      <c r="J437" s="375">
        <f t="shared" si="108"/>
        <v>9</v>
      </c>
      <c r="K437" s="375">
        <f t="shared" si="108"/>
        <v>10</v>
      </c>
      <c r="L437" s="375">
        <f t="shared" si="108"/>
        <v>11</v>
      </c>
      <c r="M437" s="375">
        <f t="shared" si="108"/>
        <v>12</v>
      </c>
      <c r="N437" s="375">
        <f t="shared" si="108"/>
        <v>13</v>
      </c>
      <c r="O437" s="375">
        <f t="shared" si="108"/>
        <v>14</v>
      </c>
      <c r="P437" s="375">
        <f t="shared" si="108"/>
        <v>15</v>
      </c>
      <c r="Q437" s="375">
        <f t="shared" si="108"/>
        <v>16</v>
      </c>
      <c r="R437" s="375">
        <f t="shared" si="108"/>
        <v>17</v>
      </c>
      <c r="S437" s="375">
        <f t="shared" si="108"/>
        <v>18</v>
      </c>
      <c r="T437" s="375">
        <f t="shared" si="108"/>
        <v>19</v>
      </c>
      <c r="U437" s="375">
        <f t="shared" si="108"/>
        <v>20</v>
      </c>
      <c r="V437" s="375">
        <f t="shared" si="108"/>
        <v>21</v>
      </c>
      <c r="W437" s="375">
        <f t="shared" si="108"/>
        <v>22</v>
      </c>
      <c r="X437" s="375">
        <f t="shared" si="108"/>
        <v>23</v>
      </c>
      <c r="Y437" s="375">
        <f t="shared" si="108"/>
        <v>24</v>
      </c>
      <c r="Z437" s="375">
        <f t="shared" si="108"/>
        <v>25</v>
      </c>
      <c r="AA437" s="375">
        <f t="shared" si="108"/>
        <v>26</v>
      </c>
      <c r="AB437" s="375">
        <f t="shared" si="108"/>
        <v>27</v>
      </c>
      <c r="AC437" s="375">
        <f t="shared" si="108"/>
        <v>28</v>
      </c>
      <c r="AD437" s="375">
        <f t="shared" si="108"/>
        <v>29</v>
      </c>
      <c r="AE437" s="375">
        <f t="shared" si="108"/>
        <v>30</v>
      </c>
      <c r="AF437" s="375">
        <f t="shared" si="108"/>
        <v>31</v>
      </c>
      <c r="AG437" s="375">
        <f t="shared" si="108"/>
        <v>32</v>
      </c>
      <c r="AH437" s="375">
        <f>AG437+1</f>
        <v>33</v>
      </c>
      <c r="AI437" s="60"/>
      <c r="AJ437" s="60"/>
      <c r="AK437" s="60"/>
    </row>
    <row r="438" spans="1:37" s="62" customFormat="1" x14ac:dyDescent="0.2">
      <c r="A438" s="373" t="s">
        <v>418</v>
      </c>
      <c r="B438" s="158">
        <v>4.0000000000000001E-3</v>
      </c>
      <c r="C438" s="158">
        <v>1.0999999999999999E-2</v>
      </c>
      <c r="D438" s="158">
        <v>0.03</v>
      </c>
      <c r="E438" s="158">
        <v>2.5000000000000001E-2</v>
      </c>
      <c r="F438" s="158">
        <v>2.5000000000000001E-2</v>
      </c>
      <c r="G438" s="376">
        <v>0.02</v>
      </c>
      <c r="H438" s="376">
        <v>0.02</v>
      </c>
      <c r="I438" s="376">
        <v>0.02</v>
      </c>
      <c r="J438" s="376">
        <v>0.02</v>
      </c>
      <c r="K438" s="376">
        <v>0.02</v>
      </c>
      <c r="L438" s="376">
        <v>0.02</v>
      </c>
      <c r="M438" s="376">
        <v>0.02</v>
      </c>
      <c r="N438" s="376">
        <v>0.02</v>
      </c>
      <c r="O438" s="376">
        <v>0.02</v>
      </c>
      <c r="P438" s="376">
        <v>0.02</v>
      </c>
      <c r="Q438" s="376">
        <v>0.02</v>
      </c>
      <c r="R438" s="376">
        <v>0.02</v>
      </c>
      <c r="S438" s="376">
        <v>0.02</v>
      </c>
      <c r="T438" s="376">
        <v>0.02</v>
      </c>
      <c r="U438" s="376">
        <v>0.02</v>
      </c>
      <c r="V438" s="376">
        <v>0.02</v>
      </c>
      <c r="W438" s="376">
        <v>0.02</v>
      </c>
      <c r="X438" s="376">
        <v>0.02</v>
      </c>
      <c r="Y438" s="376">
        <v>0.02</v>
      </c>
      <c r="Z438" s="376">
        <v>0.02</v>
      </c>
      <c r="AA438" s="376">
        <v>0.02</v>
      </c>
      <c r="AB438" s="376">
        <v>0.02</v>
      </c>
      <c r="AC438" s="376">
        <v>0.02</v>
      </c>
      <c r="AD438" s="376">
        <v>0.02</v>
      </c>
      <c r="AE438" s="376">
        <v>0.02</v>
      </c>
      <c r="AF438" s="376">
        <v>0.02</v>
      </c>
      <c r="AG438" s="376">
        <v>0.02</v>
      </c>
      <c r="AH438" s="376">
        <v>0.02</v>
      </c>
      <c r="AI438" s="60"/>
      <c r="AJ438" s="60"/>
      <c r="AK438" s="60"/>
    </row>
    <row r="439" spans="1:37" s="62" customFormat="1" x14ac:dyDescent="0.2">
      <c r="A439" s="373" t="s">
        <v>84</v>
      </c>
      <c r="B439" s="377">
        <v>1</v>
      </c>
      <c r="C439" s="378">
        <f t="shared" ref="C439:AG439" si="109">ROUND(B439*(1+C438),2)</f>
        <v>1.01</v>
      </c>
      <c r="D439" s="378">
        <f t="shared" si="109"/>
        <v>1.04</v>
      </c>
      <c r="E439" s="378">
        <f t="shared" si="109"/>
        <v>1.07</v>
      </c>
      <c r="F439" s="378">
        <f t="shared" si="109"/>
        <v>1.1000000000000001</v>
      </c>
      <c r="G439" s="378">
        <f t="shared" si="109"/>
        <v>1.1200000000000001</v>
      </c>
      <c r="H439" s="378">
        <f t="shared" si="109"/>
        <v>1.1399999999999999</v>
      </c>
      <c r="I439" s="378">
        <f t="shared" si="109"/>
        <v>1.1599999999999999</v>
      </c>
      <c r="J439" s="378">
        <f t="shared" si="109"/>
        <v>1.18</v>
      </c>
      <c r="K439" s="378">
        <f t="shared" si="109"/>
        <v>1.2</v>
      </c>
      <c r="L439" s="378">
        <f t="shared" si="109"/>
        <v>1.22</v>
      </c>
      <c r="M439" s="378">
        <f t="shared" si="109"/>
        <v>1.24</v>
      </c>
      <c r="N439" s="378">
        <f t="shared" si="109"/>
        <v>1.26</v>
      </c>
      <c r="O439" s="378">
        <f t="shared" si="109"/>
        <v>1.29</v>
      </c>
      <c r="P439" s="378">
        <f t="shared" si="109"/>
        <v>1.32</v>
      </c>
      <c r="Q439" s="378">
        <f t="shared" si="109"/>
        <v>1.35</v>
      </c>
      <c r="R439" s="378">
        <f t="shared" si="109"/>
        <v>1.38</v>
      </c>
      <c r="S439" s="378">
        <f t="shared" si="109"/>
        <v>1.41</v>
      </c>
      <c r="T439" s="378">
        <f t="shared" si="109"/>
        <v>1.44</v>
      </c>
      <c r="U439" s="378">
        <f t="shared" si="109"/>
        <v>1.47</v>
      </c>
      <c r="V439" s="378">
        <f t="shared" si="109"/>
        <v>1.5</v>
      </c>
      <c r="W439" s="378">
        <f t="shared" si="109"/>
        <v>1.53</v>
      </c>
      <c r="X439" s="378">
        <f t="shared" si="109"/>
        <v>1.56</v>
      </c>
      <c r="Y439" s="378">
        <f t="shared" si="109"/>
        <v>1.59</v>
      </c>
      <c r="Z439" s="378">
        <f t="shared" si="109"/>
        <v>1.62</v>
      </c>
      <c r="AA439" s="378">
        <f t="shared" si="109"/>
        <v>1.65</v>
      </c>
      <c r="AB439" s="378">
        <f t="shared" si="109"/>
        <v>1.68</v>
      </c>
      <c r="AC439" s="378">
        <f t="shared" si="109"/>
        <v>1.71</v>
      </c>
      <c r="AD439" s="378">
        <f t="shared" si="109"/>
        <v>1.74</v>
      </c>
      <c r="AE439" s="378">
        <f t="shared" si="109"/>
        <v>1.77</v>
      </c>
      <c r="AF439" s="378">
        <f t="shared" si="109"/>
        <v>1.81</v>
      </c>
      <c r="AG439" s="378">
        <f t="shared" si="109"/>
        <v>1.85</v>
      </c>
      <c r="AH439" s="378">
        <f>ROUND(AG439*(1+AH438),2)</f>
        <v>1.89</v>
      </c>
      <c r="AI439" s="60"/>
      <c r="AJ439" s="60"/>
      <c r="AK439" s="60"/>
    </row>
    <row r="440" spans="1:37" s="62" customFormat="1" x14ac:dyDescent="0.2">
      <c r="A440" s="379" t="s">
        <v>419</v>
      </c>
      <c r="B440" s="158">
        <v>0.04</v>
      </c>
      <c r="C440" s="158">
        <v>4.4999999999999998E-2</v>
      </c>
      <c r="D440" s="158">
        <v>2.1999999999999999E-2</v>
      </c>
      <c r="E440" s="158">
        <v>2.9000000000000001E-2</v>
      </c>
      <c r="F440" s="158">
        <v>2.9000000000000001E-2</v>
      </c>
      <c r="G440" s="376">
        <v>1.9E-2</v>
      </c>
      <c r="H440" s="376">
        <v>1.9E-2</v>
      </c>
      <c r="I440" s="376">
        <v>1.9E-2</v>
      </c>
      <c r="J440" s="376">
        <v>1.9E-2</v>
      </c>
      <c r="K440" s="376">
        <v>1.9E-2</v>
      </c>
      <c r="L440" s="376">
        <v>1.9E-2</v>
      </c>
      <c r="M440" s="376">
        <v>1.9E-2</v>
      </c>
      <c r="N440" s="376">
        <v>1.9E-2</v>
      </c>
      <c r="O440" s="376">
        <v>1.9E-2</v>
      </c>
      <c r="P440" s="376">
        <v>1.9E-2</v>
      </c>
      <c r="Q440" s="376">
        <v>1.9E-2</v>
      </c>
      <c r="R440" s="376">
        <v>1.9E-2</v>
      </c>
      <c r="S440" s="376">
        <v>1.9E-2</v>
      </c>
      <c r="T440" s="376">
        <v>1.9E-2</v>
      </c>
      <c r="U440" s="376">
        <v>1.9E-2</v>
      </c>
      <c r="V440" s="376">
        <v>1.9E-2</v>
      </c>
      <c r="W440" s="376">
        <v>1.9E-2</v>
      </c>
      <c r="X440" s="376">
        <v>1.9E-2</v>
      </c>
      <c r="Y440" s="376">
        <v>1.9E-2</v>
      </c>
      <c r="Z440" s="376">
        <v>1.9E-2</v>
      </c>
      <c r="AA440" s="376">
        <v>1.9E-2</v>
      </c>
      <c r="AB440" s="376">
        <v>1.9E-2</v>
      </c>
      <c r="AC440" s="376">
        <v>1.9E-2</v>
      </c>
      <c r="AD440" s="376">
        <v>1.9E-2</v>
      </c>
      <c r="AE440" s="376">
        <v>1.9E-2</v>
      </c>
      <c r="AF440" s="376">
        <v>1.9E-2</v>
      </c>
      <c r="AG440" s="376">
        <v>1.9E-2</v>
      </c>
      <c r="AH440" s="376">
        <v>1.9E-2</v>
      </c>
      <c r="AI440" s="60"/>
      <c r="AJ440" s="60"/>
      <c r="AK440" s="60"/>
    </row>
    <row r="441" spans="1:37" s="62" customFormat="1" x14ac:dyDescent="0.2">
      <c r="A441" s="373" t="s">
        <v>84</v>
      </c>
      <c r="B441" s="377">
        <v>1</v>
      </c>
      <c r="C441" s="378">
        <f>ROUND(B441*(1+C440),2)</f>
        <v>1.05</v>
      </c>
      <c r="D441" s="378">
        <f>ROUND(C441*(1+D440),2)</f>
        <v>1.07</v>
      </c>
      <c r="E441" s="378">
        <f>ROUND(D441*(1+E440),2)</f>
        <v>1.1000000000000001</v>
      </c>
      <c r="F441" s="378">
        <f t="shared" ref="F441:AG441" si="110">ROUND(E441*(1+F440),2)</f>
        <v>1.1299999999999999</v>
      </c>
      <c r="G441" s="378">
        <f>ROUND(F441*(1+G440),2)</f>
        <v>1.1499999999999999</v>
      </c>
      <c r="H441" s="378">
        <f t="shared" si="110"/>
        <v>1.17</v>
      </c>
      <c r="I441" s="378">
        <f t="shared" si="110"/>
        <v>1.19</v>
      </c>
      <c r="J441" s="378">
        <f t="shared" si="110"/>
        <v>1.21</v>
      </c>
      <c r="K441" s="378">
        <f t="shared" si="110"/>
        <v>1.23</v>
      </c>
      <c r="L441" s="378">
        <f t="shared" si="110"/>
        <v>1.25</v>
      </c>
      <c r="M441" s="378">
        <f t="shared" si="110"/>
        <v>1.27</v>
      </c>
      <c r="N441" s="378">
        <f t="shared" si="110"/>
        <v>1.29</v>
      </c>
      <c r="O441" s="378">
        <f t="shared" si="110"/>
        <v>1.31</v>
      </c>
      <c r="P441" s="378">
        <f t="shared" si="110"/>
        <v>1.33</v>
      </c>
      <c r="Q441" s="378">
        <f t="shared" si="110"/>
        <v>1.36</v>
      </c>
      <c r="R441" s="378">
        <f t="shared" si="110"/>
        <v>1.39</v>
      </c>
      <c r="S441" s="378">
        <f t="shared" si="110"/>
        <v>1.42</v>
      </c>
      <c r="T441" s="378">
        <f t="shared" si="110"/>
        <v>1.45</v>
      </c>
      <c r="U441" s="378">
        <f t="shared" si="110"/>
        <v>1.48</v>
      </c>
      <c r="V441" s="378">
        <f t="shared" si="110"/>
        <v>1.51</v>
      </c>
      <c r="W441" s="378">
        <f t="shared" si="110"/>
        <v>1.54</v>
      </c>
      <c r="X441" s="378">
        <f t="shared" si="110"/>
        <v>1.57</v>
      </c>
      <c r="Y441" s="378">
        <f t="shared" si="110"/>
        <v>1.6</v>
      </c>
      <c r="Z441" s="378">
        <f t="shared" si="110"/>
        <v>1.63</v>
      </c>
      <c r="AA441" s="378">
        <f t="shared" si="110"/>
        <v>1.66</v>
      </c>
      <c r="AB441" s="378">
        <f t="shared" si="110"/>
        <v>1.69</v>
      </c>
      <c r="AC441" s="378">
        <f t="shared" si="110"/>
        <v>1.72</v>
      </c>
      <c r="AD441" s="378">
        <f t="shared" si="110"/>
        <v>1.75</v>
      </c>
      <c r="AE441" s="378">
        <f t="shared" si="110"/>
        <v>1.78</v>
      </c>
      <c r="AF441" s="378">
        <f t="shared" si="110"/>
        <v>1.81</v>
      </c>
      <c r="AG441" s="378">
        <f t="shared" si="110"/>
        <v>1.84</v>
      </c>
      <c r="AH441" s="378">
        <f>ROUND(AG441*(1+AH440),2)</f>
        <v>1.87</v>
      </c>
      <c r="AI441" s="60"/>
      <c r="AJ441" s="60"/>
      <c r="AK441" s="60"/>
    </row>
    <row r="442" spans="1:37" s="62" customFormat="1" x14ac:dyDescent="0.2">
      <c r="A442" s="379" t="s">
        <v>85</v>
      </c>
      <c r="B442" s="158">
        <v>2.5000000000000001E-2</v>
      </c>
      <c r="C442" s="158">
        <v>2.9000000000000001E-2</v>
      </c>
      <c r="D442" s="158">
        <v>2.8000000000000001E-2</v>
      </c>
      <c r="E442" s="158">
        <v>2.9000000000000001E-2</v>
      </c>
      <c r="F442" s="158">
        <v>2.9000000000000001E-2</v>
      </c>
      <c r="G442" s="376">
        <v>0.02</v>
      </c>
      <c r="H442" s="376">
        <v>0.02</v>
      </c>
      <c r="I442" s="376">
        <v>0.02</v>
      </c>
      <c r="J442" s="376">
        <v>0.02</v>
      </c>
      <c r="K442" s="376">
        <v>0.02</v>
      </c>
      <c r="L442" s="376">
        <v>0.02</v>
      </c>
      <c r="M442" s="376">
        <v>0.02</v>
      </c>
      <c r="N442" s="376">
        <v>0.02</v>
      </c>
      <c r="O442" s="376">
        <v>0.02</v>
      </c>
      <c r="P442" s="376">
        <v>0.02</v>
      </c>
      <c r="Q442" s="376">
        <v>0.02</v>
      </c>
      <c r="R442" s="376">
        <v>0.02</v>
      </c>
      <c r="S442" s="376">
        <v>0.02</v>
      </c>
      <c r="T442" s="376">
        <v>0.02</v>
      </c>
      <c r="U442" s="376">
        <v>0.02</v>
      </c>
      <c r="V442" s="376">
        <v>0.02</v>
      </c>
      <c r="W442" s="376">
        <v>0.02</v>
      </c>
      <c r="X442" s="376">
        <v>0.02</v>
      </c>
      <c r="Y442" s="376">
        <v>0.02</v>
      </c>
      <c r="Z442" s="376">
        <v>0.02</v>
      </c>
      <c r="AA442" s="376">
        <v>0.02</v>
      </c>
      <c r="AB442" s="376">
        <v>0.02</v>
      </c>
      <c r="AC442" s="376">
        <v>0.02</v>
      </c>
      <c r="AD442" s="376">
        <v>0.02</v>
      </c>
      <c r="AE442" s="376">
        <v>0.02</v>
      </c>
      <c r="AF442" s="376">
        <v>0.02</v>
      </c>
      <c r="AG442" s="376">
        <v>0.02</v>
      </c>
      <c r="AH442" s="376">
        <v>0.02</v>
      </c>
      <c r="AI442" s="60"/>
      <c r="AJ442" s="60"/>
      <c r="AK442" s="60"/>
    </row>
    <row r="443" spans="1:37" s="62" customFormat="1" x14ac:dyDescent="0.2">
      <c r="A443" s="373" t="s">
        <v>84</v>
      </c>
      <c r="B443" s="377">
        <v>1</v>
      </c>
      <c r="C443" s="378">
        <f t="shared" ref="C443:AG443" si="111">ROUND(B443*(1+C442),2)</f>
        <v>1.03</v>
      </c>
      <c r="D443" s="378">
        <f t="shared" si="111"/>
        <v>1.06</v>
      </c>
      <c r="E443" s="378">
        <f t="shared" si="111"/>
        <v>1.0900000000000001</v>
      </c>
      <c r="F443" s="378">
        <f t="shared" si="111"/>
        <v>1.1200000000000001</v>
      </c>
      <c r="G443" s="378">
        <f t="shared" si="111"/>
        <v>1.1399999999999999</v>
      </c>
      <c r="H443" s="378">
        <f t="shared" si="111"/>
        <v>1.1599999999999999</v>
      </c>
      <c r="I443" s="378">
        <f t="shared" si="111"/>
        <v>1.18</v>
      </c>
      <c r="J443" s="378">
        <f t="shared" si="111"/>
        <v>1.2</v>
      </c>
      <c r="K443" s="378">
        <f t="shared" si="111"/>
        <v>1.22</v>
      </c>
      <c r="L443" s="378">
        <f t="shared" si="111"/>
        <v>1.24</v>
      </c>
      <c r="M443" s="378">
        <f t="shared" si="111"/>
        <v>1.26</v>
      </c>
      <c r="N443" s="378">
        <f t="shared" si="111"/>
        <v>1.29</v>
      </c>
      <c r="O443" s="378">
        <f t="shared" si="111"/>
        <v>1.32</v>
      </c>
      <c r="P443" s="378">
        <f t="shared" si="111"/>
        <v>1.35</v>
      </c>
      <c r="Q443" s="378">
        <f t="shared" si="111"/>
        <v>1.38</v>
      </c>
      <c r="R443" s="378">
        <f t="shared" si="111"/>
        <v>1.41</v>
      </c>
      <c r="S443" s="378">
        <f t="shared" si="111"/>
        <v>1.44</v>
      </c>
      <c r="T443" s="378">
        <f t="shared" si="111"/>
        <v>1.47</v>
      </c>
      <c r="U443" s="378">
        <f t="shared" si="111"/>
        <v>1.5</v>
      </c>
      <c r="V443" s="378">
        <f t="shared" si="111"/>
        <v>1.53</v>
      </c>
      <c r="W443" s="378">
        <f t="shared" si="111"/>
        <v>1.56</v>
      </c>
      <c r="X443" s="378">
        <f t="shared" si="111"/>
        <v>1.59</v>
      </c>
      <c r="Y443" s="378">
        <f t="shared" si="111"/>
        <v>1.62</v>
      </c>
      <c r="Z443" s="378">
        <f t="shared" si="111"/>
        <v>1.65</v>
      </c>
      <c r="AA443" s="378">
        <f t="shared" si="111"/>
        <v>1.68</v>
      </c>
      <c r="AB443" s="378">
        <f t="shared" si="111"/>
        <v>1.71</v>
      </c>
      <c r="AC443" s="378">
        <f t="shared" si="111"/>
        <v>1.74</v>
      </c>
      <c r="AD443" s="378">
        <f t="shared" si="111"/>
        <v>1.77</v>
      </c>
      <c r="AE443" s="378">
        <f t="shared" si="111"/>
        <v>1.81</v>
      </c>
      <c r="AF443" s="378">
        <f t="shared" si="111"/>
        <v>1.85</v>
      </c>
      <c r="AG443" s="378">
        <f t="shared" si="111"/>
        <v>1.89</v>
      </c>
      <c r="AH443" s="378">
        <f>ROUND(AG443*(1+AH442),2)</f>
        <v>1.93</v>
      </c>
      <c r="AI443" s="60"/>
      <c r="AJ443" s="60"/>
      <c r="AK443" s="60"/>
    </row>
    <row r="444" spans="1:37" x14ac:dyDescent="0.2">
      <c r="A444" s="373" t="s">
        <v>86</v>
      </c>
      <c r="B444" s="380">
        <v>0.21</v>
      </c>
      <c r="C444" s="380">
        <v>0.21</v>
      </c>
      <c r="D444" s="380">
        <v>0.21</v>
      </c>
      <c r="E444" s="380">
        <f t="shared" ref="E444:AG444" si="112">D444</f>
        <v>0.21</v>
      </c>
      <c r="F444" s="380">
        <f t="shared" si="112"/>
        <v>0.21</v>
      </c>
      <c r="G444" s="380">
        <f t="shared" si="112"/>
        <v>0.21</v>
      </c>
      <c r="H444" s="380">
        <f t="shared" si="112"/>
        <v>0.21</v>
      </c>
      <c r="I444" s="380">
        <f t="shared" si="112"/>
        <v>0.21</v>
      </c>
      <c r="J444" s="380">
        <f t="shared" si="112"/>
        <v>0.21</v>
      </c>
      <c r="K444" s="380">
        <f t="shared" si="112"/>
        <v>0.21</v>
      </c>
      <c r="L444" s="380">
        <f t="shared" si="112"/>
        <v>0.21</v>
      </c>
      <c r="M444" s="380">
        <f t="shared" si="112"/>
        <v>0.21</v>
      </c>
      <c r="N444" s="380">
        <f t="shared" si="112"/>
        <v>0.21</v>
      </c>
      <c r="O444" s="380">
        <f t="shared" si="112"/>
        <v>0.21</v>
      </c>
      <c r="P444" s="380">
        <f t="shared" si="112"/>
        <v>0.21</v>
      </c>
      <c r="Q444" s="380">
        <f t="shared" si="112"/>
        <v>0.21</v>
      </c>
      <c r="R444" s="380">
        <f t="shared" si="112"/>
        <v>0.21</v>
      </c>
      <c r="S444" s="380">
        <f t="shared" si="112"/>
        <v>0.21</v>
      </c>
      <c r="T444" s="380">
        <f t="shared" si="112"/>
        <v>0.21</v>
      </c>
      <c r="U444" s="380">
        <f t="shared" si="112"/>
        <v>0.21</v>
      </c>
      <c r="V444" s="380">
        <f t="shared" si="112"/>
        <v>0.21</v>
      </c>
      <c r="W444" s="380">
        <f t="shared" si="112"/>
        <v>0.21</v>
      </c>
      <c r="X444" s="380">
        <f t="shared" si="112"/>
        <v>0.21</v>
      </c>
      <c r="Y444" s="380">
        <f t="shared" si="112"/>
        <v>0.21</v>
      </c>
      <c r="Z444" s="380">
        <f t="shared" si="112"/>
        <v>0.21</v>
      </c>
      <c r="AA444" s="380">
        <f t="shared" si="112"/>
        <v>0.21</v>
      </c>
      <c r="AB444" s="380">
        <f t="shared" si="112"/>
        <v>0.21</v>
      </c>
      <c r="AC444" s="380">
        <f t="shared" si="112"/>
        <v>0.21</v>
      </c>
      <c r="AD444" s="380">
        <f t="shared" si="112"/>
        <v>0.21</v>
      </c>
      <c r="AE444" s="380">
        <f t="shared" si="112"/>
        <v>0.21</v>
      </c>
      <c r="AF444" s="380">
        <f t="shared" si="112"/>
        <v>0.21</v>
      </c>
      <c r="AG444" s="380">
        <f t="shared" si="112"/>
        <v>0.21</v>
      </c>
      <c r="AH444" s="380">
        <f>AG444</f>
        <v>0.21</v>
      </c>
    </row>
    <row r="445" spans="1:37" x14ac:dyDescent="0.2">
      <c r="A445" s="373" t="s">
        <v>87</v>
      </c>
      <c r="B445" s="381">
        <v>0.2409</v>
      </c>
      <c r="C445" s="381">
        <v>0.2359</v>
      </c>
      <c r="D445" s="381">
        <v>0.2359</v>
      </c>
      <c r="E445" s="381">
        <v>0.2359</v>
      </c>
      <c r="F445" s="381">
        <v>0.2359</v>
      </c>
      <c r="G445" s="381">
        <v>0.2359</v>
      </c>
      <c r="H445" s="381">
        <v>0.2359</v>
      </c>
      <c r="I445" s="381">
        <v>0.2359</v>
      </c>
      <c r="J445" s="381">
        <v>0.2359</v>
      </c>
      <c r="K445" s="381">
        <v>0.2359</v>
      </c>
      <c r="L445" s="381">
        <v>0.2359</v>
      </c>
      <c r="M445" s="381">
        <v>0.2359</v>
      </c>
      <c r="N445" s="381">
        <v>0.2359</v>
      </c>
      <c r="O445" s="381">
        <v>0.2359</v>
      </c>
      <c r="P445" s="381">
        <v>0.2359</v>
      </c>
      <c r="Q445" s="381">
        <v>0.2359</v>
      </c>
      <c r="R445" s="381">
        <v>0.2359</v>
      </c>
      <c r="S445" s="381">
        <v>0.2359</v>
      </c>
      <c r="T445" s="381">
        <v>0.2359</v>
      </c>
      <c r="U445" s="381">
        <v>0.2359</v>
      </c>
      <c r="V445" s="381">
        <v>0.2359</v>
      </c>
      <c r="W445" s="381">
        <v>0.2359</v>
      </c>
      <c r="X445" s="381">
        <v>0.2359</v>
      </c>
      <c r="Y445" s="381">
        <v>0.2359</v>
      </c>
      <c r="Z445" s="381">
        <v>0.2359</v>
      </c>
      <c r="AA445" s="381">
        <v>0.2359</v>
      </c>
      <c r="AB445" s="381">
        <v>0.2359</v>
      </c>
      <c r="AC445" s="381">
        <v>0.2359</v>
      </c>
      <c r="AD445" s="381">
        <v>0.2359</v>
      </c>
      <c r="AE445" s="381">
        <v>0.2359</v>
      </c>
      <c r="AF445" s="381">
        <v>0.2359</v>
      </c>
      <c r="AG445" s="381">
        <v>0.2359</v>
      </c>
      <c r="AH445" s="381">
        <v>0.2359</v>
      </c>
    </row>
    <row r="446" spans="1:37" x14ac:dyDescent="0.2">
      <c r="A446" s="373" t="s">
        <v>88</v>
      </c>
      <c r="B446" s="380">
        <v>0.15</v>
      </c>
      <c r="C446" s="380">
        <v>0.15</v>
      </c>
      <c r="D446" s="380">
        <v>0.15</v>
      </c>
      <c r="E446" s="380">
        <v>0.15</v>
      </c>
      <c r="F446" s="380">
        <v>0.15</v>
      </c>
      <c r="G446" s="380">
        <v>0.15</v>
      </c>
      <c r="H446" s="380">
        <v>0.15</v>
      </c>
      <c r="I446" s="380">
        <v>0.15</v>
      </c>
      <c r="J446" s="380">
        <v>0.15</v>
      </c>
      <c r="K446" s="380">
        <v>0.15</v>
      </c>
      <c r="L446" s="380">
        <v>0.15</v>
      </c>
      <c r="M446" s="380">
        <v>0.15</v>
      </c>
      <c r="N446" s="380">
        <v>0.15</v>
      </c>
      <c r="O446" s="380">
        <v>0.15</v>
      </c>
      <c r="P446" s="380">
        <v>0.15</v>
      </c>
      <c r="Q446" s="380">
        <v>0.15</v>
      </c>
      <c r="R446" s="380">
        <v>0.15</v>
      </c>
      <c r="S446" s="380">
        <v>0.15</v>
      </c>
      <c r="T446" s="380">
        <v>0.15</v>
      </c>
      <c r="U446" s="380">
        <v>0.15</v>
      </c>
      <c r="V446" s="380">
        <v>0.15</v>
      </c>
      <c r="W446" s="380">
        <v>0.15</v>
      </c>
      <c r="X446" s="380">
        <v>0.15</v>
      </c>
      <c r="Y446" s="380">
        <v>0.15</v>
      </c>
      <c r="Z446" s="380">
        <v>0.15</v>
      </c>
      <c r="AA446" s="380">
        <v>0.15</v>
      </c>
      <c r="AB446" s="380">
        <v>0.15</v>
      </c>
      <c r="AC446" s="380">
        <v>0.15</v>
      </c>
      <c r="AD446" s="380">
        <v>0.15</v>
      </c>
      <c r="AE446" s="380">
        <v>0.15</v>
      </c>
      <c r="AF446" s="380">
        <v>0.15</v>
      </c>
      <c r="AG446" s="380">
        <v>0.15</v>
      </c>
      <c r="AH446" s="380">
        <v>0.15</v>
      </c>
    </row>
    <row r="447" spans="1:37" x14ac:dyDescent="0.2">
      <c r="A447" s="382" t="s">
        <v>420</v>
      </c>
      <c r="B447" s="158">
        <v>7.9000000000000001E-2</v>
      </c>
      <c r="C447" s="375"/>
      <c r="D447" s="375"/>
      <c r="E447" s="375"/>
      <c r="F447" s="375"/>
      <c r="G447" s="375"/>
      <c r="H447" s="375"/>
      <c r="I447" s="375"/>
      <c r="J447" s="375"/>
      <c r="K447" s="375"/>
      <c r="L447" s="375"/>
      <c r="M447" s="375"/>
      <c r="N447" s="375"/>
      <c r="O447" s="375"/>
      <c r="P447" s="375"/>
      <c r="Q447" s="375"/>
      <c r="R447" s="375"/>
      <c r="S447" s="375"/>
      <c r="T447" s="375"/>
      <c r="U447" s="375"/>
      <c r="V447" s="375"/>
      <c r="W447" s="375"/>
      <c r="X447" s="375"/>
      <c r="Y447" s="375"/>
      <c r="Z447" s="375"/>
      <c r="AA447" s="375"/>
      <c r="AB447" s="375"/>
      <c r="AC447" s="375"/>
      <c r="AD447" s="375"/>
      <c r="AE447" s="375"/>
      <c r="AF447" s="375"/>
      <c r="AG447" s="375"/>
      <c r="AH447" s="375"/>
    </row>
    <row r="448" spans="1:37" x14ac:dyDescent="0.2">
      <c r="A448" s="383" t="s">
        <v>292</v>
      </c>
      <c r="B448" s="369">
        <v>0.21</v>
      </c>
      <c r="C448" s="369">
        <v>0.21</v>
      </c>
      <c r="D448" s="369">
        <v>0.21</v>
      </c>
      <c r="E448" s="369">
        <f>D448</f>
        <v>0.21</v>
      </c>
      <c r="F448" s="369">
        <f t="shared" ref="F448:AH448" si="113">E448</f>
        <v>0.21</v>
      </c>
      <c r="G448" s="369">
        <f t="shared" si="113"/>
        <v>0.21</v>
      </c>
      <c r="H448" s="369">
        <f t="shared" si="113"/>
        <v>0.21</v>
      </c>
      <c r="I448" s="369">
        <f t="shared" si="113"/>
        <v>0.21</v>
      </c>
      <c r="J448" s="369">
        <f t="shared" si="113"/>
        <v>0.21</v>
      </c>
      <c r="K448" s="369">
        <f t="shared" si="113"/>
        <v>0.21</v>
      </c>
      <c r="L448" s="369">
        <f t="shared" si="113"/>
        <v>0.21</v>
      </c>
      <c r="M448" s="369">
        <f t="shared" si="113"/>
        <v>0.21</v>
      </c>
      <c r="N448" s="369">
        <f t="shared" si="113"/>
        <v>0.21</v>
      </c>
      <c r="O448" s="369">
        <f t="shared" si="113"/>
        <v>0.21</v>
      </c>
      <c r="P448" s="369">
        <f t="shared" si="113"/>
        <v>0.21</v>
      </c>
      <c r="Q448" s="369">
        <f t="shared" si="113"/>
        <v>0.21</v>
      </c>
      <c r="R448" s="369">
        <f t="shared" si="113"/>
        <v>0.21</v>
      </c>
      <c r="S448" s="369">
        <f t="shared" si="113"/>
        <v>0.21</v>
      </c>
      <c r="T448" s="369">
        <f t="shared" si="113"/>
        <v>0.21</v>
      </c>
      <c r="U448" s="369">
        <f t="shared" si="113"/>
        <v>0.21</v>
      </c>
      <c r="V448" s="369">
        <f t="shared" si="113"/>
        <v>0.21</v>
      </c>
      <c r="W448" s="369">
        <f t="shared" si="113"/>
        <v>0.21</v>
      </c>
      <c r="X448" s="369">
        <f t="shared" si="113"/>
        <v>0.21</v>
      </c>
      <c r="Y448" s="369">
        <f t="shared" si="113"/>
        <v>0.21</v>
      </c>
      <c r="Z448" s="369">
        <f t="shared" si="113"/>
        <v>0.21</v>
      </c>
      <c r="AA448" s="369">
        <f t="shared" si="113"/>
        <v>0.21</v>
      </c>
      <c r="AB448" s="369">
        <f t="shared" si="113"/>
        <v>0.21</v>
      </c>
      <c r="AC448" s="369">
        <f t="shared" si="113"/>
        <v>0.21</v>
      </c>
      <c r="AD448" s="369">
        <f t="shared" si="113"/>
        <v>0.21</v>
      </c>
      <c r="AE448" s="369">
        <f t="shared" si="113"/>
        <v>0.21</v>
      </c>
      <c r="AF448" s="369">
        <f t="shared" si="113"/>
        <v>0.21</v>
      </c>
      <c r="AG448" s="369">
        <f t="shared" si="113"/>
        <v>0.21</v>
      </c>
      <c r="AH448" s="369">
        <f t="shared" si="113"/>
        <v>0.21</v>
      </c>
    </row>
    <row r="449" spans="1:5" x14ac:dyDescent="0.2">
      <c r="A449" s="384" t="s">
        <v>365</v>
      </c>
      <c r="B449" s="385"/>
    </row>
    <row r="450" spans="1:5" x14ac:dyDescent="0.2">
      <c r="A450" s="386" t="s">
        <v>364</v>
      </c>
      <c r="B450" s="387">
        <v>8.4000000000000005E-2</v>
      </c>
    </row>
    <row r="451" spans="1:5" x14ac:dyDescent="0.2">
      <c r="B451" s="388"/>
    </row>
    <row r="454" spans="1:5" hidden="1" x14ac:dyDescent="0.2">
      <c r="E454" s="753"/>
    </row>
    <row r="455" spans="1:5" hidden="1" outlineLevel="1" x14ac:dyDescent="0.2">
      <c r="B455" s="756" t="s">
        <v>540</v>
      </c>
      <c r="E455" s="754">
        <f ca="1">ROUND(IF('Datu ievade'!$B$373='Datu ievade'!$B$374,(1+E387)*((SUM(E230:E238)+SUM(Aprekini!E39+Aprekini!E45+Aprekini!E51)*E396+SUM(Aprekini!E19+Aprekini!E20+Aprekini!E21+Aprekini!E22)+Aprekini!$B$108*SUM(Aprekini!E253:E254,Aprekini!E261:E262)*(1-Aprekini!E158))/(H260+H269+H276)),IF('Datu ievade'!$B$373='Datu ievade'!$B$375,(1+E387)*((SUM(E230:E238)+SUM(Aprekini!E39+Aprekini!E45+Aprekini!E51)*E396+SUM(Aprekini!E19+Aprekini!E20+Aprekini!E21+Aprekini!E22)+Aprekini!$B$108*SUM(Aprekini!E253,Aprekini!E261))/(H260+H269+H276)),)),3)</f>
        <v>0.223</v>
      </c>
    </row>
    <row r="456" spans="1:5" hidden="1" outlineLevel="1" x14ac:dyDescent="0.2">
      <c r="B456" s="756" t="s">
        <v>531</v>
      </c>
      <c r="E456" s="755">
        <f ca="1">IF('Datu ievade'!$B$373='Datu ievade'!$B$374,(1+E387)*((SUM(E230:E238)+SUM(Aprekini!E39+Aprekini!E45+Aprekini!E51)*E396+SUM(Aprekini!E19+Aprekini!E20+Aprekini!E21+Aprekini!E22)+Aprekini!$B$108*SUM(Aprekini!E253:E254,Aprekini!E261:E262)*(1-Aprekini!E158))/(H260+H269+H276)),IF('Datu ievade'!$B$373='Datu ievade'!$B$375,(1+E387)*((SUM(E230:E238)+SUM(Aprekini!E39+Aprekini!E45+Aprekini!E51)*E396+SUM(Aprekini!E19+Aprekini!E20+Aprekini!E21+Aprekini!E22)+Aprekini!$B$108*SUM(Aprekini!E253,Aprekini!E261))/(H260+H269+H276)),))</f>
        <v>0.22282129035522827</v>
      </c>
    </row>
    <row r="457" spans="1:5" hidden="1" collapsed="1" x14ac:dyDescent="0.2">
      <c r="B457" s="756"/>
      <c r="E457" s="755"/>
    </row>
    <row r="458" spans="1:5" hidden="1" outlineLevel="1" x14ac:dyDescent="0.2">
      <c r="B458" s="769" t="s">
        <v>532</v>
      </c>
      <c r="C458" s="770"/>
      <c r="D458" s="770"/>
      <c r="E458" s="771">
        <f ca="1">(1+E387)*((SUM(E230:E238)+SUM(Aprekini!E39+Aprekini!E45+Aprekini!E51)*E396+SUM(Aprekini!E19+Aprekini!E20+Aprekini!E21+Aprekini!E22)+Aprekini!$B$108*SUM(Aprekini!E253:E254,Aprekini!E261:E262)*(1-Aprekini!E158))/(H260+H269+H276))</f>
        <v>0.22282129035522827</v>
      </c>
    </row>
    <row r="459" spans="1:5" hidden="1" outlineLevel="1" x14ac:dyDescent="0.2">
      <c r="B459" s="769" t="s">
        <v>537</v>
      </c>
      <c r="C459" s="770"/>
      <c r="D459" s="770"/>
      <c r="E459" s="771"/>
    </row>
    <row r="460" spans="1:5" hidden="1" outlineLevel="1" x14ac:dyDescent="0.2">
      <c r="B460" s="769" t="s">
        <v>535</v>
      </c>
      <c r="C460" s="770"/>
      <c r="D460" s="770"/>
      <c r="E460" s="771">
        <f>(1+E387)</f>
        <v>1.0349999999999999</v>
      </c>
    </row>
    <row r="461" spans="1:5" hidden="1" outlineLevel="1" x14ac:dyDescent="0.2">
      <c r="B461" s="769" t="s">
        <v>534</v>
      </c>
      <c r="C461" s="770"/>
      <c r="D461" s="770"/>
      <c r="E461" s="771"/>
    </row>
    <row r="462" spans="1:5" hidden="1" outlineLevel="1" x14ac:dyDescent="0.2">
      <c r="B462" s="769" t="s">
        <v>549</v>
      </c>
      <c r="C462" s="770"/>
      <c r="D462" s="770"/>
      <c r="E462" s="771">
        <f ca="1">((SUM(E230:E238)+SUM(Aprekini!E39+Aprekini!E45+Aprekini!E51)*E396+SUM(Aprekini!E19+Aprekini!E20+Aprekini!E21+Aprekini!E22)+Aprekini!$B$108*SUM(Aprekini!E253:E254,Aprekini!E261:E262)*(1-Aprekini!E158))/(H260+H269+H276))</f>
        <v>0.21528627087461671</v>
      </c>
    </row>
    <row r="463" spans="1:5" hidden="1" outlineLevel="1" x14ac:dyDescent="0.2">
      <c r="B463" s="769" t="s">
        <v>537</v>
      </c>
      <c r="C463" s="770"/>
      <c r="D463" s="770"/>
      <c r="E463" s="771"/>
    </row>
    <row r="464" spans="1:5" hidden="1" outlineLevel="1" x14ac:dyDescent="0.2">
      <c r="B464" s="769" t="s">
        <v>542</v>
      </c>
      <c r="C464" s="770"/>
      <c r="D464" s="770"/>
      <c r="E464" s="772">
        <f>(SUM(E230:E238))</f>
        <v>241959.97779999999</v>
      </c>
    </row>
    <row r="465" spans="2:5" hidden="1" outlineLevel="1" x14ac:dyDescent="0.2">
      <c r="B465" s="769" t="s">
        <v>541</v>
      </c>
      <c r="C465" s="770"/>
      <c r="D465" s="770"/>
      <c r="E465" s="772"/>
    </row>
    <row r="466" spans="2:5" hidden="1" outlineLevel="1" x14ac:dyDescent="0.2">
      <c r="B466" s="769" t="s">
        <v>538</v>
      </c>
      <c r="C466" s="770"/>
      <c r="D466" s="770"/>
      <c r="E466" s="772">
        <f>SUM(Aprekini!E39+Aprekini!E45+Aprekini!E51)</f>
        <v>0</v>
      </c>
    </row>
    <row r="467" spans="2:5" hidden="1" outlineLevel="1" x14ac:dyDescent="0.2">
      <c r="B467" s="769" t="s">
        <v>534</v>
      </c>
      <c r="C467" s="770"/>
      <c r="D467" s="770"/>
      <c r="E467" s="771"/>
    </row>
    <row r="468" spans="2:5" hidden="1" outlineLevel="1" x14ac:dyDescent="0.2">
      <c r="B468" s="769" t="s">
        <v>539</v>
      </c>
      <c r="C468" s="770"/>
      <c r="D468" s="770"/>
      <c r="E468" s="773">
        <f>E396</f>
        <v>0.15</v>
      </c>
    </row>
    <row r="469" spans="2:5" hidden="1" outlineLevel="1" x14ac:dyDescent="0.2">
      <c r="B469" s="769" t="s">
        <v>541</v>
      </c>
      <c r="C469" s="770"/>
      <c r="D469" s="770"/>
      <c r="E469" s="773"/>
    </row>
    <row r="470" spans="2:5" hidden="1" outlineLevel="1" x14ac:dyDescent="0.2">
      <c r="B470" s="769" t="s">
        <v>543</v>
      </c>
      <c r="C470" s="770"/>
      <c r="D470" s="770"/>
      <c r="E470" s="772">
        <f>SUM(Aprekini!E19+Aprekini!E20+Aprekini!E21+Aprekini!E22)</f>
        <v>16066</v>
      </c>
    </row>
    <row r="471" spans="2:5" hidden="1" outlineLevel="1" x14ac:dyDescent="0.2">
      <c r="B471" s="769" t="s">
        <v>541</v>
      </c>
      <c r="C471" s="770"/>
      <c r="D471" s="770"/>
      <c r="E471" s="770"/>
    </row>
    <row r="472" spans="2:5" hidden="1" outlineLevel="1" x14ac:dyDescent="0.2">
      <c r="B472" s="769" t="s">
        <v>544</v>
      </c>
      <c r="C472" s="770"/>
      <c r="D472" s="770"/>
      <c r="E472" s="774">
        <f>Aprekini!$B$108</f>
        <v>0.32947535364984326</v>
      </c>
    </row>
    <row r="473" spans="2:5" hidden="1" outlineLevel="1" x14ac:dyDescent="0.2">
      <c r="B473" s="769" t="s">
        <v>534</v>
      </c>
      <c r="C473" s="770"/>
      <c r="D473" s="770"/>
      <c r="E473" s="770"/>
    </row>
    <row r="474" spans="2:5" hidden="1" outlineLevel="1" x14ac:dyDescent="0.2">
      <c r="B474" s="769" t="s">
        <v>550</v>
      </c>
      <c r="C474" s="770"/>
      <c r="D474" s="770"/>
      <c r="E474" s="775">
        <f ca="1">SUM(Aprekini!E253:E254,Aprekini!E261:E262)</f>
        <v>0</v>
      </c>
    </row>
    <row r="475" spans="2:5" hidden="1" outlineLevel="1" x14ac:dyDescent="0.2">
      <c r="B475" s="769" t="s">
        <v>546</v>
      </c>
      <c r="C475" s="770"/>
      <c r="D475" s="770"/>
      <c r="E475" s="776"/>
    </row>
    <row r="476" spans="2:5" hidden="1" outlineLevel="1" x14ac:dyDescent="0.2">
      <c r="B476" s="769" t="s">
        <v>551</v>
      </c>
      <c r="C476" s="770"/>
      <c r="D476" s="770"/>
      <c r="E476" s="776">
        <f>(1-Aprekini!E158)</f>
        <v>1</v>
      </c>
    </row>
    <row r="477" spans="2:5" hidden="1" outlineLevel="1" x14ac:dyDescent="0.2">
      <c r="B477" s="769" t="s">
        <v>546</v>
      </c>
      <c r="C477" s="770"/>
      <c r="D477" s="770"/>
      <c r="E477" s="776"/>
    </row>
    <row r="478" spans="2:5" hidden="1" outlineLevel="1" x14ac:dyDescent="0.2">
      <c r="B478" s="769" t="s">
        <v>545</v>
      </c>
      <c r="C478" s="770"/>
      <c r="D478" s="770"/>
      <c r="E478" s="776">
        <f>(H260+H269+H276)</f>
        <v>1198525</v>
      </c>
    </row>
    <row r="479" spans="2:5" hidden="1" collapsed="1" x14ac:dyDescent="0.2">
      <c r="B479" s="756"/>
      <c r="E479" s="754"/>
    </row>
    <row r="480" spans="2:5" hidden="1" outlineLevel="1" x14ac:dyDescent="0.2">
      <c r="B480" s="761" t="s">
        <v>533</v>
      </c>
      <c r="C480" s="762"/>
      <c r="D480" s="762"/>
      <c r="E480" s="763">
        <f ca="1">(1+E387)*((SUM(E230:E238)+SUM(Aprekini!E39+Aprekini!E45+Aprekini!E51)*E396+SUM(Aprekini!E19+Aprekini!E20+Aprekini!E21+Aprekini!E22)+Aprekini!$B$108*SUM(Aprekini!E253,Aprekini!E261))    /(H260+H269+H276))</f>
        <v>0.22282129035522827</v>
      </c>
    </row>
    <row r="481" spans="2:5" hidden="1" outlineLevel="1" x14ac:dyDescent="0.2">
      <c r="B481" s="761" t="s">
        <v>537</v>
      </c>
      <c r="C481" s="762"/>
      <c r="D481" s="762"/>
      <c r="E481" s="763"/>
    </row>
    <row r="482" spans="2:5" hidden="1" outlineLevel="1" x14ac:dyDescent="0.2">
      <c r="B482" s="761" t="s">
        <v>535</v>
      </c>
      <c r="C482" s="762"/>
      <c r="D482" s="762"/>
      <c r="E482" s="763">
        <f>(1+E387)</f>
        <v>1.0349999999999999</v>
      </c>
    </row>
    <row r="483" spans="2:5" hidden="1" outlineLevel="1" x14ac:dyDescent="0.2">
      <c r="B483" s="761" t="s">
        <v>534</v>
      </c>
      <c r="C483" s="762"/>
      <c r="D483" s="762"/>
      <c r="E483" s="763"/>
    </row>
    <row r="484" spans="2:5" hidden="1" outlineLevel="1" x14ac:dyDescent="0.2">
      <c r="B484" s="761" t="s">
        <v>536</v>
      </c>
      <c r="C484" s="762"/>
      <c r="D484" s="762"/>
      <c r="E484" s="763">
        <f ca="1">(SUM(E230:E238)+SUM(Aprekini!E39+Aprekini!E45+Aprekini!E51)*E396+SUM(Aprekini!E19+Aprekini!E20+Aprekini!E21+Aprekini!E22)+Aprekini!$B$108*SUM(Aprekini!E253,Aprekini!E261))    /(H260+H269+H276)</f>
        <v>0.21528627087461671</v>
      </c>
    </row>
    <row r="485" spans="2:5" hidden="1" outlineLevel="1" x14ac:dyDescent="0.2">
      <c r="B485" s="761" t="s">
        <v>537</v>
      </c>
      <c r="C485" s="762"/>
      <c r="D485" s="762"/>
      <c r="E485" s="763"/>
    </row>
    <row r="486" spans="2:5" hidden="1" outlineLevel="1" x14ac:dyDescent="0.2">
      <c r="B486" s="761" t="s">
        <v>542</v>
      </c>
      <c r="C486" s="762"/>
      <c r="D486" s="762"/>
      <c r="E486" s="764">
        <f>(SUM(E230:E238))</f>
        <v>241959.97779999999</v>
      </c>
    </row>
    <row r="487" spans="2:5" hidden="1" outlineLevel="1" x14ac:dyDescent="0.2">
      <c r="B487" s="761" t="s">
        <v>541</v>
      </c>
      <c r="C487" s="762"/>
      <c r="D487" s="762"/>
      <c r="E487" s="764"/>
    </row>
    <row r="488" spans="2:5" hidden="1" outlineLevel="1" x14ac:dyDescent="0.2">
      <c r="B488" s="761" t="s">
        <v>538</v>
      </c>
      <c r="C488" s="762"/>
      <c r="D488" s="762"/>
      <c r="E488" s="764">
        <f>SUM(Aprekini!E39+Aprekini!E45+Aprekini!E51)</f>
        <v>0</v>
      </c>
    </row>
    <row r="489" spans="2:5" hidden="1" outlineLevel="1" x14ac:dyDescent="0.2">
      <c r="B489" s="761" t="s">
        <v>534</v>
      </c>
      <c r="C489" s="762"/>
      <c r="D489" s="762"/>
      <c r="E489" s="763"/>
    </row>
    <row r="490" spans="2:5" hidden="1" outlineLevel="1" x14ac:dyDescent="0.2">
      <c r="B490" s="761" t="s">
        <v>539</v>
      </c>
      <c r="C490" s="762"/>
      <c r="D490" s="762"/>
      <c r="E490" s="765">
        <f>E396</f>
        <v>0.15</v>
      </c>
    </row>
    <row r="491" spans="2:5" hidden="1" outlineLevel="1" x14ac:dyDescent="0.2">
      <c r="B491" s="761" t="s">
        <v>541</v>
      </c>
      <c r="C491" s="762"/>
      <c r="D491" s="762"/>
      <c r="E491" s="765"/>
    </row>
    <row r="492" spans="2:5" hidden="1" outlineLevel="1" x14ac:dyDescent="0.2">
      <c r="B492" s="761" t="s">
        <v>543</v>
      </c>
      <c r="C492" s="762"/>
      <c r="D492" s="762"/>
      <c r="E492" s="764">
        <f>SUM(Aprekini!E19+Aprekini!E20+Aprekini!E21+Aprekini!E22)</f>
        <v>16066</v>
      </c>
    </row>
    <row r="493" spans="2:5" hidden="1" outlineLevel="1" x14ac:dyDescent="0.2">
      <c r="B493" s="761" t="s">
        <v>541</v>
      </c>
      <c r="C493" s="762"/>
      <c r="D493" s="762"/>
      <c r="E493" s="762"/>
    </row>
    <row r="494" spans="2:5" hidden="1" outlineLevel="1" x14ac:dyDescent="0.2">
      <c r="B494" s="761" t="s">
        <v>544</v>
      </c>
      <c r="C494" s="762"/>
      <c r="D494" s="762"/>
      <c r="E494" s="766">
        <f>Aprekini!$B$108</f>
        <v>0.32947535364984326</v>
      </c>
    </row>
    <row r="495" spans="2:5" hidden="1" outlineLevel="1" x14ac:dyDescent="0.2">
      <c r="B495" s="761" t="s">
        <v>534</v>
      </c>
      <c r="C495" s="762"/>
      <c r="D495" s="762"/>
      <c r="E495" s="762"/>
    </row>
    <row r="496" spans="2:5" hidden="1" outlineLevel="1" x14ac:dyDescent="0.2">
      <c r="B496" s="761" t="s">
        <v>548</v>
      </c>
      <c r="C496" s="762"/>
      <c r="D496" s="762"/>
      <c r="E496" s="767">
        <f ca="1">SUM(Aprekini!E253,Aprekini!E261)</f>
        <v>0</v>
      </c>
    </row>
    <row r="497" spans="2:5" hidden="1" outlineLevel="1" x14ac:dyDescent="0.2">
      <c r="B497" s="761" t="s">
        <v>546</v>
      </c>
      <c r="C497" s="762"/>
      <c r="D497" s="762"/>
      <c r="E497" s="768"/>
    </row>
    <row r="498" spans="2:5" hidden="1" outlineLevel="1" x14ac:dyDescent="0.2">
      <c r="B498" s="761" t="s">
        <v>545</v>
      </c>
      <c r="C498" s="762"/>
      <c r="D498" s="762"/>
      <c r="E498" s="768">
        <f>(H260+H269+H276)</f>
        <v>1198525</v>
      </c>
    </row>
    <row r="499" spans="2:5" hidden="1" collapsed="1" x14ac:dyDescent="0.2">
      <c r="B499" s="756"/>
    </row>
    <row r="500" spans="2:5" hidden="1" x14ac:dyDescent="0.2">
      <c r="B500" s="756"/>
    </row>
    <row r="501" spans="2:5" x14ac:dyDescent="0.2">
      <c r="B501" s="756"/>
    </row>
    <row r="502" spans="2:5" x14ac:dyDescent="0.2">
      <c r="B502" s="792"/>
    </row>
    <row r="503" spans="2:5" x14ac:dyDescent="0.2">
      <c r="B503" s="756"/>
    </row>
    <row r="504" spans="2:5" x14ac:dyDescent="0.2">
      <c r="B504" s="756"/>
    </row>
  </sheetData>
  <mergeCells count="4">
    <mergeCell ref="B10:D10"/>
    <mergeCell ref="B369:F369"/>
    <mergeCell ref="A433:H433"/>
    <mergeCell ref="D44:G44"/>
  </mergeCells>
  <phoneticPr fontId="2" type="noConversion"/>
  <conditionalFormatting sqref="G369">
    <cfRule type="cellIs" priority="5" stopIfTrue="1" operator="notBetween">
      <formula>0.02</formula>
      <formula>0.04</formula>
    </cfRule>
  </conditionalFormatting>
  <conditionalFormatting sqref="B98 B102 B6 B10:D10">
    <cfRule type="cellIs" priority="3" stopIfTrue="1" operator="equal">
      <formula>"Ierakstīt pašvaldības nosaukumu"</formula>
    </cfRule>
  </conditionalFormatting>
  <conditionalFormatting sqref="B92 F92">
    <cfRule type="cellIs" priority="2" stopIfTrue="1" operator="notEqual">
      <formula>1</formula>
    </cfRule>
  </conditionalFormatting>
  <conditionalFormatting sqref="D92">
    <cfRule type="cellIs" priority="1" stopIfTrue="1" operator="notEqual">
      <formula>1</formula>
    </cfRule>
  </conditionalFormatting>
  <dataValidations count="15">
    <dataValidation type="whole" operator="greaterThan" allowBlank="1" showErrorMessage="1" error="Jāievada pozitīvs skaitlis" sqref="E32 B34 B25:B30">
      <formula1>0</formula1>
      <formula2>0</formula2>
    </dataValidation>
    <dataValidation type="decimal" operator="greaterThanOrEqual" allowBlank="1" showErrorMessage="1" error="Jāievada pozitīvs skaitlis" sqref="B421:AH421 B419:AH419 A360 C360 B357:AH359 A358:AH359 B22:AI22 B339:AH354 B387 B391:AH391 A362:A364 B398 B85:B88">
      <formula1>0</formula1>
      <formula2>0</formula2>
    </dataValidation>
    <dataValidation operator="equal" allowBlank="1" showErrorMessage="1" error="Jāievada pozitīvs skaitlis" sqref="B381:E382 E30 B31:B33 B83:B84 B384:E386">
      <formula1>0</formula1>
      <formula2>0</formula2>
    </dataValidation>
    <dataValidation type="list" operator="equal" allowBlank="1" showInputMessage="1" showErrorMessage="1" prompt="Izvēlieties veikt analīzi variantam AR vai BEZ projekta" sqref="B365">
      <formula1>$B$366:$B$367</formula1>
      <formula2>0</formula2>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369">
      <formula1>$B$370:$B$371</formula1>
      <formula2>0</formula2>
    </dataValidation>
    <dataValidation type="list" operator="equal" allowBlank="1" showInputMessage="1" showErrorMessage="1" promptTitle="Tarifa aprēķins" prompt="Izvēlieties vai tarifa aprēķinā iekļaut aizņēmumu projekta īstenošanai, vai kopējo pamatlīdzekļu nolietojumu." sqref="B373">
      <formula1>$B$374:$B$375</formula1>
      <formula2>0</formula2>
    </dataValidation>
    <dataValidation type="decimal" allowBlank="1" showErrorMessage="1" error="Jāievada pozitīvs skaitlis, ne lielāks kā 7%" sqref="B377">
      <formula1>0</formula1>
      <formula2>0.07</formula2>
    </dataValidation>
    <dataValidation operator="equal" allowBlank="1" showErrorMessage="1" errorTitle="Jāievada pozitīvs skaitlis" error="Jāievada pozitīvs skaitlis" sqref="C280:AK285 C316:H316 B304:B318 C313:H313 C314:D315 C309:H309 C307:D308 C306:H306 C310:D310 C297:H297 E278:H278 C278:D279 E276:H276 C271:D276 E271:H271 C269:H269 C286:D286 H46:AI73 G45 B295:B297 C211:AH211 B301:H301 C277:AK277 C317:AK318 C260:AK261 P45:AI45 C259:D259 B259:B262 C199:AF199 C188:D188 B153:B200 H252:H253 B252:G252 C312:AK312 I252:AG254 G48:G61 C222:AH222 C253:G253 B226:B250 C304:G304 AH253:AK254 C311:G311 C295:AK296 C287:AK287 C270:AK270 C305:AK305 C230:AH250 B269:B286 H74:H76 B45:F61">
      <formula1>0</formula1>
      <formula2>0</formula2>
    </dataValidation>
    <dataValidation type="decimal" operator="greaterThanOrEqual" allowBlank="1" showErrorMessage="1" errorTitle="Jāievada pozitīvs skaitlis" error="Jāievada pozitīvs skaitlis" sqref="B326:L326 M326:AH335 B335:L335">
      <formula1>0</formula1>
      <formula2>0</formula2>
    </dataValidation>
    <dataValidation type="list" operator="equal" allowBlank="1" showErrorMessage="1" sqref="B98">
      <formula1>$B$99:$B$100</formula1>
      <formula2>0</formula2>
    </dataValidation>
    <dataValidation type="list" operator="equal" allowBlank="1" showErrorMessage="1" sqref="B102">
      <formula1>$B$103:$B$104</formula1>
      <formula2>0</formula2>
    </dataValidation>
    <dataValidation type="decimal" operator="greaterThan" allowBlank="1" showErrorMessage="1" error="Jāievada pozitīvs skaitlis" sqref="B44 B89">
      <formula1>0</formula1>
      <formula2>0</formula2>
    </dataValidation>
    <dataValidation type="whole" errorStyle="warning" operator="equal" allowBlank="1" showInputMessage="1" showErrorMessage="1" prompt="Jābūt 100%" sqref="D92 F92 B92">
      <formula1>1</formula1>
      <formula2>0</formula2>
    </dataValidation>
    <dataValidation type="whole" allowBlank="1" showErrorMessage="1" error="Jāievada vesels skaitlis starp 0 un 40" sqref="B95:B96">
      <formula1>0</formula1>
      <formula2>40</formula2>
    </dataValidation>
    <dataValidation type="list" operator="equal" allowBlank="1" showErrorMessage="1" sqref="B10">
      <formula1>$B$11:$B$12</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ignoredErrors>
    <ignoredError sqref="B88 B90 B136:G136 B138:G138" unlocked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I7"/>
  <sheetViews>
    <sheetView workbookViewId="0">
      <selection activeCell="C10" sqref="C10"/>
    </sheetView>
  </sheetViews>
  <sheetFormatPr defaultRowHeight="12.75" x14ac:dyDescent="0.2"/>
  <cols>
    <col min="1" max="1" width="30.7109375" style="60" bestFit="1" customWidth="1"/>
    <col min="2" max="2" width="8" style="60" bestFit="1" customWidth="1"/>
    <col min="3" max="3" width="17" style="60" bestFit="1" customWidth="1"/>
    <col min="4" max="23" width="7.28515625" style="60" bestFit="1" customWidth="1"/>
    <col min="24" max="35" width="5.28515625" style="60" bestFit="1" customWidth="1"/>
    <col min="36" max="16384" width="9.140625" style="60"/>
  </cols>
  <sheetData>
    <row r="1" spans="1:35" ht="22.5" customHeight="1" x14ac:dyDescent="0.2">
      <c r="A1" s="143" t="s">
        <v>478</v>
      </c>
      <c r="B1" s="143" t="s">
        <v>481</v>
      </c>
      <c r="C1" s="143" t="s">
        <v>483</v>
      </c>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x14ac:dyDescent="0.2">
      <c r="C2" s="143">
        <f>Aprekini!B5</f>
        <v>2014</v>
      </c>
      <c r="D2" s="143">
        <f>C2+1</f>
        <v>2015</v>
      </c>
      <c r="E2" s="143">
        <f t="shared" ref="E2:AI2" si="0">D2+1</f>
        <v>2016</v>
      </c>
      <c r="F2" s="143">
        <f t="shared" si="0"/>
        <v>2017</v>
      </c>
      <c r="G2" s="143">
        <f t="shared" si="0"/>
        <v>2018</v>
      </c>
      <c r="H2" s="143">
        <f t="shared" si="0"/>
        <v>2019</v>
      </c>
      <c r="I2" s="143">
        <f t="shared" si="0"/>
        <v>2020</v>
      </c>
      <c r="J2" s="143">
        <f t="shared" si="0"/>
        <v>2021</v>
      </c>
      <c r="K2" s="143">
        <f t="shared" si="0"/>
        <v>2022</v>
      </c>
      <c r="L2" s="143">
        <f t="shared" si="0"/>
        <v>2023</v>
      </c>
      <c r="M2" s="143">
        <f t="shared" si="0"/>
        <v>2024</v>
      </c>
      <c r="N2" s="143">
        <f t="shared" si="0"/>
        <v>2025</v>
      </c>
      <c r="O2" s="143">
        <f t="shared" si="0"/>
        <v>2026</v>
      </c>
      <c r="P2" s="143">
        <f t="shared" si="0"/>
        <v>2027</v>
      </c>
      <c r="Q2" s="143">
        <f t="shared" si="0"/>
        <v>2028</v>
      </c>
      <c r="R2" s="143">
        <f t="shared" si="0"/>
        <v>2029</v>
      </c>
      <c r="S2" s="143">
        <f t="shared" si="0"/>
        <v>2030</v>
      </c>
      <c r="T2" s="143">
        <f t="shared" si="0"/>
        <v>2031</v>
      </c>
      <c r="U2" s="143">
        <f t="shared" si="0"/>
        <v>2032</v>
      </c>
      <c r="V2" s="143">
        <f t="shared" si="0"/>
        <v>2033</v>
      </c>
      <c r="W2" s="143">
        <f t="shared" si="0"/>
        <v>2034</v>
      </c>
      <c r="X2" s="143">
        <f t="shared" si="0"/>
        <v>2035</v>
      </c>
      <c r="Y2" s="143">
        <f t="shared" si="0"/>
        <v>2036</v>
      </c>
      <c r="Z2" s="143">
        <f t="shared" si="0"/>
        <v>2037</v>
      </c>
      <c r="AA2" s="143">
        <f t="shared" si="0"/>
        <v>2038</v>
      </c>
      <c r="AB2" s="143">
        <f>AA2+1</f>
        <v>2039</v>
      </c>
      <c r="AC2" s="143">
        <f t="shared" si="0"/>
        <v>2040</v>
      </c>
      <c r="AD2" s="143">
        <f t="shared" si="0"/>
        <v>2041</v>
      </c>
      <c r="AE2" s="143">
        <f t="shared" si="0"/>
        <v>2042</v>
      </c>
      <c r="AF2" s="143">
        <f t="shared" si="0"/>
        <v>2043</v>
      </c>
      <c r="AG2" s="143">
        <f t="shared" si="0"/>
        <v>2044</v>
      </c>
      <c r="AH2" s="143">
        <f t="shared" si="0"/>
        <v>2045</v>
      </c>
      <c r="AI2" s="143">
        <f t="shared" si="0"/>
        <v>2046</v>
      </c>
    </row>
    <row r="3" spans="1:35" x14ac:dyDescent="0.2">
      <c r="A3" s="60" t="s">
        <v>479</v>
      </c>
      <c r="B3" s="651" t="s">
        <v>490</v>
      </c>
      <c r="C3" s="646">
        <f>'Ilgtermina saistibas'!B47</f>
        <v>7.4137777777777775E-2</v>
      </c>
      <c r="D3" s="646">
        <f>'Ilgtermina saistibas'!C47</f>
        <v>0.11189755555555556</v>
      </c>
      <c r="E3" s="646">
        <f ca="1">'Ilgtermina saistibas'!D47</f>
        <v>0.12467577777777777</v>
      </c>
      <c r="F3" s="646">
        <f ca="1">'Ilgtermina saistibas'!E47</f>
        <v>0.111022</v>
      </c>
      <c r="G3" s="646">
        <f ca="1">'Ilgtermina saistibas'!F47</f>
        <v>9.2687555555555551E-2</v>
      </c>
      <c r="H3" s="646">
        <f ca="1">'Ilgtermina saistibas'!G47</f>
        <v>8.827666666666667E-2</v>
      </c>
      <c r="I3" s="646">
        <f ca="1">'Ilgtermina saistibas'!H47</f>
        <v>8.6087555555555556E-2</v>
      </c>
      <c r="J3" s="646">
        <f ca="1">'Ilgtermina saistibas'!I47</f>
        <v>8.1465777777777776E-2</v>
      </c>
      <c r="K3" s="646">
        <f ca="1">'Ilgtermina saistibas'!J47</f>
        <v>6.5490000000000007E-2</v>
      </c>
      <c r="L3" s="646">
        <f ca="1">'Ilgtermina saistibas'!K47</f>
        <v>3.4244888888888887E-2</v>
      </c>
      <c r="M3" s="646">
        <f ca="1">'Ilgtermina saistibas'!L47</f>
        <v>4.1264444444444447E-3</v>
      </c>
      <c r="N3" s="646">
        <f ca="1">'Ilgtermina saistibas'!M47</f>
        <v>0</v>
      </c>
      <c r="O3" s="646">
        <f ca="1">'Ilgtermina saistibas'!N47</f>
        <v>0</v>
      </c>
      <c r="P3" s="646">
        <f ca="1">'Ilgtermina saistibas'!O47</f>
        <v>0</v>
      </c>
      <c r="Q3" s="646">
        <f ca="1">'Ilgtermina saistibas'!P47</f>
        <v>0</v>
      </c>
      <c r="R3" s="646">
        <f ca="1">'Ilgtermina saistibas'!Q47</f>
        <v>0</v>
      </c>
      <c r="S3" s="646">
        <f ca="1">'Ilgtermina saistibas'!R47</f>
        <v>0</v>
      </c>
      <c r="T3" s="646">
        <f ca="1">'Ilgtermina saistibas'!S47</f>
        <v>0</v>
      </c>
      <c r="U3" s="646">
        <f ca="1">'Ilgtermina saistibas'!T47</f>
        <v>0</v>
      </c>
      <c r="V3" s="646">
        <f ca="1">'Ilgtermina saistibas'!U47</f>
        <v>0</v>
      </c>
      <c r="W3" s="646">
        <f ca="1">'Ilgtermina saistibas'!V47</f>
        <v>0</v>
      </c>
      <c r="X3" s="646">
        <f ca="1">'Ilgtermina saistibas'!W47</f>
        <v>0</v>
      </c>
      <c r="Y3" s="646">
        <f ca="1">'Ilgtermina saistibas'!X47</f>
        <v>0</v>
      </c>
      <c r="Z3" s="646">
        <f ca="1">'Ilgtermina saistibas'!Y47</f>
        <v>0</v>
      </c>
      <c r="AA3" s="646">
        <f ca="1">'Ilgtermina saistibas'!Z47</f>
        <v>0</v>
      </c>
      <c r="AB3" s="646">
        <f ca="1">'Ilgtermina saistibas'!AA47</f>
        <v>0</v>
      </c>
      <c r="AC3" s="646">
        <f ca="1">'Ilgtermina saistibas'!AB47</f>
        <v>0</v>
      </c>
      <c r="AD3" s="646">
        <f ca="1">'Ilgtermina saistibas'!AC47</f>
        <v>0</v>
      </c>
      <c r="AE3" s="646">
        <f ca="1">'Ilgtermina saistibas'!AD47</f>
        <v>0</v>
      </c>
      <c r="AF3" s="646">
        <f ca="1">'Ilgtermina saistibas'!AE47</f>
        <v>0</v>
      </c>
      <c r="AG3" s="646">
        <f ca="1">'Ilgtermina saistibas'!AF47</f>
        <v>0</v>
      </c>
      <c r="AH3" s="646">
        <f ca="1">'Ilgtermina saistibas'!AG47</f>
        <v>0</v>
      </c>
      <c r="AI3" s="646">
        <f ca="1">'Ilgtermina saistibas'!AH47</f>
        <v>0</v>
      </c>
    </row>
    <row r="4" spans="1:35" ht="15" customHeight="1" x14ac:dyDescent="0.2">
      <c r="A4" s="60" t="s">
        <v>485</v>
      </c>
      <c r="B4" s="651" t="s">
        <v>484</v>
      </c>
      <c r="C4" s="647" t="str">
        <f ca="1">IF('Naudas plusma'!B29&gt;0,"Ir &gt; 0", "Nav &gt; 0")</f>
        <v>Ir &gt; 0</v>
      </c>
      <c r="D4" s="647" t="str">
        <f ca="1">IF('Naudas plusma'!C29&gt;0,"Ir &gt; 0", "Nav &gt; 0")</f>
        <v>Ir &gt; 0</v>
      </c>
      <c r="E4" s="647" t="str">
        <f ca="1">IF('Naudas plusma'!D29&gt;0,"Ir &gt; 0", "Nav &gt; 0")</f>
        <v>Ir &gt; 0</v>
      </c>
      <c r="F4" s="647" t="str">
        <f ca="1">IF('Naudas plusma'!E29&gt;0,"Ir &gt; 0", "Nav &gt; 0")</f>
        <v>Ir &gt; 0</v>
      </c>
      <c r="G4" s="647" t="str">
        <f ca="1">IF('Naudas plusma'!F29&gt;0,"Ir &gt; 0", "Nav &gt; 0")</f>
        <v>Ir &gt; 0</v>
      </c>
      <c r="H4" s="647" t="str">
        <f ca="1">IF('Naudas plusma'!G29&gt;0,"Ir &gt; 0", "Nav &gt; 0")</f>
        <v>Ir &gt; 0</v>
      </c>
      <c r="I4" s="647" t="str">
        <f ca="1">IF('Naudas plusma'!H29&gt;0,"Ir &gt; 0", "Nav &gt; 0")</f>
        <v>Ir &gt; 0</v>
      </c>
      <c r="J4" s="647" t="str">
        <f ca="1">IF('Naudas plusma'!I29&gt;0,"Ir &gt; 0", "Nav &gt; 0")</f>
        <v>Ir &gt; 0</v>
      </c>
      <c r="K4" s="647" t="str">
        <f ca="1">IF('Naudas plusma'!J29&gt;0,"Ir &gt; 0", "Nav &gt; 0")</f>
        <v>Ir &gt; 0</v>
      </c>
      <c r="L4" s="647" t="str">
        <f ca="1">IF('Naudas plusma'!K29&gt;0,"Ir &gt; 0", "Nav &gt; 0")</f>
        <v>Ir &gt; 0</v>
      </c>
      <c r="M4" s="647" t="str">
        <f ca="1">IF('Naudas plusma'!L29&gt;0,"Ir &gt; 0", "Nav &gt; 0")</f>
        <v>Ir &gt; 0</v>
      </c>
      <c r="N4" s="647" t="str">
        <f ca="1">IF('Naudas plusma'!M29&gt;0,"Ir &gt; 0", "Nav &gt; 0")</f>
        <v>Ir &gt; 0</v>
      </c>
      <c r="O4" s="647" t="str">
        <f ca="1">IF('Naudas plusma'!N29&gt;0,"Ir &gt; 0", "Nav &gt; 0")</f>
        <v>Ir &gt; 0</v>
      </c>
      <c r="P4" s="647" t="str">
        <f ca="1">IF('Naudas plusma'!O29&gt;0,"Ir &gt; 0", "Nav &gt; 0")</f>
        <v>Ir &gt; 0</v>
      </c>
      <c r="Q4" s="647" t="str">
        <f ca="1">IF('Naudas plusma'!P29&gt;0,"Ir &gt; 0", "Nav &gt; 0")</f>
        <v>Ir &gt; 0</v>
      </c>
      <c r="R4" s="647" t="str">
        <f ca="1">IF('Naudas plusma'!Q29&gt;0,"Ir &gt; 0", "Nav &gt; 0")</f>
        <v>Ir &gt; 0</v>
      </c>
      <c r="S4" s="647" t="str">
        <f ca="1">IF('Naudas plusma'!R29&gt;0,"Ir &gt; 0", "Nav &gt; 0")</f>
        <v>Ir &gt; 0</v>
      </c>
      <c r="T4" s="647" t="str">
        <f ca="1">IF('Naudas plusma'!S29&gt;0,"Ir &gt; 0", "Nav &gt; 0")</f>
        <v>Ir &gt; 0</v>
      </c>
      <c r="U4" s="647" t="str">
        <f ca="1">IF('Naudas plusma'!T29&gt;0,"Ir &gt; 0", "Nav &gt; 0")</f>
        <v>Ir &gt; 0</v>
      </c>
      <c r="V4" s="647" t="str">
        <f ca="1">IF('Naudas plusma'!U29&gt;0,"Ir &gt; 0", "Nav &gt; 0")</f>
        <v>Ir &gt; 0</v>
      </c>
      <c r="W4" s="647" t="str">
        <f ca="1">IF('Naudas plusma'!V29&gt;0,"Ir &gt; 0", "Nav &gt; 0")</f>
        <v>Ir &gt; 0</v>
      </c>
      <c r="X4" s="647" t="str">
        <f ca="1">IF('Naudas plusma'!W29&gt;0,"Ir &gt; 0", "Nav &gt; 0")</f>
        <v>Ir &gt; 0</v>
      </c>
      <c r="Y4" s="647" t="str">
        <f ca="1">IF('Naudas plusma'!X29&gt;0,"Ir &gt; 0", "Nav &gt; 0")</f>
        <v>Ir &gt; 0</v>
      </c>
      <c r="Z4" s="647" t="str">
        <f ca="1">IF('Naudas plusma'!Y29&gt;0,"Ir &gt; 0", "Nav &gt; 0")</f>
        <v>Ir &gt; 0</v>
      </c>
      <c r="AA4" s="647" t="str">
        <f ca="1">IF('Naudas plusma'!Z29&gt;0,"Ir &gt; 0", "Nav &gt; 0")</f>
        <v>Ir &gt; 0</v>
      </c>
      <c r="AB4" s="647" t="str">
        <f ca="1">IF('Naudas plusma'!AA29&gt;0,"Ir &gt; 0", "Nav &gt; 0")</f>
        <v>Ir &gt; 0</v>
      </c>
      <c r="AC4" s="647" t="str">
        <f ca="1">IF('Naudas plusma'!AB29&gt;0,"Ir &gt; 0", "Nav &gt; 0")</f>
        <v>Ir &gt; 0</v>
      </c>
      <c r="AD4" s="647" t="str">
        <f ca="1">IF('Naudas plusma'!AC29&gt;0,"Ir &gt; 0", "Nav &gt; 0")</f>
        <v>Ir &gt; 0</v>
      </c>
      <c r="AE4" s="647" t="str">
        <f ca="1">IF('Naudas plusma'!AD29&gt;0,"Ir &gt; 0", "Nav &gt; 0")</f>
        <v>Ir &gt; 0</v>
      </c>
      <c r="AF4" s="647" t="str">
        <f ca="1">IF('Naudas plusma'!AE29&gt;0,"Ir &gt; 0", "Nav &gt; 0")</f>
        <v>Ir &gt; 0</v>
      </c>
      <c r="AG4" s="647" t="str">
        <f ca="1">IF('Naudas plusma'!AF29&gt;0,"Ir &gt; 0", "Nav &gt; 0")</f>
        <v>Ir &gt; 0</v>
      </c>
      <c r="AH4" s="647" t="str">
        <f ca="1">IF('Naudas plusma'!AG29&gt;0,"Ir &gt; 0", "Nav &gt; 0")</f>
        <v>Ir &gt; 0</v>
      </c>
      <c r="AI4" s="647" t="str">
        <f ca="1">IF('Naudas plusma'!AH29&gt;0,"Ir &gt; 0", "Nav &gt; 0")</f>
        <v>Ir &gt; 0</v>
      </c>
    </row>
    <row r="5" spans="1:35" ht="16.5" customHeight="1" x14ac:dyDescent="0.2">
      <c r="A5" s="60" t="s">
        <v>480</v>
      </c>
      <c r="B5" s="648"/>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row>
    <row r="6" spans="1:35" ht="12" customHeight="1" x14ac:dyDescent="0.2">
      <c r="A6" s="649" t="s">
        <v>492</v>
      </c>
      <c r="B6" s="648"/>
      <c r="C6" s="650">
        <f>'Datu ievade'!B80</f>
        <v>0.02</v>
      </c>
      <c r="D6" s="650">
        <f>'Datu ievade'!C80</f>
        <v>0.02</v>
      </c>
      <c r="E6" s="650">
        <f>'Datu ievade'!D80</f>
        <v>0.02</v>
      </c>
      <c r="F6" s="650">
        <f>'Datu ievade'!E80</f>
        <v>0.02</v>
      </c>
      <c r="G6" s="650">
        <f>'Datu ievade'!F80</f>
        <v>0.02</v>
      </c>
      <c r="H6" s="650">
        <f>'Datu ievade'!G80</f>
        <v>0.02</v>
      </c>
      <c r="I6" s="650">
        <f>'Datu ievade'!H80</f>
        <v>0.02</v>
      </c>
      <c r="J6" s="650">
        <f>'Datu ievade'!I80</f>
        <v>0.02</v>
      </c>
      <c r="K6" s="650">
        <f>'Datu ievade'!J80</f>
        <v>0.02</v>
      </c>
      <c r="L6" s="650">
        <f>'Datu ievade'!K80</f>
        <v>0.02</v>
      </c>
      <c r="M6" s="650">
        <f>'Datu ievade'!L80</f>
        <v>0.02</v>
      </c>
      <c r="N6" s="650">
        <f>'Datu ievade'!M80</f>
        <v>0.02</v>
      </c>
      <c r="O6" s="650">
        <f>'Datu ievade'!N80</f>
        <v>0.02</v>
      </c>
      <c r="P6" s="650">
        <f>'Datu ievade'!O80</f>
        <v>0.02</v>
      </c>
      <c r="Q6" s="650">
        <f>'Datu ievade'!P80</f>
        <v>0.02</v>
      </c>
      <c r="R6" s="650">
        <f>'Datu ievade'!Q80</f>
        <v>0.02</v>
      </c>
      <c r="S6" s="650">
        <f>'Datu ievade'!R80</f>
        <v>0.02</v>
      </c>
      <c r="T6" s="650">
        <f>'Datu ievade'!S80</f>
        <v>0.02</v>
      </c>
      <c r="U6" s="650">
        <f>'Datu ievade'!T80</f>
        <v>0.02</v>
      </c>
      <c r="V6" s="650">
        <f>'Datu ievade'!U80</f>
        <v>0.02</v>
      </c>
      <c r="W6" s="650">
        <f>'Datu ievade'!V80</f>
        <v>0.02</v>
      </c>
      <c r="X6" s="650">
        <f>'Datu ievade'!W80</f>
        <v>0.02</v>
      </c>
      <c r="Y6" s="650">
        <f>'Datu ievade'!X80</f>
        <v>0.02</v>
      </c>
      <c r="Z6" s="650">
        <f>'Datu ievade'!Y80</f>
        <v>0.02</v>
      </c>
      <c r="AA6" s="650">
        <f>'Datu ievade'!Z80</f>
        <v>0.02</v>
      </c>
      <c r="AB6" s="650">
        <f>'Datu ievade'!AA80</f>
        <v>0.02</v>
      </c>
      <c r="AC6" s="650">
        <f>'Datu ievade'!AB80</f>
        <v>0.02</v>
      </c>
      <c r="AD6" s="650">
        <f>'Datu ievade'!AC80</f>
        <v>0.02</v>
      </c>
      <c r="AE6" s="650">
        <f>'Datu ievade'!AD80</f>
        <v>0.02</v>
      </c>
      <c r="AF6" s="650">
        <f>'Datu ievade'!AE80</f>
        <v>0.02</v>
      </c>
      <c r="AG6" s="650">
        <f>'Datu ievade'!AF80</f>
        <v>0.02</v>
      </c>
      <c r="AH6" s="650">
        <f>'Datu ievade'!AG80</f>
        <v>0.02</v>
      </c>
      <c r="AI6" s="650">
        <f>'Datu ievade'!AH80</f>
        <v>0.02</v>
      </c>
    </row>
    <row r="7" spans="1:35" x14ac:dyDescent="0.2">
      <c r="A7" s="649" t="s">
        <v>493</v>
      </c>
      <c r="B7" s="651" t="s">
        <v>482</v>
      </c>
      <c r="C7" s="646">
        <f>'Iedzivotaju maksatspeja'!B14</f>
        <v>1.933290396096014E-2</v>
      </c>
      <c r="D7" s="646">
        <f>'Iedzivotaju maksatspeja'!C14</f>
        <v>1.8234109267243327E-2</v>
      </c>
      <c r="E7" s="646">
        <f>'Iedzivotaju maksatspeja'!D14</f>
        <v>1.9310423840075305E-2</v>
      </c>
      <c r="F7" s="646">
        <f ca="1">'Iedzivotaju maksatspeja'!E14</f>
        <v>2.0329588966562229E-2</v>
      </c>
      <c r="G7" s="646">
        <f ca="1">'Iedzivotaju maksatspeja'!F14</f>
        <v>1.8099429501974715E-2</v>
      </c>
      <c r="H7" s="646">
        <f ca="1">'Iedzivotaju maksatspeja'!G14</f>
        <v>1.8093615245513974E-2</v>
      </c>
      <c r="I7" s="646">
        <f ca="1">'Iedzivotaju maksatspeja'!H14</f>
        <v>1.8216454259872845E-2</v>
      </c>
      <c r="J7" s="646">
        <f ca="1">'Iedzivotaju maksatspeja'!I14</f>
        <v>1.8307364561916322E-2</v>
      </c>
      <c r="K7" s="646">
        <f ca="1">'Iedzivotaju maksatspeja'!J14</f>
        <v>1.8391663127164105E-2</v>
      </c>
      <c r="L7" s="646">
        <f ca="1">'Iedzivotaju maksatspeja'!K14</f>
        <v>1.84121182095172E-2</v>
      </c>
      <c r="M7" s="646">
        <f ca="1">'Iedzivotaju maksatspeja'!L14</f>
        <v>1.8369975948255297E-2</v>
      </c>
      <c r="N7" s="646">
        <f ca="1">'Iedzivotaju maksatspeja'!M14</f>
        <v>1.851037550687927E-2</v>
      </c>
      <c r="O7" s="646">
        <f ca="1">'Iedzivotaju maksatspeja'!N14</f>
        <v>1.858814270416477E-2</v>
      </c>
      <c r="P7" s="646">
        <f ca="1">'Iedzivotaju maksatspeja'!O14</f>
        <v>1.8634837049273087E-2</v>
      </c>
      <c r="Q7" s="646">
        <f ca="1">'Iedzivotaju maksatspeja'!P14</f>
        <v>1.8086579611903714E-2</v>
      </c>
      <c r="R7" s="646">
        <f ca="1">'Iedzivotaju maksatspeja'!Q14</f>
        <v>1.7864418366468609E-2</v>
      </c>
      <c r="S7" s="646">
        <f ca="1">'Iedzivotaju maksatspeja'!R14</f>
        <v>1.7819453568995034E-2</v>
      </c>
      <c r="T7" s="646">
        <f ca="1">'Iedzivotaju maksatspeja'!S14</f>
        <v>1.7830611744587218E-2</v>
      </c>
      <c r="U7" s="646">
        <f ca="1">'Iedzivotaju maksatspeja'!T14</f>
        <v>1.7813976874146809E-2</v>
      </c>
      <c r="V7" s="646">
        <f ca="1">'Iedzivotaju maksatspeja'!U14</f>
        <v>1.8161257925439149E-2</v>
      </c>
      <c r="W7" s="646">
        <f ca="1">'Iedzivotaju maksatspeja'!V14</f>
        <v>1.8138830007466831E-2</v>
      </c>
      <c r="X7" s="646">
        <f ca="1">'Iedzivotaju maksatspeja'!W14</f>
        <v>1.8118691062212235E-2</v>
      </c>
      <c r="Y7" s="646">
        <f ca="1">'Iedzivotaju maksatspeja'!X14</f>
        <v>1.8097902319849389E-2</v>
      </c>
      <c r="Z7" s="646">
        <f ca="1">'Iedzivotaju maksatspeja'!Y14</f>
        <v>1.8079257955787312E-2</v>
      </c>
      <c r="AA7" s="646">
        <f ca="1">'Iedzivotaju maksatspeja'!Z14</f>
        <v>1.8084309294946886E-2</v>
      </c>
      <c r="AB7" s="646">
        <f ca="1">'Iedzivotaju maksatspeja'!AA14</f>
        <v>1.8042624833250542E-2</v>
      </c>
      <c r="AC7" s="646">
        <f ca="1">'Iedzivotaju maksatspeja'!AB14</f>
        <v>1.8048138912716241E-2</v>
      </c>
      <c r="AD7" s="646">
        <f ca="1">'Iedzivotaju maksatspeja'!AC14</f>
        <v>1.8031626106312128E-2</v>
      </c>
      <c r="AE7" s="646">
        <f ca="1">'Iedzivotaju maksatspeja'!AD14</f>
        <v>1.7992937204847084E-2</v>
      </c>
      <c r="AF7" s="646">
        <f ca="1">'Iedzivotaju maksatspeja'!AE14</f>
        <v>1.8042470502432736E-2</v>
      </c>
      <c r="AG7" s="646">
        <f ca="1">'Iedzivotaju maksatspeja'!AF14</f>
        <v>1.8112380006397498E-2</v>
      </c>
      <c r="AH7" s="646">
        <f ca="1">'Iedzivotaju maksatspeja'!AG14</f>
        <v>1.809038858379277E-2</v>
      </c>
      <c r="AI7" s="646">
        <f ca="1">'Iedzivotaju maksatspeja'!AH14</f>
        <v>1.4967899389005982E-2</v>
      </c>
    </row>
  </sheetData>
  <conditionalFormatting sqref="C4:AI6">
    <cfRule type="containsText" dxfId="3" priority="4" stopIfTrue="1" operator="containsText" text="Nav">
      <formula>NOT(ISERROR(SEARCH("Nav",C4)))</formula>
    </cfRule>
  </conditionalFormatting>
  <conditionalFormatting sqref="X4:AI6">
    <cfRule type="containsText" dxfId="2" priority="3" stopIfTrue="1" operator="containsText" text="Nav">
      <formula>NOT(ISERROR(SEARCH("Nav",X4)))</formula>
    </cfRule>
  </conditionalFormatting>
  <conditionalFormatting sqref="C3:AI3">
    <cfRule type="cellIs" dxfId="1" priority="2" stopIfTrue="1" operator="greaterThan">
      <formula>0.2</formula>
    </cfRule>
  </conditionalFormatting>
  <conditionalFormatting sqref="C7:AI7">
    <cfRule type="cellIs" dxfId="0" priority="1" stopIfTrue="1" operator="greaterThan">
      <formula>0.04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115" zoomScaleNormal="115" workbookViewId="0">
      <selection activeCell="C13" activeCellId="1" sqref="C16 C13"/>
    </sheetView>
  </sheetViews>
  <sheetFormatPr defaultRowHeight="11.25" x14ac:dyDescent="0.2"/>
  <cols>
    <col min="2" max="2" width="32.5703125" customWidth="1"/>
    <col min="3" max="3" width="10" style="739" bestFit="1" customWidth="1"/>
    <col min="4" max="4" width="10" bestFit="1" customWidth="1"/>
  </cols>
  <sheetData>
    <row r="2" spans="2:4" x14ac:dyDescent="0.2">
      <c r="B2" t="s">
        <v>354</v>
      </c>
      <c r="C2" s="825">
        <f ca="1">Līdzfinansējums!C38</f>
        <v>0.84986786999999997</v>
      </c>
    </row>
    <row r="5" spans="2:4" x14ac:dyDescent="0.2">
      <c r="B5" t="s">
        <v>547</v>
      </c>
      <c r="C5" s="820">
        <f ca="1">'Datu ievade'!E146</f>
        <v>0</v>
      </c>
      <c r="D5" t="s">
        <v>587</v>
      </c>
    </row>
    <row r="6" spans="2:4" x14ac:dyDescent="0.2">
      <c r="B6" t="s">
        <v>598</v>
      </c>
      <c r="C6" s="739">
        <f>SUM(Aprekini!C251:G251,Aprekini!B259:G259,Aprekini!B270:G270,Aprekini!B279:G279)-'Datu ievade'!C86-'Datu ievade'!C87</f>
        <v>0</v>
      </c>
    </row>
    <row r="8" spans="2:4" x14ac:dyDescent="0.2">
      <c r="B8" t="s">
        <v>524</v>
      </c>
      <c r="C8" s="781">
        <f>SUM('Datu ievade'!B126:G126)</f>
        <v>1970677.3900000001</v>
      </c>
    </row>
    <row r="9" spans="2:4" x14ac:dyDescent="0.2">
      <c r="B9" t="s">
        <v>525</v>
      </c>
      <c r="C9" s="781">
        <f>SUM('Datu ievade'!B109:G110)</f>
        <v>1628659</v>
      </c>
    </row>
    <row r="10" spans="2:4" x14ac:dyDescent="0.2">
      <c r="B10" t="s">
        <v>41</v>
      </c>
      <c r="C10" s="781">
        <f>C8-C9</f>
        <v>342018.39000000013</v>
      </c>
    </row>
    <row r="11" spans="2:4" x14ac:dyDescent="0.2">
      <c r="C11" s="781"/>
    </row>
    <row r="12" spans="2:4" x14ac:dyDescent="0.2">
      <c r="B12" t="s">
        <v>585</v>
      </c>
      <c r="C12" s="781">
        <f>SUM('Datu ievade'!B110:G110)</f>
        <v>1060503.75</v>
      </c>
    </row>
    <row r="13" spans="2:4" x14ac:dyDescent="0.2">
      <c r="B13" t="s">
        <v>586</v>
      </c>
      <c r="C13" s="781">
        <f>SUM('Datu ievade'!B109:G109)</f>
        <v>568155.25</v>
      </c>
    </row>
    <row r="14" spans="2:4" x14ac:dyDescent="0.2">
      <c r="C14" s="781"/>
    </row>
    <row r="15" spans="2:4" x14ac:dyDescent="0.2">
      <c r="B15" t="s">
        <v>526</v>
      </c>
      <c r="C15" s="781">
        <f ca="1">Līdzfinansējums!E45</f>
        <v>901288.06313951244</v>
      </c>
      <c r="D15" s="781"/>
    </row>
    <row r="16" spans="2:4" x14ac:dyDescent="0.2">
      <c r="B16" t="s">
        <v>590</v>
      </c>
      <c r="C16" s="781">
        <f ca="1">C12-C15</f>
        <v>159215.68686048756</v>
      </c>
    </row>
    <row r="17" spans="2:4" x14ac:dyDescent="0.2">
      <c r="C17" s="781"/>
      <c r="D17" s="781"/>
    </row>
    <row r="18" spans="2:4" x14ac:dyDescent="0.2">
      <c r="C18" s="781"/>
    </row>
    <row r="19" spans="2:4" x14ac:dyDescent="0.2">
      <c r="B19" s="826" t="s">
        <v>366</v>
      </c>
      <c r="C19" s="827">
        <f ca="1">Līdzfinansējums!G45</f>
        <v>766094.85366858554</v>
      </c>
      <c r="D19" s="828">
        <f ca="1">C19/C9</f>
        <v>0.47038382722754457</v>
      </c>
    </row>
    <row r="20" spans="2:4" x14ac:dyDescent="0.2">
      <c r="B20" t="s">
        <v>569</v>
      </c>
      <c r="C20" s="781">
        <f ca="1">'Datu ievade'!E85</f>
        <v>0</v>
      </c>
      <c r="D20" s="779"/>
    </row>
    <row r="21" spans="2:4" x14ac:dyDescent="0.2">
      <c r="B21" t="s">
        <v>527</v>
      </c>
      <c r="C21" s="781">
        <f ca="1">Līdzfinansējums!F57-C20</f>
        <v>135193.2094709269</v>
      </c>
      <c r="D21" s="779"/>
    </row>
    <row r="22" spans="2:4" x14ac:dyDescent="0.2">
      <c r="C22" s="781"/>
    </row>
    <row r="23" spans="2:4" x14ac:dyDescent="0.2">
      <c r="B23" t="s">
        <v>586</v>
      </c>
      <c r="C23" s="781">
        <f>C13</f>
        <v>568155.25</v>
      </c>
    </row>
    <row r="24" spans="2:4" x14ac:dyDescent="0.2">
      <c r="B24" t="s">
        <v>596</v>
      </c>
      <c r="C24" s="781">
        <f ca="1">C16</f>
        <v>159215.68686048756</v>
      </c>
    </row>
    <row r="25" spans="2:4" x14ac:dyDescent="0.2">
      <c r="B25" t="s">
        <v>597</v>
      </c>
      <c r="C25" s="781">
        <f ca="1">C15-C19</f>
        <v>135193.2094709269</v>
      </c>
    </row>
    <row r="26" spans="2:4" x14ac:dyDescent="0.2">
      <c r="B26" s="826" t="s">
        <v>595</v>
      </c>
      <c r="C26" s="827">
        <f ca="1">SUM(C23:C25)</f>
        <v>862564.14633141446</v>
      </c>
      <c r="D26" s="828">
        <f ca="1">C26/C9</f>
        <v>0.52961617277245543</v>
      </c>
    </row>
    <row r="27" spans="2:4" x14ac:dyDescent="0.2">
      <c r="C27" s="781"/>
      <c r="D27" s="740"/>
    </row>
    <row r="28" spans="2:4" x14ac:dyDescent="0.2">
      <c r="B28" t="s">
        <v>41</v>
      </c>
      <c r="C28" s="781">
        <f>C10</f>
        <v>342018.39000000013</v>
      </c>
    </row>
    <row r="30" spans="2:4" x14ac:dyDescent="0.2">
      <c r="C30" s="78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57"/>
  <sheetViews>
    <sheetView view="pageBreakPreview" zoomScale="60" zoomScaleNormal="100" workbookViewId="0">
      <selection activeCell="A3" sqref="A3:H57"/>
    </sheetView>
  </sheetViews>
  <sheetFormatPr defaultRowHeight="11.25" x14ac:dyDescent="0.2"/>
  <cols>
    <col min="1" max="1" width="22.140625" style="75" customWidth="1"/>
    <col min="2" max="7" width="9.140625" style="75"/>
    <col min="8" max="8" width="11.5703125" style="75" customWidth="1"/>
    <col min="9" max="16384" width="9.140625" style="75"/>
  </cols>
  <sheetData>
    <row r="1" spans="1:17" ht="15" x14ac:dyDescent="0.2">
      <c r="A1" s="58" t="s">
        <v>502</v>
      </c>
      <c r="B1" s="140"/>
      <c r="C1" s="140"/>
      <c r="D1" s="140"/>
      <c r="E1" s="140"/>
      <c r="F1" s="140"/>
      <c r="G1" s="140"/>
      <c r="H1" s="389"/>
    </row>
    <row r="2" spans="1:17" ht="25.5" x14ac:dyDescent="0.2">
      <c r="A2" s="63" t="s">
        <v>503</v>
      </c>
      <c r="B2" s="140"/>
      <c r="C2" s="140"/>
      <c r="D2" s="140"/>
      <c r="E2" s="140"/>
      <c r="F2" s="140"/>
      <c r="G2" s="140"/>
      <c r="H2" s="389"/>
    </row>
    <row r="3" spans="1:17" ht="18" customHeight="1" x14ac:dyDescent="0.2">
      <c r="A3" s="837"/>
      <c r="B3" s="837"/>
      <c r="C3" s="837"/>
      <c r="D3" s="837"/>
      <c r="E3" s="837"/>
      <c r="F3" s="837"/>
      <c r="G3" s="837"/>
      <c r="H3" s="837"/>
    </row>
    <row r="4" spans="1:17" ht="12.75" customHeight="1" x14ac:dyDescent="0.2">
      <c r="A4" s="837"/>
      <c r="B4" s="837"/>
      <c r="C4" s="837"/>
      <c r="D4" s="837"/>
      <c r="E4" s="837"/>
      <c r="F4" s="837"/>
      <c r="G4" s="837"/>
      <c r="H4" s="837"/>
    </row>
    <row r="5" spans="1:17" ht="12.75" customHeight="1" x14ac:dyDescent="0.2">
      <c r="A5" s="837"/>
      <c r="B5" s="837"/>
      <c r="C5" s="837"/>
      <c r="D5" s="837"/>
      <c r="E5" s="837"/>
      <c r="F5" s="837"/>
      <c r="G5" s="837"/>
      <c r="H5" s="837"/>
    </row>
    <row r="6" spans="1:17" ht="12.75" customHeight="1" x14ac:dyDescent="0.2">
      <c r="A6" s="837"/>
      <c r="B6" s="837"/>
      <c r="C6" s="837"/>
      <c r="D6" s="837"/>
      <c r="E6" s="837"/>
      <c r="F6" s="837"/>
      <c r="G6" s="837"/>
      <c r="H6" s="837"/>
    </row>
    <row r="7" spans="1:17" ht="12.75" customHeight="1" x14ac:dyDescent="0.2">
      <c r="A7" s="837"/>
      <c r="B7" s="837"/>
      <c r="C7" s="837"/>
      <c r="D7" s="837"/>
      <c r="E7" s="837"/>
      <c r="F7" s="837"/>
      <c r="G7" s="837"/>
      <c r="H7" s="837"/>
    </row>
    <row r="8" spans="1:17" ht="12.75" customHeight="1" x14ac:dyDescent="0.2">
      <c r="A8" s="837"/>
      <c r="B8" s="837"/>
      <c r="C8" s="837"/>
      <c r="D8" s="837"/>
      <c r="E8" s="837"/>
      <c r="F8" s="837"/>
      <c r="G8" s="837"/>
      <c r="H8" s="837"/>
    </row>
    <row r="9" spans="1:17" ht="12.75" customHeight="1" x14ac:dyDescent="0.2">
      <c r="A9" s="837"/>
      <c r="B9" s="837"/>
      <c r="C9" s="837"/>
      <c r="D9" s="837"/>
      <c r="E9" s="837"/>
      <c r="F9" s="837"/>
      <c r="G9" s="837"/>
      <c r="H9" s="837"/>
    </row>
    <row r="10" spans="1:17" ht="12.75" customHeight="1" x14ac:dyDescent="0.2">
      <c r="A10" s="837"/>
      <c r="B10" s="837"/>
      <c r="C10" s="837"/>
      <c r="D10" s="837"/>
      <c r="E10" s="837"/>
      <c r="F10" s="837"/>
      <c r="G10" s="837"/>
      <c r="H10" s="837"/>
    </row>
    <row r="11" spans="1:17" ht="12.75" customHeight="1" x14ac:dyDescent="0.2">
      <c r="A11" s="837"/>
      <c r="B11" s="837"/>
      <c r="C11" s="837"/>
      <c r="D11" s="837"/>
      <c r="E11" s="837"/>
      <c r="F11" s="837"/>
      <c r="G11" s="837"/>
      <c r="H11" s="837"/>
    </row>
    <row r="12" spans="1:17" ht="12.75" customHeight="1" x14ac:dyDescent="0.2">
      <c r="A12" s="837"/>
      <c r="B12" s="837"/>
      <c r="C12" s="837"/>
      <c r="D12" s="837"/>
      <c r="E12" s="837"/>
      <c r="F12" s="837"/>
      <c r="G12" s="837"/>
      <c r="H12" s="837"/>
    </row>
    <row r="13" spans="1:17" ht="12.75" customHeight="1" x14ac:dyDescent="0.2">
      <c r="A13" s="837"/>
      <c r="B13" s="837"/>
      <c r="C13" s="837"/>
      <c r="D13" s="837"/>
      <c r="E13" s="837"/>
      <c r="F13" s="837"/>
      <c r="G13" s="837"/>
      <c r="H13" s="837"/>
    </row>
    <row r="14" spans="1:17" ht="12.75" customHeight="1" x14ac:dyDescent="0.2">
      <c r="A14" s="837"/>
      <c r="B14" s="837"/>
      <c r="C14" s="837"/>
      <c r="D14" s="837"/>
      <c r="E14" s="837"/>
      <c r="F14" s="837"/>
      <c r="G14" s="837"/>
      <c r="H14" s="837"/>
      <c r="Q14" s="75" t="s">
        <v>504</v>
      </c>
    </row>
    <row r="15" spans="1:17" ht="12.75" customHeight="1" x14ac:dyDescent="0.2">
      <c r="A15" s="837"/>
      <c r="B15" s="837"/>
      <c r="C15" s="837"/>
      <c r="D15" s="837"/>
      <c r="E15" s="837"/>
      <c r="F15" s="837"/>
      <c r="G15" s="837"/>
      <c r="H15" s="837"/>
    </row>
    <row r="16" spans="1:17" ht="12.75" customHeight="1" x14ac:dyDescent="0.2">
      <c r="A16" s="837"/>
      <c r="B16" s="837"/>
      <c r="C16" s="837"/>
      <c r="D16" s="837"/>
      <c r="E16" s="837"/>
      <c r="F16" s="837"/>
      <c r="G16" s="837"/>
      <c r="H16" s="837"/>
    </row>
    <row r="17" spans="1:8" ht="12.75" customHeight="1" x14ac:dyDescent="0.2">
      <c r="A17" s="837"/>
      <c r="B17" s="837"/>
      <c r="C17" s="837"/>
      <c r="D17" s="837"/>
      <c r="E17" s="837"/>
      <c r="F17" s="837"/>
      <c r="G17" s="837"/>
      <c r="H17" s="837"/>
    </row>
    <row r="18" spans="1:8" ht="12.75" customHeight="1" x14ac:dyDescent="0.2">
      <c r="A18" s="837"/>
      <c r="B18" s="837"/>
      <c r="C18" s="837"/>
      <c r="D18" s="837"/>
      <c r="E18" s="837"/>
      <c r="F18" s="837"/>
      <c r="G18" s="837"/>
      <c r="H18" s="837"/>
    </row>
    <row r="19" spans="1:8" ht="12.75" customHeight="1" x14ac:dyDescent="0.2">
      <c r="A19" s="837"/>
      <c r="B19" s="837"/>
      <c r="C19" s="837"/>
      <c r="D19" s="837"/>
      <c r="E19" s="837"/>
      <c r="F19" s="837"/>
      <c r="G19" s="837"/>
      <c r="H19" s="837"/>
    </row>
    <row r="20" spans="1:8" ht="12.75" customHeight="1" x14ac:dyDescent="0.2">
      <c r="A20" s="837"/>
      <c r="B20" s="837"/>
      <c r="C20" s="837"/>
      <c r="D20" s="837"/>
      <c r="E20" s="837"/>
      <c r="F20" s="837"/>
      <c r="G20" s="837"/>
      <c r="H20" s="837"/>
    </row>
    <row r="21" spans="1:8" ht="12.75" customHeight="1" x14ac:dyDescent="0.2">
      <c r="A21" s="837"/>
      <c r="B21" s="837"/>
      <c r="C21" s="837"/>
      <c r="D21" s="837"/>
      <c r="E21" s="837"/>
      <c r="F21" s="837"/>
      <c r="G21" s="837"/>
      <c r="H21" s="837"/>
    </row>
    <row r="22" spans="1:8" ht="12.75" customHeight="1" x14ac:dyDescent="0.2">
      <c r="A22" s="837"/>
      <c r="B22" s="837"/>
      <c r="C22" s="837"/>
      <c r="D22" s="837"/>
      <c r="E22" s="837"/>
      <c r="F22" s="837"/>
      <c r="G22" s="837"/>
      <c r="H22" s="837"/>
    </row>
    <row r="23" spans="1:8" ht="12.75" customHeight="1" x14ac:dyDescent="0.2">
      <c r="A23" s="837"/>
      <c r="B23" s="837"/>
      <c r="C23" s="837"/>
      <c r="D23" s="837"/>
      <c r="E23" s="837"/>
      <c r="F23" s="837"/>
      <c r="G23" s="837"/>
      <c r="H23" s="837"/>
    </row>
    <row r="24" spans="1:8" ht="12.75" customHeight="1" x14ac:dyDescent="0.2">
      <c r="A24" s="837"/>
      <c r="B24" s="837"/>
      <c r="C24" s="837"/>
      <c r="D24" s="837"/>
      <c r="E24" s="837"/>
      <c r="F24" s="837"/>
      <c r="G24" s="837"/>
      <c r="H24" s="837"/>
    </row>
    <row r="25" spans="1:8" ht="12.75" customHeight="1" x14ac:dyDescent="0.2">
      <c r="A25" s="837"/>
      <c r="B25" s="837"/>
      <c r="C25" s="837"/>
      <c r="D25" s="837"/>
      <c r="E25" s="837"/>
      <c r="F25" s="837"/>
      <c r="G25" s="837"/>
      <c r="H25" s="837"/>
    </row>
    <row r="26" spans="1:8" ht="12.75" customHeight="1" x14ac:dyDescent="0.2">
      <c r="A26" s="837"/>
      <c r="B26" s="837"/>
      <c r="C26" s="837"/>
      <c r="D26" s="837"/>
      <c r="E26" s="837"/>
      <c r="F26" s="837"/>
      <c r="G26" s="837"/>
      <c r="H26" s="837"/>
    </row>
    <row r="27" spans="1:8" ht="12.75" customHeight="1" x14ac:dyDescent="0.2">
      <c r="A27" s="837"/>
      <c r="B27" s="837"/>
      <c r="C27" s="837"/>
      <c r="D27" s="837"/>
      <c r="E27" s="837"/>
      <c r="F27" s="837"/>
      <c r="G27" s="837"/>
      <c r="H27" s="837"/>
    </row>
    <row r="28" spans="1:8" ht="12.75" customHeight="1" x14ac:dyDescent="0.2">
      <c r="A28" s="837"/>
      <c r="B28" s="837"/>
      <c r="C28" s="837"/>
      <c r="D28" s="837"/>
      <c r="E28" s="837"/>
      <c r="F28" s="837"/>
      <c r="G28" s="837"/>
      <c r="H28" s="837"/>
    </row>
    <row r="29" spans="1:8" ht="12.75" customHeight="1" x14ac:dyDescent="0.2">
      <c r="A29" s="837"/>
      <c r="B29" s="837"/>
      <c r="C29" s="837"/>
      <c r="D29" s="837"/>
      <c r="E29" s="837"/>
      <c r="F29" s="837"/>
      <c r="G29" s="837"/>
      <c r="H29" s="837"/>
    </row>
    <row r="30" spans="1:8" ht="12.75" customHeight="1" x14ac:dyDescent="0.2">
      <c r="A30" s="837"/>
      <c r="B30" s="837"/>
      <c r="C30" s="837"/>
      <c r="D30" s="837"/>
      <c r="E30" s="837"/>
      <c r="F30" s="837"/>
      <c r="G30" s="837"/>
      <c r="H30" s="837"/>
    </row>
    <row r="31" spans="1:8" ht="12.75" customHeight="1" x14ac:dyDescent="0.2">
      <c r="A31" s="837"/>
      <c r="B31" s="837"/>
      <c r="C31" s="837"/>
      <c r="D31" s="837"/>
      <c r="E31" s="837"/>
      <c r="F31" s="837"/>
      <c r="G31" s="837"/>
      <c r="H31" s="837"/>
    </row>
    <row r="32" spans="1:8" ht="12.75" customHeight="1" x14ac:dyDescent="0.2">
      <c r="A32" s="837"/>
      <c r="B32" s="837"/>
      <c r="C32" s="837"/>
      <c r="D32" s="837"/>
      <c r="E32" s="837"/>
      <c r="F32" s="837"/>
      <c r="G32" s="837"/>
      <c r="H32" s="837"/>
    </row>
    <row r="33" spans="1:8" ht="12.75" customHeight="1" x14ac:dyDescent="0.2">
      <c r="A33" s="837"/>
      <c r="B33" s="837"/>
      <c r="C33" s="837"/>
      <c r="D33" s="837"/>
      <c r="E33" s="837"/>
      <c r="F33" s="837"/>
      <c r="G33" s="837"/>
      <c r="H33" s="837"/>
    </row>
    <row r="34" spans="1:8" ht="12.75" customHeight="1" x14ac:dyDescent="0.2">
      <c r="A34" s="837"/>
      <c r="B34" s="837"/>
      <c r="C34" s="837"/>
      <c r="D34" s="837"/>
      <c r="E34" s="837"/>
      <c r="F34" s="837"/>
      <c r="G34" s="837"/>
      <c r="H34" s="837"/>
    </row>
    <row r="35" spans="1:8" ht="12.75" customHeight="1" x14ac:dyDescent="0.2">
      <c r="A35" s="837"/>
      <c r="B35" s="837"/>
      <c r="C35" s="837"/>
      <c r="D35" s="837"/>
      <c r="E35" s="837"/>
      <c r="F35" s="837"/>
      <c r="G35" s="837"/>
      <c r="H35" s="837"/>
    </row>
    <row r="36" spans="1:8" ht="12.75" customHeight="1" x14ac:dyDescent="0.2">
      <c r="A36" s="837"/>
      <c r="B36" s="837"/>
      <c r="C36" s="837"/>
      <c r="D36" s="837"/>
      <c r="E36" s="837"/>
      <c r="F36" s="837"/>
      <c r="G36" s="837"/>
      <c r="H36" s="837"/>
    </row>
    <row r="37" spans="1:8" ht="12.75" customHeight="1" x14ac:dyDescent="0.2">
      <c r="A37" s="837"/>
      <c r="B37" s="837"/>
      <c r="C37" s="837"/>
      <c r="D37" s="837"/>
      <c r="E37" s="837"/>
      <c r="F37" s="837"/>
      <c r="G37" s="837"/>
      <c r="H37" s="837"/>
    </row>
    <row r="38" spans="1:8" ht="12.75" customHeight="1" x14ac:dyDescent="0.2">
      <c r="A38" s="837"/>
      <c r="B38" s="837"/>
      <c r="C38" s="837"/>
      <c r="D38" s="837"/>
      <c r="E38" s="837"/>
      <c r="F38" s="837"/>
      <c r="G38" s="837"/>
      <c r="H38" s="837"/>
    </row>
    <row r="39" spans="1:8" ht="12.75" customHeight="1" x14ac:dyDescent="0.2">
      <c r="A39" s="837"/>
      <c r="B39" s="837"/>
      <c r="C39" s="837"/>
      <c r="D39" s="837"/>
      <c r="E39" s="837"/>
      <c r="F39" s="837"/>
      <c r="G39" s="837"/>
      <c r="H39" s="837"/>
    </row>
    <row r="40" spans="1:8" ht="12.75" customHeight="1" x14ac:dyDescent="0.2">
      <c r="A40" s="837"/>
      <c r="B40" s="837"/>
      <c r="C40" s="837"/>
      <c r="D40" s="837"/>
      <c r="E40" s="837"/>
      <c r="F40" s="837"/>
      <c r="G40" s="837"/>
      <c r="H40" s="837"/>
    </row>
    <row r="41" spans="1:8" ht="12.75" customHeight="1" x14ac:dyDescent="0.2">
      <c r="A41" s="837"/>
      <c r="B41" s="837"/>
      <c r="C41" s="837"/>
      <c r="D41" s="837"/>
      <c r="E41" s="837"/>
      <c r="F41" s="837"/>
      <c r="G41" s="837"/>
      <c r="H41" s="837"/>
    </row>
    <row r="42" spans="1:8" ht="12.75" customHeight="1" x14ac:dyDescent="0.2">
      <c r="A42" s="837"/>
      <c r="B42" s="837"/>
      <c r="C42" s="837"/>
      <c r="D42" s="837"/>
      <c r="E42" s="837"/>
      <c r="F42" s="837"/>
      <c r="G42" s="837"/>
      <c r="H42" s="837"/>
    </row>
    <row r="43" spans="1:8" ht="12.75" customHeight="1" x14ac:dyDescent="0.2">
      <c r="A43" s="837"/>
      <c r="B43" s="837"/>
      <c r="C43" s="837"/>
      <c r="D43" s="837"/>
      <c r="E43" s="837"/>
      <c r="F43" s="837"/>
      <c r="G43" s="837"/>
      <c r="H43" s="837"/>
    </row>
    <row r="44" spans="1:8" ht="12.75" customHeight="1" x14ac:dyDescent="0.2">
      <c r="A44" s="837"/>
      <c r="B44" s="837"/>
      <c r="C44" s="837"/>
      <c r="D44" s="837"/>
      <c r="E44" s="837"/>
      <c r="F44" s="837"/>
      <c r="G44" s="837"/>
      <c r="H44" s="837"/>
    </row>
    <row r="45" spans="1:8" ht="12.75" customHeight="1" x14ac:dyDescent="0.2">
      <c r="A45" s="837"/>
      <c r="B45" s="837"/>
      <c r="C45" s="837"/>
      <c r="D45" s="837"/>
      <c r="E45" s="837"/>
      <c r="F45" s="837"/>
      <c r="G45" s="837"/>
      <c r="H45" s="837"/>
    </row>
    <row r="46" spans="1:8" ht="12.75" customHeight="1" x14ac:dyDescent="0.2">
      <c r="A46" s="837"/>
      <c r="B46" s="837"/>
      <c r="C46" s="837"/>
      <c r="D46" s="837"/>
      <c r="E46" s="837"/>
      <c r="F46" s="837"/>
      <c r="G46" s="837"/>
      <c r="H46" s="837"/>
    </row>
    <row r="47" spans="1:8" ht="12.75" customHeight="1" x14ac:dyDescent="0.2">
      <c r="A47" s="837"/>
      <c r="B47" s="837"/>
      <c r="C47" s="837"/>
      <c r="D47" s="837"/>
      <c r="E47" s="837"/>
      <c r="F47" s="837"/>
      <c r="G47" s="837"/>
      <c r="H47" s="837"/>
    </row>
    <row r="48" spans="1:8" ht="12.75" customHeight="1" x14ac:dyDescent="0.2">
      <c r="A48" s="837"/>
      <c r="B48" s="837"/>
      <c r="C48" s="837"/>
      <c r="D48" s="837"/>
      <c r="E48" s="837"/>
      <c r="F48" s="837"/>
      <c r="G48" s="837"/>
      <c r="H48" s="837"/>
    </row>
    <row r="49" spans="1:8" ht="12.75" customHeight="1" x14ac:dyDescent="0.2">
      <c r="A49" s="837"/>
      <c r="B49" s="837"/>
      <c r="C49" s="837"/>
      <c r="D49" s="837"/>
      <c r="E49" s="837"/>
      <c r="F49" s="837"/>
      <c r="G49" s="837"/>
      <c r="H49" s="837"/>
    </row>
    <row r="50" spans="1:8" ht="12.75" customHeight="1" x14ac:dyDescent="0.2">
      <c r="A50" s="837"/>
      <c r="B50" s="837"/>
      <c r="C50" s="837"/>
      <c r="D50" s="837"/>
      <c r="E50" s="837"/>
      <c r="F50" s="837"/>
      <c r="G50" s="837"/>
      <c r="H50" s="837"/>
    </row>
    <row r="51" spans="1:8" ht="12.75" customHeight="1" x14ac:dyDescent="0.2">
      <c r="A51" s="837"/>
      <c r="B51" s="837"/>
      <c r="C51" s="837"/>
      <c r="D51" s="837"/>
      <c r="E51" s="837"/>
      <c r="F51" s="837"/>
      <c r="G51" s="837"/>
      <c r="H51" s="837"/>
    </row>
    <row r="52" spans="1:8" ht="12.75" customHeight="1" x14ac:dyDescent="0.2">
      <c r="A52" s="837"/>
      <c r="B52" s="837"/>
      <c r="C52" s="837"/>
      <c r="D52" s="837"/>
      <c r="E52" s="837"/>
      <c r="F52" s="837"/>
      <c r="G52" s="837"/>
      <c r="H52" s="837"/>
    </row>
    <row r="53" spans="1:8" ht="12.75" customHeight="1" x14ac:dyDescent="0.2">
      <c r="A53" s="837"/>
      <c r="B53" s="837"/>
      <c r="C53" s="837"/>
      <c r="D53" s="837"/>
      <c r="E53" s="837"/>
      <c r="F53" s="837"/>
      <c r="G53" s="837"/>
      <c r="H53" s="837"/>
    </row>
    <row r="54" spans="1:8" ht="12.75" customHeight="1" x14ac:dyDescent="0.2">
      <c r="A54" s="837"/>
      <c r="B54" s="837"/>
      <c r="C54" s="837"/>
      <c r="D54" s="837"/>
      <c r="E54" s="837"/>
      <c r="F54" s="837"/>
      <c r="G54" s="837"/>
      <c r="H54" s="837"/>
    </row>
    <row r="55" spans="1:8" ht="12.75" customHeight="1" x14ac:dyDescent="0.2">
      <c r="A55" s="837"/>
      <c r="B55" s="837"/>
      <c r="C55" s="837"/>
      <c r="D55" s="837"/>
      <c r="E55" s="837"/>
      <c r="F55" s="837"/>
      <c r="G55" s="837"/>
      <c r="H55" s="837"/>
    </row>
    <row r="56" spans="1:8" ht="12.75" customHeight="1" x14ac:dyDescent="0.2">
      <c r="A56" s="837"/>
      <c r="B56" s="837"/>
      <c r="C56" s="837"/>
      <c r="D56" s="837"/>
      <c r="E56" s="837"/>
      <c r="F56" s="837"/>
      <c r="G56" s="837"/>
      <c r="H56" s="837"/>
    </row>
    <row r="57" spans="1:8" ht="12.75" customHeight="1" x14ac:dyDescent="0.2">
      <c r="A57" s="837"/>
      <c r="B57" s="837"/>
      <c r="C57" s="837"/>
      <c r="D57" s="837"/>
      <c r="E57" s="837"/>
      <c r="F57" s="837"/>
      <c r="G57" s="837"/>
      <c r="H57" s="837"/>
    </row>
  </sheetData>
  <mergeCells count="1">
    <mergeCell ref="A3:H5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S385"/>
  <sheetViews>
    <sheetView showGridLines="0" topLeftCell="A130" zoomScaleNormal="100" zoomScaleSheetLayoutView="90" workbookViewId="0">
      <pane xSplit="1" topLeftCell="B1" activePane="topRight" state="frozen"/>
      <selection pane="topRight" activeCell="E150" activeCellId="2" sqref="D153:E153 D145:E145 D150:E150"/>
    </sheetView>
  </sheetViews>
  <sheetFormatPr defaultColWidth="6.28515625" defaultRowHeight="12.75" outlineLevelRow="1" x14ac:dyDescent="0.2"/>
  <cols>
    <col min="1" max="1" width="48.42578125" style="60" customWidth="1"/>
    <col min="2" max="2" width="13.7109375" style="60" customWidth="1"/>
    <col min="3" max="3" width="9.7109375" style="60" bestFit="1" customWidth="1"/>
    <col min="4" max="4" width="9.7109375" style="60" customWidth="1"/>
    <col min="5" max="5" width="10.7109375" style="60" bestFit="1" customWidth="1"/>
    <col min="6" max="6" width="9.7109375" style="419" customWidth="1"/>
    <col min="7" max="10" width="9.7109375" style="60" customWidth="1"/>
    <col min="11" max="11" width="10.5703125" style="60" customWidth="1"/>
    <col min="12" max="12" width="9.7109375" style="60" customWidth="1"/>
    <col min="13" max="13" width="11.42578125" style="60" customWidth="1"/>
    <col min="14" max="22" width="9.7109375" style="60" customWidth="1"/>
    <col min="23" max="25" width="9.28515625" style="60" customWidth="1"/>
    <col min="26" max="26" width="10" style="60" customWidth="1"/>
    <col min="27" max="32" width="9.28515625" style="60" customWidth="1"/>
    <col min="33" max="33" width="10.42578125" style="60" customWidth="1"/>
    <col min="34" max="34" width="11.28515625" style="60" customWidth="1"/>
    <col min="35" max="35" width="11.140625" style="60" hidden="1" customWidth="1"/>
    <col min="36" max="36" width="9.5703125" style="60" customWidth="1"/>
    <col min="37" max="37" width="10.140625" style="60" customWidth="1"/>
    <col min="38" max="38" width="6.28515625" style="60"/>
    <col min="39" max="39" width="8.140625" style="60" bestFit="1" customWidth="1"/>
    <col min="40" max="40" width="6.28515625" style="60"/>
    <col min="41" max="41" width="9.7109375" style="60" bestFit="1" customWidth="1"/>
    <col min="42" max="42" width="6.28515625" style="60"/>
    <col min="43" max="43" width="8.5703125" style="60" bestFit="1" customWidth="1"/>
    <col min="44" max="44" width="6.28515625" style="60"/>
    <col min="45" max="45" width="18.5703125" style="60" bestFit="1" customWidth="1"/>
    <col min="46" max="47" width="6.28515625" style="60"/>
    <col min="48" max="49" width="12.140625" style="60" bestFit="1" customWidth="1"/>
    <col min="50" max="16384" width="6.28515625" style="60"/>
  </cols>
  <sheetData>
    <row r="1" spans="1:45" s="394" customFormat="1" ht="14.25" customHeight="1" x14ac:dyDescent="0.2">
      <c r="A1" s="390" t="str">
        <f>'Datu ievade'!B6</f>
        <v>A pašvaldība</v>
      </c>
      <c r="B1" s="391" t="str">
        <f>'Datu ievade'!B8</f>
        <v>Ūdenssaimniecības attīstība A pašvaldībā</v>
      </c>
      <c r="C1" s="392"/>
      <c r="D1" s="392"/>
      <c r="E1" s="392"/>
      <c r="F1" s="393"/>
      <c r="G1" s="392"/>
      <c r="H1" s="392"/>
      <c r="I1" s="392"/>
      <c r="J1" s="392"/>
      <c r="K1" s="392"/>
      <c r="L1" s="392"/>
      <c r="M1" s="392"/>
      <c r="N1" s="392"/>
      <c r="O1" s="392"/>
      <c r="P1" s="392"/>
      <c r="Q1" s="392"/>
      <c r="R1" s="392"/>
      <c r="S1" s="392"/>
      <c r="T1" s="392"/>
      <c r="U1" s="392"/>
      <c r="V1" s="392"/>
      <c r="W1" s="392"/>
      <c r="X1" s="392"/>
      <c r="Y1" s="392"/>
      <c r="Z1" s="392"/>
    </row>
    <row r="2" spans="1:45" s="394" customFormat="1" ht="14.25" customHeight="1" x14ac:dyDescent="0.2">
      <c r="A2" s="395"/>
      <c r="B2" s="395"/>
      <c r="C2" s="392"/>
      <c r="D2" s="392"/>
      <c r="E2" s="392"/>
      <c r="F2" s="393"/>
      <c r="G2" s="392"/>
      <c r="H2" s="392"/>
      <c r="I2" s="392"/>
      <c r="J2" s="392"/>
      <c r="K2" s="392"/>
      <c r="L2" s="392"/>
      <c r="M2" s="392"/>
      <c r="N2" s="392"/>
      <c r="O2" s="392"/>
      <c r="P2" s="392"/>
      <c r="Q2" s="392"/>
      <c r="R2" s="392"/>
      <c r="S2" s="392"/>
      <c r="T2" s="392"/>
      <c r="U2" s="392"/>
      <c r="V2" s="392"/>
      <c r="W2" s="392"/>
      <c r="X2" s="392"/>
      <c r="Y2" s="392"/>
      <c r="Z2" s="392"/>
    </row>
    <row r="3" spans="1:45" ht="15.75" x14ac:dyDescent="0.2">
      <c r="A3" s="396" t="s">
        <v>140</v>
      </c>
      <c r="B3" s="397"/>
      <c r="C3" s="397"/>
      <c r="D3" s="397"/>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M3" s="535"/>
    </row>
    <row r="4" spans="1:45" s="71" customFormat="1" ht="31.5" x14ac:dyDescent="0.2">
      <c r="A4" s="276" t="s">
        <v>452</v>
      </c>
      <c r="B4" s="228"/>
      <c r="C4" s="228"/>
      <c r="D4" s="228"/>
      <c r="E4" s="228"/>
      <c r="F4" s="399"/>
      <c r="G4" s="228"/>
      <c r="H4" s="228"/>
      <c r="I4" s="228"/>
      <c r="J4" s="228"/>
      <c r="K4" s="228"/>
      <c r="L4" s="228"/>
      <c r="M4" s="228"/>
      <c r="N4" s="228"/>
      <c r="O4" s="228"/>
      <c r="P4" s="228" t="s">
        <v>21</v>
      </c>
      <c r="Q4" s="228"/>
      <c r="R4" s="228"/>
      <c r="S4" s="228"/>
      <c r="T4" s="228"/>
      <c r="U4" s="228"/>
      <c r="V4" s="228"/>
      <c r="W4" s="228"/>
      <c r="X4" s="228"/>
      <c r="Y4" s="228"/>
      <c r="Z4" s="277"/>
      <c r="AA4" s="277"/>
      <c r="AB4" s="277"/>
      <c r="AC4" s="277"/>
      <c r="AD4" s="277"/>
      <c r="AE4" s="277"/>
      <c r="AF4" s="277"/>
      <c r="AG4" s="277"/>
      <c r="AH4" s="277"/>
      <c r="AI4" s="81"/>
      <c r="AM4" s="535"/>
    </row>
    <row r="5" spans="1:45" s="71" customFormat="1" x14ac:dyDescent="0.2">
      <c r="A5" s="84"/>
      <c r="B5" s="280">
        <f>'Datu ievade'!B32</f>
        <v>2014</v>
      </c>
      <c r="C5" s="280">
        <f t="shared" ref="C5:AH5" si="0">B5+1</f>
        <v>2015</v>
      </c>
      <c r="D5" s="280">
        <f t="shared" si="0"/>
        <v>2016</v>
      </c>
      <c r="E5" s="280">
        <f t="shared" si="0"/>
        <v>2017</v>
      </c>
      <c r="F5" s="279">
        <f t="shared" si="0"/>
        <v>2018</v>
      </c>
      <c r="G5" s="280">
        <f t="shared" si="0"/>
        <v>2019</v>
      </c>
      <c r="H5" s="280">
        <f t="shared" si="0"/>
        <v>2020</v>
      </c>
      <c r="I5" s="280">
        <f t="shared" si="0"/>
        <v>2021</v>
      </c>
      <c r="J5" s="280">
        <f t="shared" si="0"/>
        <v>2022</v>
      </c>
      <c r="K5" s="280">
        <f t="shared" si="0"/>
        <v>2023</v>
      </c>
      <c r="L5" s="280">
        <f t="shared" si="0"/>
        <v>2024</v>
      </c>
      <c r="M5" s="280">
        <f t="shared" si="0"/>
        <v>2025</v>
      </c>
      <c r="N5" s="280">
        <f t="shared" si="0"/>
        <v>2026</v>
      </c>
      <c r="O5" s="280">
        <f t="shared" si="0"/>
        <v>2027</v>
      </c>
      <c r="P5" s="280">
        <f t="shared" si="0"/>
        <v>2028</v>
      </c>
      <c r="Q5" s="280">
        <f t="shared" si="0"/>
        <v>2029</v>
      </c>
      <c r="R5" s="280">
        <f t="shared" si="0"/>
        <v>2030</v>
      </c>
      <c r="S5" s="280">
        <f t="shared" si="0"/>
        <v>2031</v>
      </c>
      <c r="T5" s="280">
        <f t="shared" si="0"/>
        <v>2032</v>
      </c>
      <c r="U5" s="280">
        <f t="shared" si="0"/>
        <v>2033</v>
      </c>
      <c r="V5" s="280">
        <f t="shared" si="0"/>
        <v>2034</v>
      </c>
      <c r="W5" s="280">
        <f t="shared" si="0"/>
        <v>2035</v>
      </c>
      <c r="X5" s="280">
        <f t="shared" si="0"/>
        <v>2036</v>
      </c>
      <c r="Y5" s="280">
        <f t="shared" si="0"/>
        <v>2037</v>
      </c>
      <c r="Z5" s="280">
        <f t="shared" si="0"/>
        <v>2038</v>
      </c>
      <c r="AA5" s="280">
        <f t="shared" si="0"/>
        <v>2039</v>
      </c>
      <c r="AB5" s="280">
        <f t="shared" si="0"/>
        <v>2040</v>
      </c>
      <c r="AC5" s="280">
        <f t="shared" si="0"/>
        <v>2041</v>
      </c>
      <c r="AD5" s="280">
        <f t="shared" si="0"/>
        <v>2042</v>
      </c>
      <c r="AE5" s="280">
        <f t="shared" si="0"/>
        <v>2043</v>
      </c>
      <c r="AF5" s="280">
        <f t="shared" si="0"/>
        <v>2044</v>
      </c>
      <c r="AG5" s="280">
        <f t="shared" si="0"/>
        <v>2045</v>
      </c>
      <c r="AH5" s="280">
        <f t="shared" si="0"/>
        <v>2046</v>
      </c>
      <c r="AI5" s="280"/>
      <c r="AM5" s="535"/>
    </row>
    <row r="6" spans="1:45" s="71" customFormat="1" x14ac:dyDescent="0.2">
      <c r="A6" s="400" t="s">
        <v>43</v>
      </c>
      <c r="B6" s="401"/>
      <c r="C6" s="402"/>
      <c r="D6" s="402"/>
      <c r="E6" s="402"/>
      <c r="F6" s="403"/>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M6" s="535"/>
    </row>
    <row r="7" spans="1:45" s="193" customFormat="1" ht="25.5" x14ac:dyDescent="0.2">
      <c r="A7" s="404" t="s">
        <v>383</v>
      </c>
      <c r="B7" s="405"/>
      <c r="C7" s="406"/>
      <c r="D7" s="406"/>
      <c r="E7" s="406"/>
      <c r="F7" s="407"/>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M7" s="535"/>
    </row>
    <row r="8" spans="1:45" s="71" customFormat="1" x14ac:dyDescent="0.2">
      <c r="A8" s="92" t="s">
        <v>10</v>
      </c>
      <c r="B8" s="408">
        <f>'Datu ievade'!B155-B19</f>
        <v>539000</v>
      </c>
      <c r="C8" s="408">
        <f t="shared" ref="C8:AH8" si="1">IF(B8&lt;B19,0,B8-B19)</f>
        <v>528000</v>
      </c>
      <c r="D8" s="408">
        <f t="shared" si="1"/>
        <v>517000</v>
      </c>
      <c r="E8" s="408">
        <f t="shared" si="1"/>
        <v>506000</v>
      </c>
      <c r="F8" s="408">
        <f t="shared" si="1"/>
        <v>495000</v>
      </c>
      <c r="G8" s="408">
        <f t="shared" si="1"/>
        <v>484000</v>
      </c>
      <c r="H8" s="408">
        <f t="shared" si="1"/>
        <v>473000</v>
      </c>
      <c r="I8" s="408">
        <f t="shared" si="1"/>
        <v>462000</v>
      </c>
      <c r="J8" s="408">
        <f t="shared" si="1"/>
        <v>451000</v>
      </c>
      <c r="K8" s="408">
        <f t="shared" si="1"/>
        <v>440000</v>
      </c>
      <c r="L8" s="408">
        <f t="shared" si="1"/>
        <v>429000</v>
      </c>
      <c r="M8" s="408">
        <f t="shared" si="1"/>
        <v>418000</v>
      </c>
      <c r="N8" s="408">
        <f t="shared" si="1"/>
        <v>407000</v>
      </c>
      <c r="O8" s="408">
        <f t="shared" si="1"/>
        <v>396000</v>
      </c>
      <c r="P8" s="408">
        <f t="shared" si="1"/>
        <v>385000</v>
      </c>
      <c r="Q8" s="408">
        <f t="shared" si="1"/>
        <v>374000</v>
      </c>
      <c r="R8" s="408">
        <f t="shared" si="1"/>
        <v>363000</v>
      </c>
      <c r="S8" s="408">
        <f t="shared" si="1"/>
        <v>352000</v>
      </c>
      <c r="T8" s="408">
        <f t="shared" si="1"/>
        <v>341000</v>
      </c>
      <c r="U8" s="408">
        <f t="shared" si="1"/>
        <v>330000</v>
      </c>
      <c r="V8" s="408">
        <f t="shared" si="1"/>
        <v>319000</v>
      </c>
      <c r="W8" s="408">
        <f t="shared" si="1"/>
        <v>308000</v>
      </c>
      <c r="X8" s="408">
        <f t="shared" si="1"/>
        <v>297000</v>
      </c>
      <c r="Y8" s="408">
        <f t="shared" si="1"/>
        <v>286000</v>
      </c>
      <c r="Z8" s="408">
        <f t="shared" si="1"/>
        <v>275000</v>
      </c>
      <c r="AA8" s="408">
        <f t="shared" si="1"/>
        <v>264000</v>
      </c>
      <c r="AB8" s="408">
        <f t="shared" si="1"/>
        <v>253000</v>
      </c>
      <c r="AC8" s="408">
        <f t="shared" si="1"/>
        <v>242000</v>
      </c>
      <c r="AD8" s="408">
        <f t="shared" si="1"/>
        <v>231000</v>
      </c>
      <c r="AE8" s="408">
        <f t="shared" si="1"/>
        <v>220000</v>
      </c>
      <c r="AF8" s="408">
        <f t="shared" si="1"/>
        <v>209000</v>
      </c>
      <c r="AG8" s="408">
        <f t="shared" si="1"/>
        <v>198000</v>
      </c>
      <c r="AH8" s="408">
        <f t="shared" si="1"/>
        <v>187000</v>
      </c>
      <c r="AI8" s="408"/>
      <c r="AM8" s="535"/>
      <c r="AO8" s="283"/>
      <c r="AQ8" s="283"/>
      <c r="AS8" s="283"/>
    </row>
    <row r="9" spans="1:45" s="71" customFormat="1" x14ac:dyDescent="0.2">
      <c r="A9" s="92" t="s">
        <v>11</v>
      </c>
      <c r="B9" s="408">
        <f>'Datu ievade'!B156-B20</f>
        <v>70934</v>
      </c>
      <c r="C9" s="408">
        <f t="shared" ref="C9:AH9" si="2">IF(B9&lt;B20,0,B9-B20)</f>
        <v>65868</v>
      </c>
      <c r="D9" s="408">
        <f t="shared" si="2"/>
        <v>60802</v>
      </c>
      <c r="E9" s="408">
        <f t="shared" si="2"/>
        <v>55736</v>
      </c>
      <c r="F9" s="408">
        <f t="shared" si="2"/>
        <v>50670</v>
      </c>
      <c r="G9" s="408">
        <f t="shared" si="2"/>
        <v>45604</v>
      </c>
      <c r="H9" s="408">
        <f t="shared" si="2"/>
        <v>40538</v>
      </c>
      <c r="I9" s="408">
        <f t="shared" si="2"/>
        <v>35472</v>
      </c>
      <c r="J9" s="408">
        <f t="shared" si="2"/>
        <v>30406</v>
      </c>
      <c r="K9" s="408">
        <f t="shared" si="2"/>
        <v>25340</v>
      </c>
      <c r="L9" s="408">
        <f t="shared" si="2"/>
        <v>20274</v>
      </c>
      <c r="M9" s="408">
        <f t="shared" si="2"/>
        <v>15208</v>
      </c>
      <c r="N9" s="408">
        <f t="shared" si="2"/>
        <v>10142</v>
      </c>
      <c r="O9" s="408">
        <f t="shared" si="2"/>
        <v>5076</v>
      </c>
      <c r="P9" s="408">
        <f t="shared" si="2"/>
        <v>10</v>
      </c>
      <c r="Q9" s="408">
        <f t="shared" si="2"/>
        <v>0</v>
      </c>
      <c r="R9" s="408">
        <f t="shared" si="2"/>
        <v>0</v>
      </c>
      <c r="S9" s="408">
        <f t="shared" si="2"/>
        <v>0</v>
      </c>
      <c r="T9" s="408">
        <f t="shared" si="2"/>
        <v>0</v>
      </c>
      <c r="U9" s="408">
        <f t="shared" si="2"/>
        <v>0</v>
      </c>
      <c r="V9" s="408">
        <f t="shared" si="2"/>
        <v>0</v>
      </c>
      <c r="W9" s="408">
        <f t="shared" si="2"/>
        <v>0</v>
      </c>
      <c r="X9" s="408">
        <f t="shared" si="2"/>
        <v>0</v>
      </c>
      <c r="Y9" s="408">
        <f t="shared" si="2"/>
        <v>0</v>
      </c>
      <c r="Z9" s="408">
        <f t="shared" si="2"/>
        <v>0</v>
      </c>
      <c r="AA9" s="408">
        <f t="shared" si="2"/>
        <v>0</v>
      </c>
      <c r="AB9" s="408">
        <f t="shared" si="2"/>
        <v>0</v>
      </c>
      <c r="AC9" s="408">
        <f t="shared" si="2"/>
        <v>0</v>
      </c>
      <c r="AD9" s="408">
        <f t="shared" si="2"/>
        <v>0</v>
      </c>
      <c r="AE9" s="408">
        <f t="shared" si="2"/>
        <v>0</v>
      </c>
      <c r="AF9" s="408">
        <f t="shared" si="2"/>
        <v>0</v>
      </c>
      <c r="AG9" s="408">
        <f t="shared" si="2"/>
        <v>0</v>
      </c>
      <c r="AH9" s="408">
        <f t="shared" si="2"/>
        <v>0</v>
      </c>
      <c r="AI9" s="408"/>
      <c r="AM9" s="535"/>
      <c r="AO9" s="283"/>
      <c r="AQ9" s="283"/>
      <c r="AS9" s="283"/>
    </row>
    <row r="10" spans="1:45" s="71" customFormat="1" x14ac:dyDescent="0.2">
      <c r="A10" s="92" t="s">
        <v>12</v>
      </c>
      <c r="B10" s="408">
        <f>'Datu ievade'!B157-B21</f>
        <v>0</v>
      </c>
      <c r="C10" s="408">
        <f t="shared" ref="C10:AH10" si="3">IF(B10&lt;B21,0,B10-B21)</f>
        <v>0</v>
      </c>
      <c r="D10" s="408">
        <f t="shared" si="3"/>
        <v>0</v>
      </c>
      <c r="E10" s="408">
        <f t="shared" si="3"/>
        <v>0</v>
      </c>
      <c r="F10" s="408">
        <f t="shared" si="3"/>
        <v>0</v>
      </c>
      <c r="G10" s="408">
        <f t="shared" si="3"/>
        <v>0</v>
      </c>
      <c r="H10" s="408">
        <f t="shared" si="3"/>
        <v>0</v>
      </c>
      <c r="I10" s="408">
        <f t="shared" si="3"/>
        <v>0</v>
      </c>
      <c r="J10" s="408">
        <f t="shared" si="3"/>
        <v>0</v>
      </c>
      <c r="K10" s="408">
        <f t="shared" si="3"/>
        <v>0</v>
      </c>
      <c r="L10" s="408">
        <f t="shared" si="3"/>
        <v>0</v>
      </c>
      <c r="M10" s="408">
        <f t="shared" si="3"/>
        <v>0</v>
      </c>
      <c r="N10" s="408">
        <f t="shared" si="3"/>
        <v>0</v>
      </c>
      <c r="O10" s="408">
        <f t="shared" si="3"/>
        <v>0</v>
      </c>
      <c r="P10" s="408">
        <f t="shared" si="3"/>
        <v>0</v>
      </c>
      <c r="Q10" s="408">
        <f t="shared" si="3"/>
        <v>0</v>
      </c>
      <c r="R10" s="408">
        <f t="shared" si="3"/>
        <v>0</v>
      </c>
      <c r="S10" s="408">
        <f t="shared" si="3"/>
        <v>0</v>
      </c>
      <c r="T10" s="408">
        <f t="shared" si="3"/>
        <v>0</v>
      </c>
      <c r="U10" s="408">
        <f t="shared" si="3"/>
        <v>0</v>
      </c>
      <c r="V10" s="408">
        <f t="shared" si="3"/>
        <v>0</v>
      </c>
      <c r="W10" s="408">
        <f t="shared" si="3"/>
        <v>0</v>
      </c>
      <c r="X10" s="408">
        <f t="shared" si="3"/>
        <v>0</v>
      </c>
      <c r="Y10" s="408">
        <f t="shared" si="3"/>
        <v>0</v>
      </c>
      <c r="Z10" s="408">
        <f t="shared" si="3"/>
        <v>0</v>
      </c>
      <c r="AA10" s="408">
        <f t="shared" si="3"/>
        <v>0</v>
      </c>
      <c r="AB10" s="408">
        <f t="shared" si="3"/>
        <v>0</v>
      </c>
      <c r="AC10" s="408">
        <f t="shared" si="3"/>
        <v>0</v>
      </c>
      <c r="AD10" s="408">
        <f t="shared" si="3"/>
        <v>0</v>
      </c>
      <c r="AE10" s="408">
        <f t="shared" si="3"/>
        <v>0</v>
      </c>
      <c r="AF10" s="408">
        <f t="shared" si="3"/>
        <v>0</v>
      </c>
      <c r="AG10" s="408">
        <f t="shared" si="3"/>
        <v>0</v>
      </c>
      <c r="AH10" s="408">
        <f t="shared" si="3"/>
        <v>0</v>
      </c>
      <c r="AI10" s="408"/>
      <c r="AM10" s="535"/>
      <c r="AO10" s="283"/>
      <c r="AQ10" s="283"/>
      <c r="AS10" s="283"/>
    </row>
    <row r="11" spans="1:45" s="71" customFormat="1" x14ac:dyDescent="0.2">
      <c r="A11" s="92" t="s">
        <v>44</v>
      </c>
      <c r="B11" s="408">
        <f>'Datu ievade'!B158-B22</f>
        <v>0</v>
      </c>
      <c r="C11" s="408">
        <f t="shared" ref="C11:AH11" si="4">IF(B11&lt;B22,0,B11-B22)</f>
        <v>0</v>
      </c>
      <c r="D11" s="408">
        <f t="shared" si="4"/>
        <v>0</v>
      </c>
      <c r="E11" s="408">
        <f t="shared" si="4"/>
        <v>0</v>
      </c>
      <c r="F11" s="408">
        <f t="shared" si="4"/>
        <v>0</v>
      </c>
      <c r="G11" s="408">
        <f t="shared" si="4"/>
        <v>0</v>
      </c>
      <c r="H11" s="408">
        <f t="shared" si="4"/>
        <v>0</v>
      </c>
      <c r="I11" s="408">
        <f t="shared" si="4"/>
        <v>0</v>
      </c>
      <c r="J11" s="408">
        <f t="shared" si="4"/>
        <v>0</v>
      </c>
      <c r="K11" s="408">
        <f t="shared" si="4"/>
        <v>0</v>
      </c>
      <c r="L11" s="408">
        <f t="shared" si="4"/>
        <v>0</v>
      </c>
      <c r="M11" s="408">
        <f t="shared" si="4"/>
        <v>0</v>
      </c>
      <c r="N11" s="408">
        <f t="shared" si="4"/>
        <v>0</v>
      </c>
      <c r="O11" s="408">
        <f t="shared" si="4"/>
        <v>0</v>
      </c>
      <c r="P11" s="408">
        <f t="shared" si="4"/>
        <v>0</v>
      </c>
      <c r="Q11" s="408">
        <f t="shared" si="4"/>
        <v>0</v>
      </c>
      <c r="R11" s="408">
        <f t="shared" si="4"/>
        <v>0</v>
      </c>
      <c r="S11" s="408">
        <f t="shared" si="4"/>
        <v>0</v>
      </c>
      <c r="T11" s="408">
        <f t="shared" si="4"/>
        <v>0</v>
      </c>
      <c r="U11" s="408">
        <f t="shared" si="4"/>
        <v>0</v>
      </c>
      <c r="V11" s="408">
        <f t="shared" si="4"/>
        <v>0</v>
      </c>
      <c r="W11" s="408">
        <f t="shared" si="4"/>
        <v>0</v>
      </c>
      <c r="X11" s="408">
        <f t="shared" si="4"/>
        <v>0</v>
      </c>
      <c r="Y11" s="408">
        <f t="shared" si="4"/>
        <v>0</v>
      </c>
      <c r="Z11" s="408">
        <f t="shared" si="4"/>
        <v>0</v>
      </c>
      <c r="AA11" s="408">
        <f t="shared" si="4"/>
        <v>0</v>
      </c>
      <c r="AB11" s="408">
        <f t="shared" si="4"/>
        <v>0</v>
      </c>
      <c r="AC11" s="408">
        <f t="shared" si="4"/>
        <v>0</v>
      </c>
      <c r="AD11" s="408">
        <f t="shared" si="4"/>
        <v>0</v>
      </c>
      <c r="AE11" s="408">
        <f t="shared" si="4"/>
        <v>0</v>
      </c>
      <c r="AF11" s="408">
        <f t="shared" si="4"/>
        <v>0</v>
      </c>
      <c r="AG11" s="408">
        <f t="shared" si="4"/>
        <v>0</v>
      </c>
      <c r="AH11" s="408">
        <f t="shared" si="4"/>
        <v>0</v>
      </c>
      <c r="AI11" s="408"/>
      <c r="AM11" s="535"/>
      <c r="AO11" s="283"/>
      <c r="AQ11" s="283"/>
      <c r="AS11" s="283"/>
    </row>
    <row r="12" spans="1:45" s="193" customFormat="1" ht="25.5" x14ac:dyDescent="0.2">
      <c r="A12" s="404" t="s">
        <v>384</v>
      </c>
      <c r="B12" s="409"/>
      <c r="C12" s="410"/>
      <c r="D12" s="410"/>
      <c r="E12" s="410"/>
      <c r="F12" s="411"/>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M12" s="535"/>
      <c r="AO12" s="283"/>
      <c r="AP12" s="71"/>
      <c r="AQ12" s="283"/>
      <c r="AR12" s="71"/>
      <c r="AS12" s="283"/>
    </row>
    <row r="13" spans="1:45" s="71" customFormat="1" x14ac:dyDescent="0.2">
      <c r="A13" s="84" t="s">
        <v>10</v>
      </c>
      <c r="B13" s="408">
        <f>'Datu ievade'!B160-B24</f>
        <v>454700</v>
      </c>
      <c r="C13" s="408">
        <f t="shared" ref="C13:AH13" si="5">IF(B13&lt;B24,0,B13-B24)</f>
        <v>445400</v>
      </c>
      <c r="D13" s="408">
        <f t="shared" si="5"/>
        <v>436100</v>
      </c>
      <c r="E13" s="408">
        <f t="shared" si="5"/>
        <v>426800</v>
      </c>
      <c r="F13" s="408">
        <f t="shared" si="5"/>
        <v>417500</v>
      </c>
      <c r="G13" s="408">
        <f t="shared" si="5"/>
        <v>408200</v>
      </c>
      <c r="H13" s="408">
        <f t="shared" si="5"/>
        <v>398900</v>
      </c>
      <c r="I13" s="408">
        <f t="shared" si="5"/>
        <v>389600</v>
      </c>
      <c r="J13" s="408">
        <f t="shared" si="5"/>
        <v>380300</v>
      </c>
      <c r="K13" s="408">
        <f t="shared" si="5"/>
        <v>371000</v>
      </c>
      <c r="L13" s="408">
        <f t="shared" si="5"/>
        <v>361700</v>
      </c>
      <c r="M13" s="408">
        <f t="shared" si="5"/>
        <v>352400</v>
      </c>
      <c r="N13" s="408">
        <f t="shared" si="5"/>
        <v>343100</v>
      </c>
      <c r="O13" s="408">
        <f t="shared" si="5"/>
        <v>333800</v>
      </c>
      <c r="P13" s="408">
        <f t="shared" si="5"/>
        <v>324500</v>
      </c>
      <c r="Q13" s="408">
        <f t="shared" si="5"/>
        <v>315200</v>
      </c>
      <c r="R13" s="408">
        <f t="shared" si="5"/>
        <v>305900</v>
      </c>
      <c r="S13" s="408">
        <f t="shared" si="5"/>
        <v>296600</v>
      </c>
      <c r="T13" s="408">
        <f t="shared" si="5"/>
        <v>287300</v>
      </c>
      <c r="U13" s="408">
        <f t="shared" si="5"/>
        <v>278000</v>
      </c>
      <c r="V13" s="408">
        <f t="shared" si="5"/>
        <v>268700</v>
      </c>
      <c r="W13" s="408">
        <f t="shared" si="5"/>
        <v>259400</v>
      </c>
      <c r="X13" s="408">
        <f t="shared" si="5"/>
        <v>250100</v>
      </c>
      <c r="Y13" s="408">
        <f t="shared" si="5"/>
        <v>240800</v>
      </c>
      <c r="Z13" s="408">
        <f t="shared" si="5"/>
        <v>231500</v>
      </c>
      <c r="AA13" s="408">
        <f t="shared" si="5"/>
        <v>222200</v>
      </c>
      <c r="AB13" s="408">
        <f t="shared" si="5"/>
        <v>212900</v>
      </c>
      <c r="AC13" s="408">
        <f t="shared" si="5"/>
        <v>203600</v>
      </c>
      <c r="AD13" s="408">
        <f t="shared" si="5"/>
        <v>194300</v>
      </c>
      <c r="AE13" s="408">
        <f t="shared" si="5"/>
        <v>185000</v>
      </c>
      <c r="AF13" s="408">
        <f t="shared" si="5"/>
        <v>175700</v>
      </c>
      <c r="AG13" s="408">
        <f t="shared" si="5"/>
        <v>166400</v>
      </c>
      <c r="AH13" s="408">
        <f t="shared" si="5"/>
        <v>157100</v>
      </c>
      <c r="AI13" s="408"/>
      <c r="AM13" s="535"/>
      <c r="AO13" s="283"/>
      <c r="AQ13" s="283"/>
      <c r="AS13" s="283"/>
    </row>
    <row r="14" spans="1:45" s="71" customFormat="1" x14ac:dyDescent="0.2">
      <c r="A14" s="84" t="s">
        <v>11</v>
      </c>
      <c r="B14" s="408">
        <f>'Datu ievade'!B161-B25</f>
        <v>42934</v>
      </c>
      <c r="C14" s="408">
        <f t="shared" ref="C14:AH14" si="6">IF(B14&lt;B25,0,B14-B25)</f>
        <v>39868</v>
      </c>
      <c r="D14" s="408">
        <f t="shared" si="6"/>
        <v>36802</v>
      </c>
      <c r="E14" s="408">
        <f t="shared" si="6"/>
        <v>33736</v>
      </c>
      <c r="F14" s="408">
        <f t="shared" si="6"/>
        <v>30670</v>
      </c>
      <c r="G14" s="408">
        <f t="shared" si="6"/>
        <v>27604</v>
      </c>
      <c r="H14" s="408">
        <f t="shared" si="6"/>
        <v>24538</v>
      </c>
      <c r="I14" s="408">
        <f t="shared" si="6"/>
        <v>21472</v>
      </c>
      <c r="J14" s="408">
        <f t="shared" si="6"/>
        <v>18406</v>
      </c>
      <c r="K14" s="408">
        <f t="shared" si="6"/>
        <v>15340</v>
      </c>
      <c r="L14" s="408">
        <f t="shared" si="6"/>
        <v>12274</v>
      </c>
      <c r="M14" s="408">
        <f t="shared" si="6"/>
        <v>9208</v>
      </c>
      <c r="N14" s="408">
        <f t="shared" si="6"/>
        <v>6142</v>
      </c>
      <c r="O14" s="408">
        <f t="shared" si="6"/>
        <v>3076</v>
      </c>
      <c r="P14" s="408">
        <f t="shared" si="6"/>
        <v>10</v>
      </c>
      <c r="Q14" s="408">
        <f t="shared" si="6"/>
        <v>0</v>
      </c>
      <c r="R14" s="408">
        <f t="shared" si="6"/>
        <v>0</v>
      </c>
      <c r="S14" s="408">
        <f t="shared" si="6"/>
        <v>0</v>
      </c>
      <c r="T14" s="408">
        <f t="shared" si="6"/>
        <v>0</v>
      </c>
      <c r="U14" s="408">
        <f t="shared" si="6"/>
        <v>0</v>
      </c>
      <c r="V14" s="408">
        <f t="shared" si="6"/>
        <v>0</v>
      </c>
      <c r="W14" s="408">
        <f t="shared" si="6"/>
        <v>0</v>
      </c>
      <c r="X14" s="408">
        <f t="shared" si="6"/>
        <v>0</v>
      </c>
      <c r="Y14" s="408">
        <f t="shared" si="6"/>
        <v>0</v>
      </c>
      <c r="Z14" s="408">
        <f t="shared" si="6"/>
        <v>0</v>
      </c>
      <c r="AA14" s="408">
        <f t="shared" si="6"/>
        <v>0</v>
      </c>
      <c r="AB14" s="408">
        <f t="shared" si="6"/>
        <v>0</v>
      </c>
      <c r="AC14" s="408">
        <f t="shared" si="6"/>
        <v>0</v>
      </c>
      <c r="AD14" s="408">
        <f t="shared" si="6"/>
        <v>0</v>
      </c>
      <c r="AE14" s="408">
        <f t="shared" si="6"/>
        <v>0</v>
      </c>
      <c r="AF14" s="408">
        <f t="shared" si="6"/>
        <v>0</v>
      </c>
      <c r="AG14" s="408">
        <f t="shared" si="6"/>
        <v>0</v>
      </c>
      <c r="AH14" s="408">
        <f t="shared" si="6"/>
        <v>0</v>
      </c>
      <c r="AI14" s="408"/>
      <c r="AM14" s="535"/>
      <c r="AO14" s="283"/>
      <c r="AQ14" s="283"/>
      <c r="AS14" s="283"/>
    </row>
    <row r="15" spans="1:45" s="71" customFormat="1" x14ac:dyDescent="0.2">
      <c r="A15" s="84" t="s">
        <v>12</v>
      </c>
      <c r="B15" s="408">
        <f>'Datu ievade'!B162-B26</f>
        <v>0</v>
      </c>
      <c r="C15" s="408">
        <f t="shared" ref="C15:AH15" si="7">IF(B15&lt;B26,0,B15-B26)</f>
        <v>0</v>
      </c>
      <c r="D15" s="408">
        <f t="shared" si="7"/>
        <v>0</v>
      </c>
      <c r="E15" s="408">
        <f t="shared" si="7"/>
        <v>0</v>
      </c>
      <c r="F15" s="408">
        <f t="shared" si="7"/>
        <v>0</v>
      </c>
      <c r="G15" s="408">
        <f t="shared" si="7"/>
        <v>0</v>
      </c>
      <c r="H15" s="408">
        <f t="shared" si="7"/>
        <v>0</v>
      </c>
      <c r="I15" s="408">
        <f t="shared" si="7"/>
        <v>0</v>
      </c>
      <c r="J15" s="408">
        <f t="shared" si="7"/>
        <v>0</v>
      </c>
      <c r="K15" s="408">
        <f t="shared" si="7"/>
        <v>0</v>
      </c>
      <c r="L15" s="408">
        <f t="shared" si="7"/>
        <v>0</v>
      </c>
      <c r="M15" s="408">
        <f t="shared" si="7"/>
        <v>0</v>
      </c>
      <c r="N15" s="408">
        <f t="shared" si="7"/>
        <v>0</v>
      </c>
      <c r="O15" s="408">
        <f t="shared" si="7"/>
        <v>0</v>
      </c>
      <c r="P15" s="408">
        <f t="shared" si="7"/>
        <v>0</v>
      </c>
      <c r="Q15" s="408">
        <f t="shared" si="7"/>
        <v>0</v>
      </c>
      <c r="R15" s="408">
        <f t="shared" si="7"/>
        <v>0</v>
      </c>
      <c r="S15" s="408">
        <f t="shared" si="7"/>
        <v>0</v>
      </c>
      <c r="T15" s="408">
        <f t="shared" si="7"/>
        <v>0</v>
      </c>
      <c r="U15" s="408">
        <f t="shared" si="7"/>
        <v>0</v>
      </c>
      <c r="V15" s="408">
        <f t="shared" si="7"/>
        <v>0</v>
      </c>
      <c r="W15" s="408">
        <f t="shared" si="7"/>
        <v>0</v>
      </c>
      <c r="X15" s="408">
        <f t="shared" si="7"/>
        <v>0</v>
      </c>
      <c r="Y15" s="408">
        <f t="shared" si="7"/>
        <v>0</v>
      </c>
      <c r="Z15" s="408">
        <f t="shared" si="7"/>
        <v>0</v>
      </c>
      <c r="AA15" s="408">
        <f t="shared" si="7"/>
        <v>0</v>
      </c>
      <c r="AB15" s="408">
        <f t="shared" si="7"/>
        <v>0</v>
      </c>
      <c r="AC15" s="408">
        <f t="shared" si="7"/>
        <v>0</v>
      </c>
      <c r="AD15" s="408">
        <f t="shared" si="7"/>
        <v>0</v>
      </c>
      <c r="AE15" s="408">
        <f t="shared" si="7"/>
        <v>0</v>
      </c>
      <c r="AF15" s="408">
        <f t="shared" si="7"/>
        <v>0</v>
      </c>
      <c r="AG15" s="408">
        <f t="shared" si="7"/>
        <v>0</v>
      </c>
      <c r="AH15" s="408">
        <f t="shared" si="7"/>
        <v>0</v>
      </c>
      <c r="AI15" s="408"/>
      <c r="AM15" s="535"/>
      <c r="AO15" s="283"/>
      <c r="AQ15" s="283"/>
      <c r="AS15" s="283"/>
    </row>
    <row r="16" spans="1:45" s="71" customFormat="1" x14ac:dyDescent="0.2">
      <c r="A16" s="84" t="s">
        <v>44</v>
      </c>
      <c r="B16" s="408">
        <f>'Datu ievade'!B163-B27</f>
        <v>0</v>
      </c>
      <c r="C16" s="408">
        <f t="shared" ref="C16:AH16" si="8">IF(B16&lt;B27,0,B16-B27)</f>
        <v>0</v>
      </c>
      <c r="D16" s="408">
        <f t="shared" si="8"/>
        <v>0</v>
      </c>
      <c r="E16" s="408">
        <f t="shared" si="8"/>
        <v>0</v>
      </c>
      <c r="F16" s="408">
        <f t="shared" si="8"/>
        <v>0</v>
      </c>
      <c r="G16" s="408">
        <f t="shared" si="8"/>
        <v>0</v>
      </c>
      <c r="H16" s="408">
        <f t="shared" si="8"/>
        <v>0</v>
      </c>
      <c r="I16" s="408">
        <f t="shared" si="8"/>
        <v>0</v>
      </c>
      <c r="J16" s="408">
        <f t="shared" si="8"/>
        <v>0</v>
      </c>
      <c r="K16" s="408">
        <f t="shared" si="8"/>
        <v>0</v>
      </c>
      <c r="L16" s="408">
        <f t="shared" si="8"/>
        <v>0</v>
      </c>
      <c r="M16" s="408">
        <f t="shared" si="8"/>
        <v>0</v>
      </c>
      <c r="N16" s="408">
        <f t="shared" si="8"/>
        <v>0</v>
      </c>
      <c r="O16" s="408">
        <f t="shared" si="8"/>
        <v>0</v>
      </c>
      <c r="P16" s="408">
        <f t="shared" si="8"/>
        <v>0</v>
      </c>
      <c r="Q16" s="408">
        <f t="shared" si="8"/>
        <v>0</v>
      </c>
      <c r="R16" s="408">
        <f t="shared" si="8"/>
        <v>0</v>
      </c>
      <c r="S16" s="408">
        <f t="shared" si="8"/>
        <v>0</v>
      </c>
      <c r="T16" s="408">
        <f t="shared" si="8"/>
        <v>0</v>
      </c>
      <c r="U16" s="408">
        <f t="shared" si="8"/>
        <v>0</v>
      </c>
      <c r="V16" s="408">
        <f t="shared" si="8"/>
        <v>0</v>
      </c>
      <c r="W16" s="408">
        <f t="shared" si="8"/>
        <v>0</v>
      </c>
      <c r="X16" s="408">
        <f t="shared" si="8"/>
        <v>0</v>
      </c>
      <c r="Y16" s="408">
        <f t="shared" si="8"/>
        <v>0</v>
      </c>
      <c r="Z16" s="408">
        <f t="shared" si="8"/>
        <v>0</v>
      </c>
      <c r="AA16" s="408">
        <f t="shared" si="8"/>
        <v>0</v>
      </c>
      <c r="AB16" s="408">
        <f t="shared" si="8"/>
        <v>0</v>
      </c>
      <c r="AC16" s="408">
        <f t="shared" si="8"/>
        <v>0</v>
      </c>
      <c r="AD16" s="408">
        <f t="shared" si="8"/>
        <v>0</v>
      </c>
      <c r="AE16" s="408">
        <f t="shared" si="8"/>
        <v>0</v>
      </c>
      <c r="AF16" s="408">
        <f t="shared" si="8"/>
        <v>0</v>
      </c>
      <c r="AG16" s="408">
        <f t="shared" si="8"/>
        <v>0</v>
      </c>
      <c r="AH16" s="408">
        <f t="shared" si="8"/>
        <v>0</v>
      </c>
      <c r="AI16" s="408"/>
      <c r="AM16" s="535"/>
      <c r="AO16" s="283"/>
      <c r="AQ16" s="283"/>
      <c r="AS16" s="283"/>
    </row>
    <row r="17" spans="1:47" s="71" customFormat="1" x14ac:dyDescent="0.2">
      <c r="A17" s="412" t="s">
        <v>45</v>
      </c>
      <c r="B17" s="413">
        <f t="shared" ref="B17:AH17" si="9">SUM(B8:B16)</f>
        <v>1107568</v>
      </c>
      <c r="C17" s="413">
        <f t="shared" si="9"/>
        <v>1079136</v>
      </c>
      <c r="D17" s="413">
        <f t="shared" si="9"/>
        <v>1050704</v>
      </c>
      <c r="E17" s="413">
        <f t="shared" si="9"/>
        <v>1022272</v>
      </c>
      <c r="F17" s="414">
        <f t="shared" si="9"/>
        <v>993840</v>
      </c>
      <c r="G17" s="413">
        <f t="shared" si="9"/>
        <v>965408</v>
      </c>
      <c r="H17" s="413">
        <f t="shared" si="9"/>
        <v>936976</v>
      </c>
      <c r="I17" s="413">
        <f t="shared" si="9"/>
        <v>908544</v>
      </c>
      <c r="J17" s="413">
        <f t="shared" si="9"/>
        <v>880112</v>
      </c>
      <c r="K17" s="413">
        <f t="shared" si="9"/>
        <v>851680</v>
      </c>
      <c r="L17" s="413">
        <f t="shared" si="9"/>
        <v>823248</v>
      </c>
      <c r="M17" s="413">
        <f t="shared" si="9"/>
        <v>794816</v>
      </c>
      <c r="N17" s="413">
        <f t="shared" si="9"/>
        <v>766384</v>
      </c>
      <c r="O17" s="413">
        <f t="shared" si="9"/>
        <v>737952</v>
      </c>
      <c r="P17" s="413">
        <f t="shared" si="9"/>
        <v>709520</v>
      </c>
      <c r="Q17" s="413">
        <f t="shared" si="9"/>
        <v>689200</v>
      </c>
      <c r="R17" s="413">
        <f t="shared" si="9"/>
        <v>668900</v>
      </c>
      <c r="S17" s="413">
        <f t="shared" si="9"/>
        <v>648600</v>
      </c>
      <c r="T17" s="413">
        <f t="shared" si="9"/>
        <v>628300</v>
      </c>
      <c r="U17" s="413">
        <f t="shared" si="9"/>
        <v>608000</v>
      </c>
      <c r="V17" s="413">
        <f t="shared" si="9"/>
        <v>587700</v>
      </c>
      <c r="W17" s="413">
        <f t="shared" si="9"/>
        <v>567400</v>
      </c>
      <c r="X17" s="413">
        <f t="shared" si="9"/>
        <v>547100</v>
      </c>
      <c r="Y17" s="413">
        <f t="shared" si="9"/>
        <v>526800</v>
      </c>
      <c r="Z17" s="413">
        <f t="shared" si="9"/>
        <v>506500</v>
      </c>
      <c r="AA17" s="413">
        <f t="shared" si="9"/>
        <v>486200</v>
      </c>
      <c r="AB17" s="413">
        <f t="shared" si="9"/>
        <v>465900</v>
      </c>
      <c r="AC17" s="413">
        <f t="shared" si="9"/>
        <v>445600</v>
      </c>
      <c r="AD17" s="413">
        <f t="shared" si="9"/>
        <v>425300</v>
      </c>
      <c r="AE17" s="413">
        <f t="shared" si="9"/>
        <v>405000</v>
      </c>
      <c r="AF17" s="413">
        <f t="shared" si="9"/>
        <v>384700</v>
      </c>
      <c r="AG17" s="413">
        <f t="shared" si="9"/>
        <v>364400</v>
      </c>
      <c r="AH17" s="413">
        <f t="shared" si="9"/>
        <v>344100</v>
      </c>
      <c r="AI17" s="413"/>
      <c r="AM17" s="535"/>
      <c r="AO17" s="283"/>
      <c r="AQ17" s="283"/>
      <c r="AS17" s="283"/>
    </row>
    <row r="18" spans="1:47" s="193" customFormat="1" ht="25.5" x14ac:dyDescent="0.2">
      <c r="A18" s="415" t="s">
        <v>46</v>
      </c>
      <c r="B18" s="416"/>
      <c r="C18" s="410"/>
      <c r="D18" s="410"/>
      <c r="E18" s="410"/>
      <c r="F18" s="411"/>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M18" s="535"/>
      <c r="AO18" s="283"/>
      <c r="AP18" s="71"/>
      <c r="AQ18" s="283"/>
      <c r="AR18" s="71"/>
      <c r="AS18" s="283"/>
    </row>
    <row r="19" spans="1:47" s="71" customFormat="1" x14ac:dyDescent="0.2">
      <c r="A19" s="92" t="s">
        <v>10</v>
      </c>
      <c r="B19" s="408">
        <f>'Datu ievade'!B166</f>
        <v>11000</v>
      </c>
      <c r="C19" s="408">
        <f t="shared" ref="C19:AH19" si="10">IF(B19&gt;B8,B8,B19)</f>
        <v>11000</v>
      </c>
      <c r="D19" s="408">
        <f t="shared" si="10"/>
        <v>11000</v>
      </c>
      <c r="E19" s="408">
        <f t="shared" si="10"/>
        <v>11000</v>
      </c>
      <c r="F19" s="408">
        <f t="shared" si="10"/>
        <v>11000</v>
      </c>
      <c r="G19" s="408">
        <f t="shared" si="10"/>
        <v>11000</v>
      </c>
      <c r="H19" s="408">
        <f t="shared" si="10"/>
        <v>11000</v>
      </c>
      <c r="I19" s="408">
        <f t="shared" si="10"/>
        <v>11000</v>
      </c>
      <c r="J19" s="408">
        <f t="shared" si="10"/>
        <v>11000</v>
      </c>
      <c r="K19" s="408">
        <f t="shared" si="10"/>
        <v>11000</v>
      </c>
      <c r="L19" s="408">
        <f t="shared" si="10"/>
        <v>11000</v>
      </c>
      <c r="M19" s="408">
        <f t="shared" si="10"/>
        <v>11000</v>
      </c>
      <c r="N19" s="408">
        <f t="shared" si="10"/>
        <v>11000</v>
      </c>
      <c r="O19" s="408">
        <f t="shared" si="10"/>
        <v>11000</v>
      </c>
      <c r="P19" s="408">
        <f t="shared" si="10"/>
        <v>11000</v>
      </c>
      <c r="Q19" s="408">
        <f t="shared" si="10"/>
        <v>11000</v>
      </c>
      <c r="R19" s="408">
        <f t="shared" si="10"/>
        <v>11000</v>
      </c>
      <c r="S19" s="408">
        <f t="shared" si="10"/>
        <v>11000</v>
      </c>
      <c r="T19" s="408">
        <f t="shared" si="10"/>
        <v>11000</v>
      </c>
      <c r="U19" s="408">
        <f t="shared" si="10"/>
        <v>11000</v>
      </c>
      <c r="V19" s="408">
        <f t="shared" si="10"/>
        <v>11000</v>
      </c>
      <c r="W19" s="408">
        <f t="shared" si="10"/>
        <v>11000</v>
      </c>
      <c r="X19" s="408">
        <f t="shared" si="10"/>
        <v>11000</v>
      </c>
      <c r="Y19" s="408">
        <f t="shared" si="10"/>
        <v>11000</v>
      </c>
      <c r="Z19" s="408">
        <f t="shared" si="10"/>
        <v>11000</v>
      </c>
      <c r="AA19" s="408">
        <f t="shared" si="10"/>
        <v>11000</v>
      </c>
      <c r="AB19" s="408">
        <f t="shared" si="10"/>
        <v>11000</v>
      </c>
      <c r="AC19" s="408">
        <f t="shared" si="10"/>
        <v>11000</v>
      </c>
      <c r="AD19" s="408">
        <f t="shared" si="10"/>
        <v>11000</v>
      </c>
      <c r="AE19" s="408">
        <f t="shared" si="10"/>
        <v>11000</v>
      </c>
      <c r="AF19" s="408">
        <f t="shared" si="10"/>
        <v>11000</v>
      </c>
      <c r="AG19" s="408">
        <f t="shared" si="10"/>
        <v>11000</v>
      </c>
      <c r="AH19" s="408">
        <f t="shared" si="10"/>
        <v>11000</v>
      </c>
      <c r="AI19" s="408"/>
      <c r="AM19" s="535"/>
      <c r="AO19" s="283"/>
      <c r="AQ19" s="283"/>
      <c r="AS19" s="283"/>
    </row>
    <row r="20" spans="1:47" s="71" customFormat="1" x14ac:dyDescent="0.2">
      <c r="A20" s="92" t="s">
        <v>11</v>
      </c>
      <c r="B20" s="408">
        <f>'Datu ievade'!B167</f>
        <v>5066</v>
      </c>
      <c r="C20" s="408">
        <f t="shared" ref="C20:AH20" si="11">IF(B20&gt;B9,B9,B20)</f>
        <v>5066</v>
      </c>
      <c r="D20" s="408">
        <f t="shared" si="11"/>
        <v>5066</v>
      </c>
      <c r="E20" s="408">
        <f t="shared" si="11"/>
        <v>5066</v>
      </c>
      <c r="F20" s="408">
        <f t="shared" si="11"/>
        <v>5066</v>
      </c>
      <c r="G20" s="408">
        <f t="shared" si="11"/>
        <v>5066</v>
      </c>
      <c r="H20" s="408">
        <f t="shared" si="11"/>
        <v>5066</v>
      </c>
      <c r="I20" s="408">
        <f t="shared" si="11"/>
        <v>5066</v>
      </c>
      <c r="J20" s="408">
        <f t="shared" si="11"/>
        <v>5066</v>
      </c>
      <c r="K20" s="408">
        <f t="shared" si="11"/>
        <v>5066</v>
      </c>
      <c r="L20" s="408">
        <f t="shared" si="11"/>
        <v>5066</v>
      </c>
      <c r="M20" s="408">
        <f t="shared" si="11"/>
        <v>5066</v>
      </c>
      <c r="N20" s="408">
        <f t="shared" si="11"/>
        <v>5066</v>
      </c>
      <c r="O20" s="408">
        <f t="shared" si="11"/>
        <v>5066</v>
      </c>
      <c r="P20" s="408">
        <f t="shared" si="11"/>
        <v>5066</v>
      </c>
      <c r="Q20" s="408">
        <f t="shared" si="11"/>
        <v>10</v>
      </c>
      <c r="R20" s="408">
        <f t="shared" si="11"/>
        <v>0</v>
      </c>
      <c r="S20" s="408">
        <f t="shared" si="11"/>
        <v>0</v>
      </c>
      <c r="T20" s="408">
        <f t="shared" si="11"/>
        <v>0</v>
      </c>
      <c r="U20" s="408">
        <f t="shared" si="11"/>
        <v>0</v>
      </c>
      <c r="V20" s="408">
        <f t="shared" si="11"/>
        <v>0</v>
      </c>
      <c r="W20" s="408">
        <f t="shared" si="11"/>
        <v>0</v>
      </c>
      <c r="X20" s="408">
        <f t="shared" si="11"/>
        <v>0</v>
      </c>
      <c r="Y20" s="408">
        <f t="shared" si="11"/>
        <v>0</v>
      </c>
      <c r="Z20" s="408">
        <f t="shared" si="11"/>
        <v>0</v>
      </c>
      <c r="AA20" s="408">
        <f t="shared" si="11"/>
        <v>0</v>
      </c>
      <c r="AB20" s="408">
        <f t="shared" si="11"/>
        <v>0</v>
      </c>
      <c r="AC20" s="408">
        <f t="shared" si="11"/>
        <v>0</v>
      </c>
      <c r="AD20" s="408">
        <f t="shared" si="11"/>
        <v>0</v>
      </c>
      <c r="AE20" s="408">
        <f t="shared" si="11"/>
        <v>0</v>
      </c>
      <c r="AF20" s="408">
        <f t="shared" si="11"/>
        <v>0</v>
      </c>
      <c r="AG20" s="408">
        <f t="shared" si="11"/>
        <v>0</v>
      </c>
      <c r="AH20" s="408">
        <f t="shared" si="11"/>
        <v>0</v>
      </c>
      <c r="AI20" s="408"/>
      <c r="AM20" s="535"/>
      <c r="AO20" s="283"/>
      <c r="AQ20" s="283"/>
      <c r="AS20" s="283"/>
    </row>
    <row r="21" spans="1:47" s="71" customFormat="1" x14ac:dyDescent="0.2">
      <c r="A21" s="92" t="s">
        <v>12</v>
      </c>
      <c r="B21" s="408">
        <f>'Datu ievade'!B168</f>
        <v>0</v>
      </c>
      <c r="C21" s="408">
        <f t="shared" ref="C21:AH21" si="12">IF(B21&gt;B10,B10,B21)</f>
        <v>0</v>
      </c>
      <c r="D21" s="408">
        <f t="shared" si="12"/>
        <v>0</v>
      </c>
      <c r="E21" s="408">
        <f t="shared" si="12"/>
        <v>0</v>
      </c>
      <c r="F21" s="408">
        <f t="shared" si="12"/>
        <v>0</v>
      </c>
      <c r="G21" s="408">
        <f t="shared" si="12"/>
        <v>0</v>
      </c>
      <c r="H21" s="408">
        <f t="shared" si="12"/>
        <v>0</v>
      </c>
      <c r="I21" s="408">
        <f t="shared" si="12"/>
        <v>0</v>
      </c>
      <c r="J21" s="408">
        <f t="shared" si="12"/>
        <v>0</v>
      </c>
      <c r="K21" s="408">
        <f t="shared" si="12"/>
        <v>0</v>
      </c>
      <c r="L21" s="408">
        <f t="shared" si="12"/>
        <v>0</v>
      </c>
      <c r="M21" s="408">
        <f t="shared" si="12"/>
        <v>0</v>
      </c>
      <c r="N21" s="408">
        <f t="shared" si="12"/>
        <v>0</v>
      </c>
      <c r="O21" s="408">
        <f t="shared" si="12"/>
        <v>0</v>
      </c>
      <c r="P21" s="408">
        <f t="shared" si="12"/>
        <v>0</v>
      </c>
      <c r="Q21" s="408">
        <f t="shared" si="12"/>
        <v>0</v>
      </c>
      <c r="R21" s="408">
        <f t="shared" si="12"/>
        <v>0</v>
      </c>
      <c r="S21" s="408">
        <f t="shared" si="12"/>
        <v>0</v>
      </c>
      <c r="T21" s="408">
        <f t="shared" si="12"/>
        <v>0</v>
      </c>
      <c r="U21" s="408">
        <f t="shared" si="12"/>
        <v>0</v>
      </c>
      <c r="V21" s="408">
        <f t="shared" si="12"/>
        <v>0</v>
      </c>
      <c r="W21" s="408">
        <f t="shared" si="12"/>
        <v>0</v>
      </c>
      <c r="X21" s="408">
        <f t="shared" si="12"/>
        <v>0</v>
      </c>
      <c r="Y21" s="408">
        <f t="shared" si="12"/>
        <v>0</v>
      </c>
      <c r="Z21" s="408">
        <f t="shared" si="12"/>
        <v>0</v>
      </c>
      <c r="AA21" s="408">
        <f t="shared" si="12"/>
        <v>0</v>
      </c>
      <c r="AB21" s="408">
        <f t="shared" si="12"/>
        <v>0</v>
      </c>
      <c r="AC21" s="408">
        <f t="shared" si="12"/>
        <v>0</v>
      </c>
      <c r="AD21" s="408">
        <f t="shared" si="12"/>
        <v>0</v>
      </c>
      <c r="AE21" s="408">
        <f t="shared" si="12"/>
        <v>0</v>
      </c>
      <c r="AF21" s="408">
        <f t="shared" si="12"/>
        <v>0</v>
      </c>
      <c r="AG21" s="408">
        <f t="shared" si="12"/>
        <v>0</v>
      </c>
      <c r="AH21" s="408">
        <f t="shared" si="12"/>
        <v>0</v>
      </c>
      <c r="AI21" s="408"/>
      <c r="AM21" s="535"/>
      <c r="AO21" s="283"/>
      <c r="AQ21" s="283"/>
      <c r="AS21" s="283"/>
    </row>
    <row r="22" spans="1:47" s="71" customFormat="1" x14ac:dyDescent="0.2">
      <c r="A22" s="92" t="s">
        <v>44</v>
      </c>
      <c r="B22" s="408">
        <f>'Datu ievade'!B169</f>
        <v>0</v>
      </c>
      <c r="C22" s="408">
        <f t="shared" ref="C22:AH22" si="13">IF(B22&gt;B11,B11,B22)</f>
        <v>0</v>
      </c>
      <c r="D22" s="408">
        <f t="shared" si="13"/>
        <v>0</v>
      </c>
      <c r="E22" s="408">
        <f t="shared" si="13"/>
        <v>0</v>
      </c>
      <c r="F22" s="408">
        <f t="shared" si="13"/>
        <v>0</v>
      </c>
      <c r="G22" s="408">
        <f t="shared" si="13"/>
        <v>0</v>
      </c>
      <c r="H22" s="408">
        <f t="shared" si="13"/>
        <v>0</v>
      </c>
      <c r="I22" s="408">
        <f t="shared" si="13"/>
        <v>0</v>
      </c>
      <c r="J22" s="408">
        <f t="shared" si="13"/>
        <v>0</v>
      </c>
      <c r="K22" s="408">
        <f t="shared" si="13"/>
        <v>0</v>
      </c>
      <c r="L22" s="408">
        <f t="shared" si="13"/>
        <v>0</v>
      </c>
      <c r="M22" s="408">
        <f t="shared" si="13"/>
        <v>0</v>
      </c>
      <c r="N22" s="408">
        <f t="shared" si="13"/>
        <v>0</v>
      </c>
      <c r="O22" s="408">
        <f t="shared" si="13"/>
        <v>0</v>
      </c>
      <c r="P22" s="408">
        <f t="shared" si="13"/>
        <v>0</v>
      </c>
      <c r="Q22" s="408">
        <f t="shared" si="13"/>
        <v>0</v>
      </c>
      <c r="R22" s="408">
        <f t="shared" si="13"/>
        <v>0</v>
      </c>
      <c r="S22" s="408">
        <f t="shared" si="13"/>
        <v>0</v>
      </c>
      <c r="T22" s="408">
        <f t="shared" si="13"/>
        <v>0</v>
      </c>
      <c r="U22" s="408">
        <f t="shared" si="13"/>
        <v>0</v>
      </c>
      <c r="V22" s="408">
        <f t="shared" si="13"/>
        <v>0</v>
      </c>
      <c r="W22" s="408">
        <f t="shared" si="13"/>
        <v>0</v>
      </c>
      <c r="X22" s="408">
        <f t="shared" si="13"/>
        <v>0</v>
      </c>
      <c r="Y22" s="408">
        <f t="shared" si="13"/>
        <v>0</v>
      </c>
      <c r="Z22" s="408">
        <f t="shared" si="13"/>
        <v>0</v>
      </c>
      <c r="AA22" s="408">
        <f t="shared" si="13"/>
        <v>0</v>
      </c>
      <c r="AB22" s="408">
        <f t="shared" si="13"/>
        <v>0</v>
      </c>
      <c r="AC22" s="408">
        <f t="shared" si="13"/>
        <v>0</v>
      </c>
      <c r="AD22" s="408">
        <f t="shared" si="13"/>
        <v>0</v>
      </c>
      <c r="AE22" s="408">
        <f t="shared" si="13"/>
        <v>0</v>
      </c>
      <c r="AF22" s="408">
        <f t="shared" si="13"/>
        <v>0</v>
      </c>
      <c r="AG22" s="408">
        <f t="shared" si="13"/>
        <v>0</v>
      </c>
      <c r="AH22" s="408">
        <f t="shared" si="13"/>
        <v>0</v>
      </c>
      <c r="AI22" s="408"/>
      <c r="AM22" s="535"/>
      <c r="AO22" s="283"/>
      <c r="AQ22" s="283"/>
      <c r="AS22" s="283"/>
    </row>
    <row r="23" spans="1:47" s="193" customFormat="1" ht="25.5" x14ac:dyDescent="0.2">
      <c r="A23" s="415" t="s">
        <v>47</v>
      </c>
      <c r="B23" s="416"/>
      <c r="C23" s="410"/>
      <c r="D23" s="410"/>
      <c r="E23" s="410"/>
      <c r="F23" s="411"/>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M23" s="535"/>
      <c r="AO23" s="283"/>
      <c r="AP23" s="71"/>
      <c r="AQ23" s="283"/>
      <c r="AR23" s="71"/>
      <c r="AS23" s="283"/>
    </row>
    <row r="24" spans="1:47" s="71" customFormat="1" x14ac:dyDescent="0.2">
      <c r="A24" s="84" t="s">
        <v>10</v>
      </c>
      <c r="B24" s="408">
        <f>'Datu ievade'!B171</f>
        <v>9300</v>
      </c>
      <c r="C24" s="408">
        <f t="shared" ref="C24:AH24" si="14">IF(B24&gt;B13,B13,B24)</f>
        <v>9300</v>
      </c>
      <c r="D24" s="408">
        <f t="shared" si="14"/>
        <v>9300</v>
      </c>
      <c r="E24" s="408">
        <f t="shared" si="14"/>
        <v>9300</v>
      </c>
      <c r="F24" s="408">
        <f t="shared" si="14"/>
        <v>9300</v>
      </c>
      <c r="G24" s="408">
        <f t="shared" si="14"/>
        <v>9300</v>
      </c>
      <c r="H24" s="408">
        <f t="shared" si="14"/>
        <v>9300</v>
      </c>
      <c r="I24" s="408">
        <f t="shared" si="14"/>
        <v>9300</v>
      </c>
      <c r="J24" s="408">
        <f t="shared" si="14"/>
        <v>9300</v>
      </c>
      <c r="K24" s="408">
        <f t="shared" si="14"/>
        <v>9300</v>
      </c>
      <c r="L24" s="408">
        <f t="shared" si="14"/>
        <v>9300</v>
      </c>
      <c r="M24" s="408">
        <f t="shared" si="14"/>
        <v>9300</v>
      </c>
      <c r="N24" s="408">
        <f t="shared" si="14"/>
        <v>9300</v>
      </c>
      <c r="O24" s="408">
        <f t="shared" si="14"/>
        <v>9300</v>
      </c>
      <c r="P24" s="408">
        <f t="shared" si="14"/>
        <v>9300</v>
      </c>
      <c r="Q24" s="408">
        <f t="shared" si="14"/>
        <v>9300</v>
      </c>
      <c r="R24" s="408">
        <f t="shared" si="14"/>
        <v>9300</v>
      </c>
      <c r="S24" s="408">
        <f t="shared" si="14"/>
        <v>9300</v>
      </c>
      <c r="T24" s="408">
        <f t="shared" si="14"/>
        <v>9300</v>
      </c>
      <c r="U24" s="408">
        <f t="shared" si="14"/>
        <v>9300</v>
      </c>
      <c r="V24" s="408">
        <f t="shared" si="14"/>
        <v>9300</v>
      </c>
      <c r="W24" s="408">
        <f t="shared" si="14"/>
        <v>9300</v>
      </c>
      <c r="X24" s="408">
        <f t="shared" si="14"/>
        <v>9300</v>
      </c>
      <c r="Y24" s="408">
        <f t="shared" si="14"/>
        <v>9300</v>
      </c>
      <c r="Z24" s="408">
        <f t="shared" si="14"/>
        <v>9300</v>
      </c>
      <c r="AA24" s="408">
        <f t="shared" si="14"/>
        <v>9300</v>
      </c>
      <c r="AB24" s="408">
        <f t="shared" si="14"/>
        <v>9300</v>
      </c>
      <c r="AC24" s="408">
        <f t="shared" si="14"/>
        <v>9300</v>
      </c>
      <c r="AD24" s="408">
        <f t="shared" si="14"/>
        <v>9300</v>
      </c>
      <c r="AE24" s="408">
        <f t="shared" si="14"/>
        <v>9300</v>
      </c>
      <c r="AF24" s="408">
        <f t="shared" si="14"/>
        <v>9300</v>
      </c>
      <c r="AG24" s="408">
        <f t="shared" si="14"/>
        <v>9300</v>
      </c>
      <c r="AH24" s="408">
        <f t="shared" si="14"/>
        <v>9300</v>
      </c>
      <c r="AI24" s="408"/>
      <c r="AM24" s="535"/>
      <c r="AO24" s="283"/>
      <c r="AQ24" s="283"/>
      <c r="AS24" s="283"/>
    </row>
    <row r="25" spans="1:47" s="71" customFormat="1" x14ac:dyDescent="0.2">
      <c r="A25" s="84" t="s">
        <v>11</v>
      </c>
      <c r="B25" s="408">
        <f>'Datu ievade'!B172</f>
        <v>3066</v>
      </c>
      <c r="C25" s="408">
        <f t="shared" ref="C25:AH25" si="15">IF(B25&gt;B14,B14,B25)</f>
        <v>3066</v>
      </c>
      <c r="D25" s="408">
        <f t="shared" si="15"/>
        <v>3066</v>
      </c>
      <c r="E25" s="408">
        <f t="shared" si="15"/>
        <v>3066</v>
      </c>
      <c r="F25" s="408">
        <f t="shared" si="15"/>
        <v>3066</v>
      </c>
      <c r="G25" s="408">
        <f t="shared" si="15"/>
        <v>3066</v>
      </c>
      <c r="H25" s="408">
        <f t="shared" si="15"/>
        <v>3066</v>
      </c>
      <c r="I25" s="408">
        <f t="shared" si="15"/>
        <v>3066</v>
      </c>
      <c r="J25" s="408">
        <f t="shared" si="15"/>
        <v>3066</v>
      </c>
      <c r="K25" s="408">
        <f t="shared" si="15"/>
        <v>3066</v>
      </c>
      <c r="L25" s="408">
        <f t="shared" si="15"/>
        <v>3066</v>
      </c>
      <c r="M25" s="408">
        <f t="shared" si="15"/>
        <v>3066</v>
      </c>
      <c r="N25" s="408">
        <f t="shared" si="15"/>
        <v>3066</v>
      </c>
      <c r="O25" s="408">
        <f t="shared" si="15"/>
        <v>3066</v>
      </c>
      <c r="P25" s="408">
        <f t="shared" si="15"/>
        <v>3066</v>
      </c>
      <c r="Q25" s="408">
        <f t="shared" si="15"/>
        <v>10</v>
      </c>
      <c r="R25" s="408">
        <f t="shared" si="15"/>
        <v>0</v>
      </c>
      <c r="S25" s="408">
        <f t="shared" si="15"/>
        <v>0</v>
      </c>
      <c r="T25" s="408">
        <f t="shared" si="15"/>
        <v>0</v>
      </c>
      <c r="U25" s="408">
        <f t="shared" si="15"/>
        <v>0</v>
      </c>
      <c r="V25" s="408">
        <f t="shared" si="15"/>
        <v>0</v>
      </c>
      <c r="W25" s="408">
        <f t="shared" si="15"/>
        <v>0</v>
      </c>
      <c r="X25" s="408">
        <f t="shared" si="15"/>
        <v>0</v>
      </c>
      <c r="Y25" s="408">
        <f t="shared" si="15"/>
        <v>0</v>
      </c>
      <c r="Z25" s="408">
        <f t="shared" si="15"/>
        <v>0</v>
      </c>
      <c r="AA25" s="408">
        <f t="shared" si="15"/>
        <v>0</v>
      </c>
      <c r="AB25" s="408">
        <f t="shared" si="15"/>
        <v>0</v>
      </c>
      <c r="AC25" s="408">
        <f t="shared" si="15"/>
        <v>0</v>
      </c>
      <c r="AD25" s="408">
        <f t="shared" si="15"/>
        <v>0</v>
      </c>
      <c r="AE25" s="408">
        <f t="shared" si="15"/>
        <v>0</v>
      </c>
      <c r="AF25" s="408">
        <f t="shared" si="15"/>
        <v>0</v>
      </c>
      <c r="AG25" s="408">
        <f t="shared" si="15"/>
        <v>0</v>
      </c>
      <c r="AH25" s="408">
        <f t="shared" si="15"/>
        <v>0</v>
      </c>
      <c r="AI25" s="408"/>
      <c r="AM25" s="535"/>
      <c r="AO25" s="283"/>
      <c r="AQ25" s="283"/>
      <c r="AS25" s="283"/>
    </row>
    <row r="26" spans="1:47" s="71" customFormat="1" x14ac:dyDescent="0.2">
      <c r="A26" s="84" t="s">
        <v>12</v>
      </c>
      <c r="B26" s="408">
        <f>'Datu ievade'!B173</f>
        <v>0</v>
      </c>
      <c r="C26" s="408">
        <f t="shared" ref="C26:AH26" si="16">IF(B26&gt;B15,B15,B26)</f>
        <v>0</v>
      </c>
      <c r="D26" s="408">
        <f t="shared" si="16"/>
        <v>0</v>
      </c>
      <c r="E26" s="408">
        <f t="shared" si="16"/>
        <v>0</v>
      </c>
      <c r="F26" s="408">
        <f t="shared" si="16"/>
        <v>0</v>
      </c>
      <c r="G26" s="408">
        <f t="shared" si="16"/>
        <v>0</v>
      </c>
      <c r="H26" s="408">
        <f t="shared" si="16"/>
        <v>0</v>
      </c>
      <c r="I26" s="408">
        <f t="shared" si="16"/>
        <v>0</v>
      </c>
      <c r="J26" s="408">
        <f t="shared" si="16"/>
        <v>0</v>
      </c>
      <c r="K26" s="408">
        <f t="shared" si="16"/>
        <v>0</v>
      </c>
      <c r="L26" s="408">
        <f t="shared" si="16"/>
        <v>0</v>
      </c>
      <c r="M26" s="408">
        <f t="shared" si="16"/>
        <v>0</v>
      </c>
      <c r="N26" s="408">
        <f t="shared" si="16"/>
        <v>0</v>
      </c>
      <c r="O26" s="408">
        <f t="shared" si="16"/>
        <v>0</v>
      </c>
      <c r="P26" s="408">
        <f t="shared" si="16"/>
        <v>0</v>
      </c>
      <c r="Q26" s="408">
        <f t="shared" si="16"/>
        <v>0</v>
      </c>
      <c r="R26" s="408">
        <f t="shared" si="16"/>
        <v>0</v>
      </c>
      <c r="S26" s="408">
        <f t="shared" si="16"/>
        <v>0</v>
      </c>
      <c r="T26" s="408">
        <f t="shared" si="16"/>
        <v>0</v>
      </c>
      <c r="U26" s="408">
        <f t="shared" si="16"/>
        <v>0</v>
      </c>
      <c r="V26" s="408">
        <f t="shared" si="16"/>
        <v>0</v>
      </c>
      <c r="W26" s="408">
        <f t="shared" si="16"/>
        <v>0</v>
      </c>
      <c r="X26" s="408">
        <f t="shared" si="16"/>
        <v>0</v>
      </c>
      <c r="Y26" s="408">
        <f t="shared" si="16"/>
        <v>0</v>
      </c>
      <c r="Z26" s="408">
        <f t="shared" si="16"/>
        <v>0</v>
      </c>
      <c r="AA26" s="408">
        <f t="shared" si="16"/>
        <v>0</v>
      </c>
      <c r="AB26" s="408">
        <f t="shared" si="16"/>
        <v>0</v>
      </c>
      <c r="AC26" s="408">
        <f t="shared" si="16"/>
        <v>0</v>
      </c>
      <c r="AD26" s="408">
        <f t="shared" si="16"/>
        <v>0</v>
      </c>
      <c r="AE26" s="408">
        <f t="shared" si="16"/>
        <v>0</v>
      </c>
      <c r="AF26" s="408">
        <f t="shared" si="16"/>
        <v>0</v>
      </c>
      <c r="AG26" s="408">
        <f t="shared" si="16"/>
        <v>0</v>
      </c>
      <c r="AH26" s="408">
        <f t="shared" si="16"/>
        <v>0</v>
      </c>
      <c r="AI26" s="408"/>
      <c r="AM26" s="535"/>
      <c r="AO26" s="283"/>
      <c r="AQ26" s="283"/>
      <c r="AS26" s="283"/>
    </row>
    <row r="27" spans="1:47" s="71" customFormat="1" x14ac:dyDescent="0.2">
      <c r="A27" s="84" t="s">
        <v>44</v>
      </c>
      <c r="B27" s="408">
        <f>'Datu ievade'!B174</f>
        <v>0</v>
      </c>
      <c r="C27" s="408">
        <f t="shared" ref="C27:AH27" si="17">IF(B27&gt;B16,B16,B27)</f>
        <v>0</v>
      </c>
      <c r="D27" s="408">
        <f t="shared" si="17"/>
        <v>0</v>
      </c>
      <c r="E27" s="408">
        <f t="shared" si="17"/>
        <v>0</v>
      </c>
      <c r="F27" s="408">
        <f t="shared" si="17"/>
        <v>0</v>
      </c>
      <c r="G27" s="408">
        <f t="shared" si="17"/>
        <v>0</v>
      </c>
      <c r="H27" s="408">
        <f t="shared" si="17"/>
        <v>0</v>
      </c>
      <c r="I27" s="408">
        <f t="shared" si="17"/>
        <v>0</v>
      </c>
      <c r="J27" s="408">
        <f t="shared" si="17"/>
        <v>0</v>
      </c>
      <c r="K27" s="408">
        <f t="shared" si="17"/>
        <v>0</v>
      </c>
      <c r="L27" s="408">
        <f t="shared" si="17"/>
        <v>0</v>
      </c>
      <c r="M27" s="408">
        <f t="shared" si="17"/>
        <v>0</v>
      </c>
      <c r="N27" s="408">
        <f t="shared" si="17"/>
        <v>0</v>
      </c>
      <c r="O27" s="408">
        <f t="shared" si="17"/>
        <v>0</v>
      </c>
      <c r="P27" s="408">
        <f t="shared" si="17"/>
        <v>0</v>
      </c>
      <c r="Q27" s="408">
        <f t="shared" si="17"/>
        <v>0</v>
      </c>
      <c r="R27" s="408">
        <f t="shared" si="17"/>
        <v>0</v>
      </c>
      <c r="S27" s="408">
        <f t="shared" si="17"/>
        <v>0</v>
      </c>
      <c r="T27" s="408">
        <f t="shared" si="17"/>
        <v>0</v>
      </c>
      <c r="U27" s="408">
        <f t="shared" si="17"/>
        <v>0</v>
      </c>
      <c r="V27" s="408">
        <f t="shared" si="17"/>
        <v>0</v>
      </c>
      <c r="W27" s="408">
        <f t="shared" si="17"/>
        <v>0</v>
      </c>
      <c r="X27" s="408">
        <f t="shared" si="17"/>
        <v>0</v>
      </c>
      <c r="Y27" s="408">
        <f t="shared" si="17"/>
        <v>0</v>
      </c>
      <c r="Z27" s="408">
        <f t="shared" si="17"/>
        <v>0</v>
      </c>
      <c r="AA27" s="408">
        <f t="shared" si="17"/>
        <v>0</v>
      </c>
      <c r="AB27" s="408">
        <f t="shared" si="17"/>
        <v>0</v>
      </c>
      <c r="AC27" s="408">
        <f t="shared" si="17"/>
        <v>0</v>
      </c>
      <c r="AD27" s="408">
        <f t="shared" si="17"/>
        <v>0</v>
      </c>
      <c r="AE27" s="408">
        <f t="shared" si="17"/>
        <v>0</v>
      </c>
      <c r="AF27" s="408">
        <f t="shared" si="17"/>
        <v>0</v>
      </c>
      <c r="AG27" s="408">
        <f t="shared" si="17"/>
        <v>0</v>
      </c>
      <c r="AH27" s="408">
        <f t="shared" si="17"/>
        <v>0</v>
      </c>
      <c r="AI27" s="408"/>
      <c r="AM27" s="535"/>
      <c r="AO27" s="283"/>
      <c r="AQ27" s="283"/>
      <c r="AS27" s="283"/>
    </row>
    <row r="28" spans="1:47" s="419" customFormat="1" x14ac:dyDescent="0.2">
      <c r="A28" s="417"/>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M28" s="535"/>
      <c r="AO28" s="283"/>
      <c r="AP28" s="71"/>
      <c r="AQ28" s="283"/>
      <c r="AR28" s="71"/>
      <c r="AS28" s="283"/>
    </row>
    <row r="29" spans="1:47" s="419" customFormat="1" x14ac:dyDescent="0.2">
      <c r="A29" s="417"/>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M29" s="535"/>
      <c r="AO29" s="283"/>
      <c r="AP29" s="71"/>
      <c r="AQ29" s="283"/>
      <c r="AR29" s="71"/>
      <c r="AS29" s="283"/>
    </row>
    <row r="30" spans="1:47" s="419" customFormat="1" x14ac:dyDescent="0.2">
      <c r="A30" s="417"/>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L30" s="728"/>
      <c r="AM30" s="727"/>
      <c r="AN30" s="728"/>
      <c r="AO30" s="730"/>
      <c r="AP30" s="731"/>
      <c r="AQ30" s="730"/>
      <c r="AR30" s="731"/>
      <c r="AS30" s="730"/>
      <c r="AT30" s="728"/>
      <c r="AU30" s="728"/>
    </row>
    <row r="31" spans="1:47" x14ac:dyDescent="0.2">
      <c r="A31" s="420"/>
      <c r="B31" s="421"/>
      <c r="C31" s="421"/>
      <c r="D31" s="421"/>
      <c r="E31" s="422"/>
      <c r="F31" s="423"/>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L31" s="728"/>
      <c r="AM31" s="727"/>
      <c r="AN31" s="728"/>
      <c r="AO31" s="730"/>
      <c r="AP31" s="731"/>
      <c r="AQ31" s="730"/>
      <c r="AR31" s="731"/>
      <c r="AS31" s="730"/>
      <c r="AT31" s="728"/>
      <c r="AU31" s="728"/>
    </row>
    <row r="32" spans="1:47" s="419" customFormat="1" ht="23.85" customHeight="1" x14ac:dyDescent="0.2">
      <c r="A32" s="424" t="s">
        <v>453</v>
      </c>
      <c r="B32" s="423"/>
      <c r="C32" s="423"/>
      <c r="D32" s="423"/>
      <c r="E32" s="423"/>
      <c r="F32" s="423"/>
      <c r="G32" s="423"/>
      <c r="H32" s="423"/>
      <c r="I32" s="423"/>
      <c r="J32" s="423"/>
      <c r="K32" s="423"/>
      <c r="L32" s="423"/>
      <c r="M32" s="423"/>
      <c r="N32" s="423"/>
      <c r="O32" s="423" t="s">
        <v>21</v>
      </c>
      <c r="P32" s="423"/>
      <c r="Q32" s="423"/>
      <c r="R32" s="423"/>
      <c r="S32" s="423"/>
      <c r="T32" s="423"/>
      <c r="U32" s="423"/>
      <c r="V32" s="423"/>
      <c r="W32" s="423"/>
      <c r="X32" s="423"/>
      <c r="Y32" s="423"/>
      <c r="Z32" s="423"/>
      <c r="AA32" s="423"/>
      <c r="AB32" s="423"/>
      <c r="AC32" s="423"/>
      <c r="AD32" s="423"/>
      <c r="AE32" s="423"/>
      <c r="AF32" s="423"/>
      <c r="AG32" s="423"/>
      <c r="AH32" s="423"/>
      <c r="AI32" s="423"/>
      <c r="AL32" s="728"/>
      <c r="AM32" s="727"/>
      <c r="AN32" s="728"/>
      <c r="AO32" s="730"/>
      <c r="AP32" s="731"/>
      <c r="AQ32" s="730"/>
      <c r="AR32" s="731"/>
      <c r="AS32" s="730"/>
      <c r="AT32" s="728"/>
      <c r="AU32" s="728"/>
    </row>
    <row r="33" spans="1:47" s="419" customFormat="1" x14ac:dyDescent="0.2">
      <c r="A33" s="425"/>
      <c r="B33" s="426">
        <f>Aprekini!B5</f>
        <v>2014</v>
      </c>
      <c r="C33" s="426">
        <f t="shared" ref="C33:AG33" si="18">B33+1</f>
        <v>2015</v>
      </c>
      <c r="D33" s="426">
        <f t="shared" si="18"/>
        <v>2016</v>
      </c>
      <c r="E33" s="426">
        <f t="shared" si="18"/>
        <v>2017</v>
      </c>
      <c r="F33" s="426">
        <f t="shared" si="18"/>
        <v>2018</v>
      </c>
      <c r="G33" s="426">
        <f t="shared" si="18"/>
        <v>2019</v>
      </c>
      <c r="H33" s="426">
        <f t="shared" si="18"/>
        <v>2020</v>
      </c>
      <c r="I33" s="426">
        <f t="shared" si="18"/>
        <v>2021</v>
      </c>
      <c r="J33" s="426">
        <f t="shared" si="18"/>
        <v>2022</v>
      </c>
      <c r="K33" s="426">
        <f t="shared" si="18"/>
        <v>2023</v>
      </c>
      <c r="L33" s="426">
        <f t="shared" si="18"/>
        <v>2024</v>
      </c>
      <c r="M33" s="426">
        <f t="shared" si="18"/>
        <v>2025</v>
      </c>
      <c r="N33" s="426">
        <f t="shared" si="18"/>
        <v>2026</v>
      </c>
      <c r="O33" s="426">
        <f t="shared" si="18"/>
        <v>2027</v>
      </c>
      <c r="P33" s="426">
        <f t="shared" si="18"/>
        <v>2028</v>
      </c>
      <c r="Q33" s="426">
        <f t="shared" si="18"/>
        <v>2029</v>
      </c>
      <c r="R33" s="426">
        <f t="shared" si="18"/>
        <v>2030</v>
      </c>
      <c r="S33" s="426">
        <f t="shared" si="18"/>
        <v>2031</v>
      </c>
      <c r="T33" s="426">
        <f t="shared" si="18"/>
        <v>2032</v>
      </c>
      <c r="U33" s="426">
        <f t="shared" si="18"/>
        <v>2033</v>
      </c>
      <c r="V33" s="426">
        <f t="shared" si="18"/>
        <v>2034</v>
      </c>
      <c r="W33" s="426">
        <f t="shared" si="18"/>
        <v>2035</v>
      </c>
      <c r="X33" s="426">
        <f t="shared" si="18"/>
        <v>2036</v>
      </c>
      <c r="Y33" s="426">
        <f t="shared" si="18"/>
        <v>2037</v>
      </c>
      <c r="Z33" s="426">
        <f t="shared" si="18"/>
        <v>2038</v>
      </c>
      <c r="AA33" s="426">
        <f t="shared" si="18"/>
        <v>2039</v>
      </c>
      <c r="AB33" s="426">
        <f t="shared" si="18"/>
        <v>2040</v>
      </c>
      <c r="AC33" s="426">
        <f t="shared" si="18"/>
        <v>2041</v>
      </c>
      <c r="AD33" s="426">
        <f t="shared" si="18"/>
        <v>2042</v>
      </c>
      <c r="AE33" s="426">
        <f t="shared" si="18"/>
        <v>2043</v>
      </c>
      <c r="AF33" s="426">
        <f t="shared" si="18"/>
        <v>2044</v>
      </c>
      <c r="AG33" s="426">
        <f t="shared" si="18"/>
        <v>2045</v>
      </c>
      <c r="AH33" s="426">
        <f>AG33+1</f>
        <v>2046</v>
      </c>
      <c r="AI33" s="426"/>
      <c r="AL33" s="728"/>
      <c r="AM33" s="727"/>
      <c r="AN33" s="728"/>
      <c r="AO33" s="730"/>
      <c r="AP33" s="731"/>
      <c r="AQ33" s="730"/>
      <c r="AR33" s="731"/>
      <c r="AS33" s="730"/>
      <c r="AT33" s="728"/>
      <c r="AU33" s="728"/>
    </row>
    <row r="34" spans="1:47" s="419" customFormat="1" x14ac:dyDescent="0.2">
      <c r="A34" s="427" t="s">
        <v>43</v>
      </c>
      <c r="B34" s="428"/>
      <c r="C34" s="428"/>
      <c r="D34" s="428"/>
      <c r="E34" s="428"/>
      <c r="F34" s="428"/>
      <c r="G34" s="428"/>
      <c r="H34" s="428"/>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L34" s="728"/>
      <c r="AM34" s="727"/>
      <c r="AN34" s="728"/>
      <c r="AO34" s="730"/>
      <c r="AP34" s="731"/>
      <c r="AQ34" s="730"/>
      <c r="AR34" s="731"/>
      <c r="AS34" s="730"/>
      <c r="AT34" s="728"/>
      <c r="AU34" s="728"/>
    </row>
    <row r="35" spans="1:47" s="419" customFormat="1" x14ac:dyDescent="0.2">
      <c r="A35" s="430" t="s">
        <v>141</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L35" s="728"/>
      <c r="AM35" s="727"/>
      <c r="AN35" s="728"/>
      <c r="AO35" s="730"/>
      <c r="AP35" s="731"/>
      <c r="AQ35" s="730"/>
      <c r="AR35" s="731"/>
      <c r="AS35" s="730"/>
      <c r="AT35" s="728"/>
      <c r="AU35" s="728"/>
    </row>
    <row r="36" spans="1:47" s="419" customFormat="1" x14ac:dyDescent="0.2">
      <c r="A36" s="432" t="s">
        <v>10</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L36" s="728"/>
      <c r="AM36" s="727"/>
      <c r="AN36" s="728"/>
      <c r="AO36" s="730"/>
      <c r="AP36" s="731"/>
      <c r="AQ36" s="730"/>
      <c r="AR36" s="731"/>
      <c r="AS36" s="730"/>
      <c r="AT36" s="728"/>
      <c r="AU36" s="728"/>
    </row>
    <row r="37" spans="1:47" s="419" customFormat="1" x14ac:dyDescent="0.2">
      <c r="A37" s="433" t="s">
        <v>142</v>
      </c>
      <c r="B37" s="418">
        <f>'Datu ievade'!B63</f>
        <v>0</v>
      </c>
      <c r="C37" s="418">
        <f>'Datu ievade'!C63+B37</f>
        <v>0</v>
      </c>
      <c r="D37" s="418">
        <f>'Datu ievade'!D63+C37</f>
        <v>109000</v>
      </c>
      <c r="E37" s="418">
        <f>'Datu ievade'!E63+D37</f>
        <v>333000</v>
      </c>
      <c r="F37" s="418">
        <f>'Datu ievade'!F63+E37</f>
        <v>333000</v>
      </c>
      <c r="G37" s="418">
        <f>'Datu ievade'!G63+F37</f>
        <v>333000</v>
      </c>
      <c r="H37" s="418">
        <f>'Datu ievade'!H63+G37</f>
        <v>333000</v>
      </c>
      <c r="I37" s="418">
        <f>'Datu ievade'!I63+H37</f>
        <v>333000</v>
      </c>
      <c r="J37" s="418">
        <f>'Datu ievade'!J63+I37</f>
        <v>333000</v>
      </c>
      <c r="K37" s="418">
        <f>'Datu ievade'!K63+J37</f>
        <v>333000</v>
      </c>
      <c r="L37" s="418">
        <f>'Datu ievade'!L63+K37</f>
        <v>333000</v>
      </c>
      <c r="M37" s="418">
        <f>'Datu ievade'!M63+L37</f>
        <v>333000</v>
      </c>
      <c r="N37" s="418">
        <f>'Datu ievade'!N63+M37</f>
        <v>333000</v>
      </c>
      <c r="O37" s="418">
        <f>'Datu ievade'!O63+N37</f>
        <v>333000</v>
      </c>
      <c r="P37" s="418">
        <f>'Datu ievade'!P63+O37</f>
        <v>333000</v>
      </c>
      <c r="Q37" s="418">
        <f>'Datu ievade'!Q63+P37</f>
        <v>333000</v>
      </c>
      <c r="R37" s="418">
        <f>'Datu ievade'!R63+Q37</f>
        <v>333000</v>
      </c>
      <c r="S37" s="418">
        <f>'Datu ievade'!S63+R37</f>
        <v>333000</v>
      </c>
      <c r="T37" s="418">
        <f>'Datu ievade'!T63+S37</f>
        <v>333000</v>
      </c>
      <c r="U37" s="418">
        <f>'Datu ievade'!U63+T37</f>
        <v>333000</v>
      </c>
      <c r="V37" s="418">
        <f>'Datu ievade'!V63+U37</f>
        <v>333000</v>
      </c>
      <c r="W37" s="418">
        <f>'Datu ievade'!W63+V37</f>
        <v>333000</v>
      </c>
      <c r="X37" s="418">
        <f>'Datu ievade'!X63+W37</f>
        <v>333000</v>
      </c>
      <c r="Y37" s="418">
        <f>'Datu ievade'!Y63+X37</f>
        <v>333000</v>
      </c>
      <c r="Z37" s="418">
        <f>'Datu ievade'!Z63+Y37</f>
        <v>333000</v>
      </c>
      <c r="AA37" s="418">
        <f>'Datu ievade'!AA63+Z37</f>
        <v>333000</v>
      </c>
      <c r="AB37" s="418">
        <f>'Datu ievade'!AB63+AA37</f>
        <v>333000</v>
      </c>
      <c r="AC37" s="418">
        <f>'Datu ievade'!AC63+AB37</f>
        <v>333000</v>
      </c>
      <c r="AD37" s="418">
        <f>'Datu ievade'!AD63+AC37</f>
        <v>333000</v>
      </c>
      <c r="AE37" s="418">
        <f>'Datu ievade'!AE63+AD37</f>
        <v>333000</v>
      </c>
      <c r="AF37" s="418">
        <f>'Datu ievade'!AF63+AE37</f>
        <v>333000</v>
      </c>
      <c r="AG37" s="418">
        <f>'Datu ievade'!AG63+AF37</f>
        <v>333000</v>
      </c>
      <c r="AH37" s="418">
        <f>'Datu ievade'!AH63+AG37</f>
        <v>333000</v>
      </c>
      <c r="AI37" s="418"/>
      <c r="AL37" s="728"/>
      <c r="AM37" s="727"/>
      <c r="AN37" s="728"/>
      <c r="AO37" s="730"/>
      <c r="AP37" s="731"/>
      <c r="AQ37" s="730"/>
      <c r="AR37" s="731"/>
      <c r="AS37" s="730"/>
      <c r="AT37" s="728"/>
      <c r="AU37" s="728"/>
    </row>
    <row r="38" spans="1:47" s="419" customFormat="1" x14ac:dyDescent="0.2">
      <c r="A38" s="433" t="s">
        <v>143</v>
      </c>
      <c r="B38" s="434">
        <f>1/'Datu ievade'!$B$25</f>
        <v>0.02</v>
      </c>
      <c r="C38" s="434">
        <f>1/'Datu ievade'!$B$25</f>
        <v>0.02</v>
      </c>
      <c r="D38" s="434">
        <f>1/'Datu ievade'!$B$25</f>
        <v>0.02</v>
      </c>
      <c r="E38" s="434">
        <f>1/'Datu ievade'!$B$25</f>
        <v>0.02</v>
      </c>
      <c r="F38" s="434">
        <f>1/'Datu ievade'!$B$25</f>
        <v>0.02</v>
      </c>
      <c r="G38" s="434">
        <f>1/'Datu ievade'!$B$25</f>
        <v>0.02</v>
      </c>
      <c r="H38" s="434">
        <f>1/'Datu ievade'!$B$25</f>
        <v>0.02</v>
      </c>
      <c r="I38" s="434">
        <f>1/'Datu ievade'!$B$25</f>
        <v>0.02</v>
      </c>
      <c r="J38" s="434">
        <f>1/'Datu ievade'!$B$25</f>
        <v>0.02</v>
      </c>
      <c r="K38" s="434">
        <f>1/'Datu ievade'!$B$25</f>
        <v>0.02</v>
      </c>
      <c r="L38" s="434">
        <f>1/'Datu ievade'!$B$25</f>
        <v>0.02</v>
      </c>
      <c r="M38" s="434">
        <f>1/'Datu ievade'!$B$25</f>
        <v>0.02</v>
      </c>
      <c r="N38" s="434">
        <f>1/'Datu ievade'!$B$25</f>
        <v>0.02</v>
      </c>
      <c r="O38" s="434">
        <f>1/'Datu ievade'!$B$25</f>
        <v>0.02</v>
      </c>
      <c r="P38" s="434">
        <f>1/'Datu ievade'!$B$25</f>
        <v>0.02</v>
      </c>
      <c r="Q38" s="434">
        <f>1/'Datu ievade'!$B$25</f>
        <v>0.02</v>
      </c>
      <c r="R38" s="434">
        <f>1/'Datu ievade'!$B$25</f>
        <v>0.02</v>
      </c>
      <c r="S38" s="434">
        <f>1/'Datu ievade'!$B$25</f>
        <v>0.02</v>
      </c>
      <c r="T38" s="434">
        <f>1/'Datu ievade'!$B$25</f>
        <v>0.02</v>
      </c>
      <c r="U38" s="434">
        <f>1/'Datu ievade'!$B$25</f>
        <v>0.02</v>
      </c>
      <c r="V38" s="434">
        <f>1/'Datu ievade'!$B$25</f>
        <v>0.02</v>
      </c>
      <c r="W38" s="434">
        <f>1/'Datu ievade'!$B$25</f>
        <v>0.02</v>
      </c>
      <c r="X38" s="434">
        <f>1/'Datu ievade'!$B$25</f>
        <v>0.02</v>
      </c>
      <c r="Y38" s="434">
        <f>1/'Datu ievade'!$B$25</f>
        <v>0.02</v>
      </c>
      <c r="Z38" s="434">
        <f>1/'Datu ievade'!$B$25</f>
        <v>0.02</v>
      </c>
      <c r="AA38" s="434">
        <f>1/'Datu ievade'!$B$25</f>
        <v>0.02</v>
      </c>
      <c r="AB38" s="434">
        <f>1/'Datu ievade'!$B$25</f>
        <v>0.02</v>
      </c>
      <c r="AC38" s="434">
        <f>1/'Datu ievade'!$B$25</f>
        <v>0.02</v>
      </c>
      <c r="AD38" s="434">
        <f>1/'Datu ievade'!$B$25</f>
        <v>0.02</v>
      </c>
      <c r="AE38" s="434">
        <f>1/'Datu ievade'!$B$25</f>
        <v>0.02</v>
      </c>
      <c r="AF38" s="434">
        <f>1/'Datu ievade'!$B$25</f>
        <v>0.02</v>
      </c>
      <c r="AG38" s="434">
        <f>1/'Datu ievade'!$B$25</f>
        <v>0.02</v>
      </c>
      <c r="AH38" s="434">
        <f>1/'Datu ievade'!$B$25</f>
        <v>0.02</v>
      </c>
      <c r="AI38" s="434"/>
      <c r="AL38" s="728"/>
      <c r="AM38" s="727"/>
      <c r="AN38" s="728"/>
      <c r="AO38" s="730"/>
      <c r="AP38" s="731"/>
      <c r="AQ38" s="730"/>
      <c r="AR38" s="731"/>
      <c r="AS38" s="730"/>
      <c r="AT38" s="728"/>
      <c r="AU38" s="728"/>
    </row>
    <row r="39" spans="1:47" s="419" customFormat="1" x14ac:dyDescent="0.2">
      <c r="A39" s="433" t="s">
        <v>144</v>
      </c>
      <c r="B39" s="435">
        <v>0</v>
      </c>
      <c r="C39" s="418">
        <f t="shared" ref="C39:AG39" si="19">IF(B41&gt;0,IF(C37-B37&gt;0,0,C38*C37),0)</f>
        <v>0</v>
      </c>
      <c r="D39" s="418">
        <f t="shared" si="19"/>
        <v>0</v>
      </c>
      <c r="E39" s="418">
        <f t="shared" si="19"/>
        <v>0</v>
      </c>
      <c r="F39" s="418">
        <f t="shared" si="19"/>
        <v>6660</v>
      </c>
      <c r="G39" s="418">
        <f t="shared" si="19"/>
        <v>6660</v>
      </c>
      <c r="H39" s="418">
        <f t="shared" si="19"/>
        <v>6660</v>
      </c>
      <c r="I39" s="418">
        <f t="shared" si="19"/>
        <v>6660</v>
      </c>
      <c r="J39" s="418">
        <f t="shared" si="19"/>
        <v>6660</v>
      </c>
      <c r="K39" s="418">
        <f t="shared" si="19"/>
        <v>6660</v>
      </c>
      <c r="L39" s="418">
        <f t="shared" si="19"/>
        <v>6660</v>
      </c>
      <c r="M39" s="418">
        <f t="shared" si="19"/>
        <v>6660</v>
      </c>
      <c r="N39" s="418">
        <f t="shared" si="19"/>
        <v>6660</v>
      </c>
      <c r="O39" s="418">
        <f t="shared" si="19"/>
        <v>6660</v>
      </c>
      <c r="P39" s="418">
        <f t="shared" si="19"/>
        <v>6660</v>
      </c>
      <c r="Q39" s="418">
        <f t="shared" si="19"/>
        <v>6660</v>
      </c>
      <c r="R39" s="418">
        <f t="shared" si="19"/>
        <v>6660</v>
      </c>
      <c r="S39" s="418">
        <f t="shared" si="19"/>
        <v>6660</v>
      </c>
      <c r="T39" s="418">
        <f t="shared" si="19"/>
        <v>6660</v>
      </c>
      <c r="U39" s="418">
        <f t="shared" si="19"/>
        <v>6660</v>
      </c>
      <c r="V39" s="418">
        <f t="shared" si="19"/>
        <v>6660</v>
      </c>
      <c r="W39" s="418">
        <f t="shared" si="19"/>
        <v>6660</v>
      </c>
      <c r="X39" s="418">
        <f t="shared" si="19"/>
        <v>6660</v>
      </c>
      <c r="Y39" s="418">
        <f t="shared" si="19"/>
        <v>6660</v>
      </c>
      <c r="Z39" s="418">
        <f t="shared" si="19"/>
        <v>6660</v>
      </c>
      <c r="AA39" s="418">
        <f t="shared" si="19"/>
        <v>6660</v>
      </c>
      <c r="AB39" s="418">
        <f t="shared" si="19"/>
        <v>6660</v>
      </c>
      <c r="AC39" s="418">
        <f t="shared" si="19"/>
        <v>6660</v>
      </c>
      <c r="AD39" s="418">
        <f t="shared" si="19"/>
        <v>6660</v>
      </c>
      <c r="AE39" s="418">
        <f t="shared" si="19"/>
        <v>6660</v>
      </c>
      <c r="AF39" s="418">
        <f t="shared" si="19"/>
        <v>6660</v>
      </c>
      <c r="AG39" s="418">
        <f t="shared" si="19"/>
        <v>6660</v>
      </c>
      <c r="AH39" s="418">
        <f>IF(AG41&gt;0,IF(AH37-AG37&gt;0,0,AH38*AH37),0)</f>
        <v>6660</v>
      </c>
      <c r="AI39" s="418"/>
      <c r="AL39" s="728"/>
      <c r="AM39" s="727"/>
      <c r="AN39" s="728"/>
      <c r="AO39" s="730"/>
      <c r="AP39" s="731"/>
      <c r="AQ39" s="730"/>
      <c r="AR39" s="731"/>
      <c r="AS39" s="730"/>
      <c r="AT39" s="728"/>
      <c r="AU39" s="728"/>
    </row>
    <row r="40" spans="1:47" s="419" customFormat="1" x14ac:dyDescent="0.2">
      <c r="A40" s="433" t="s">
        <v>145</v>
      </c>
      <c r="B40" s="418">
        <f>B39</f>
        <v>0</v>
      </c>
      <c r="C40" s="418">
        <f t="shared" ref="C40:AG40" si="20">C39+B40</f>
        <v>0</v>
      </c>
      <c r="D40" s="418">
        <f t="shared" si="20"/>
        <v>0</v>
      </c>
      <c r="E40" s="418">
        <f t="shared" si="20"/>
        <v>0</v>
      </c>
      <c r="F40" s="418">
        <f t="shared" si="20"/>
        <v>6660</v>
      </c>
      <c r="G40" s="418">
        <f t="shared" si="20"/>
        <v>13320</v>
      </c>
      <c r="H40" s="418">
        <f t="shared" si="20"/>
        <v>19980</v>
      </c>
      <c r="I40" s="418">
        <f t="shared" si="20"/>
        <v>26640</v>
      </c>
      <c r="J40" s="418">
        <f t="shared" si="20"/>
        <v>33300</v>
      </c>
      <c r="K40" s="418">
        <f t="shared" si="20"/>
        <v>39960</v>
      </c>
      <c r="L40" s="418">
        <f t="shared" si="20"/>
        <v>46620</v>
      </c>
      <c r="M40" s="418">
        <f t="shared" si="20"/>
        <v>53280</v>
      </c>
      <c r="N40" s="418">
        <f t="shared" si="20"/>
        <v>59940</v>
      </c>
      <c r="O40" s="418">
        <f t="shared" si="20"/>
        <v>66600</v>
      </c>
      <c r="P40" s="418">
        <f t="shared" si="20"/>
        <v>73260</v>
      </c>
      <c r="Q40" s="418">
        <f t="shared" si="20"/>
        <v>79920</v>
      </c>
      <c r="R40" s="418">
        <f t="shared" si="20"/>
        <v>86580</v>
      </c>
      <c r="S40" s="418">
        <f t="shared" si="20"/>
        <v>93240</v>
      </c>
      <c r="T40" s="418">
        <f t="shared" si="20"/>
        <v>99900</v>
      </c>
      <c r="U40" s="418">
        <f t="shared" si="20"/>
        <v>106560</v>
      </c>
      <c r="V40" s="418">
        <f t="shared" si="20"/>
        <v>113220</v>
      </c>
      <c r="W40" s="418">
        <f t="shared" si="20"/>
        <v>119880</v>
      </c>
      <c r="X40" s="418">
        <f t="shared" si="20"/>
        <v>126540</v>
      </c>
      <c r="Y40" s="418">
        <f t="shared" si="20"/>
        <v>133200</v>
      </c>
      <c r="Z40" s="418">
        <f t="shared" si="20"/>
        <v>139860</v>
      </c>
      <c r="AA40" s="418">
        <f t="shared" si="20"/>
        <v>146520</v>
      </c>
      <c r="AB40" s="418">
        <f t="shared" si="20"/>
        <v>153180</v>
      </c>
      <c r="AC40" s="418">
        <f t="shared" si="20"/>
        <v>159840</v>
      </c>
      <c r="AD40" s="418">
        <f t="shared" si="20"/>
        <v>166500</v>
      </c>
      <c r="AE40" s="418">
        <f t="shared" si="20"/>
        <v>173160</v>
      </c>
      <c r="AF40" s="418">
        <f t="shared" si="20"/>
        <v>179820</v>
      </c>
      <c r="AG40" s="418">
        <f t="shared" si="20"/>
        <v>186480</v>
      </c>
      <c r="AH40" s="418">
        <f>AH39+AG40</f>
        <v>193140</v>
      </c>
      <c r="AI40" s="418"/>
      <c r="AL40" s="728"/>
      <c r="AM40" s="727"/>
      <c r="AN40" s="728"/>
      <c r="AO40" s="730"/>
      <c r="AP40" s="731"/>
      <c r="AQ40" s="730"/>
      <c r="AR40" s="731"/>
      <c r="AS40" s="730"/>
      <c r="AT40" s="728"/>
      <c r="AU40" s="728"/>
    </row>
    <row r="41" spans="1:47" s="419" customFormat="1" x14ac:dyDescent="0.2">
      <c r="A41" s="433" t="s">
        <v>146</v>
      </c>
      <c r="B41" s="418">
        <f t="shared" ref="B41:AG41" si="21">ROUND(IF(B37-B40&gt;0,B37-B40,0),0)</f>
        <v>0</v>
      </c>
      <c r="C41" s="418">
        <f t="shared" si="21"/>
        <v>0</v>
      </c>
      <c r="D41" s="418">
        <f t="shared" si="21"/>
        <v>109000</v>
      </c>
      <c r="E41" s="418">
        <f t="shared" si="21"/>
        <v>333000</v>
      </c>
      <c r="F41" s="418">
        <f t="shared" si="21"/>
        <v>326340</v>
      </c>
      <c r="G41" s="418">
        <f t="shared" si="21"/>
        <v>319680</v>
      </c>
      <c r="H41" s="418">
        <f t="shared" si="21"/>
        <v>313020</v>
      </c>
      <c r="I41" s="418">
        <f t="shared" si="21"/>
        <v>306360</v>
      </c>
      <c r="J41" s="418">
        <f t="shared" si="21"/>
        <v>299700</v>
      </c>
      <c r="K41" s="418">
        <f t="shared" si="21"/>
        <v>293040</v>
      </c>
      <c r="L41" s="418">
        <f t="shared" si="21"/>
        <v>286380</v>
      </c>
      <c r="M41" s="418">
        <f t="shared" si="21"/>
        <v>279720</v>
      </c>
      <c r="N41" s="418">
        <f t="shared" si="21"/>
        <v>273060</v>
      </c>
      <c r="O41" s="418">
        <f t="shared" si="21"/>
        <v>266400</v>
      </c>
      <c r="P41" s="418">
        <f t="shared" si="21"/>
        <v>259740</v>
      </c>
      <c r="Q41" s="418">
        <f t="shared" si="21"/>
        <v>253080</v>
      </c>
      <c r="R41" s="418">
        <f t="shared" si="21"/>
        <v>246420</v>
      </c>
      <c r="S41" s="418">
        <f t="shared" si="21"/>
        <v>239760</v>
      </c>
      <c r="T41" s="418">
        <f t="shared" si="21"/>
        <v>233100</v>
      </c>
      <c r="U41" s="418">
        <f t="shared" si="21"/>
        <v>226440</v>
      </c>
      <c r="V41" s="418">
        <f t="shared" si="21"/>
        <v>219780</v>
      </c>
      <c r="W41" s="418">
        <f t="shared" si="21"/>
        <v>213120</v>
      </c>
      <c r="X41" s="418">
        <f t="shared" si="21"/>
        <v>206460</v>
      </c>
      <c r="Y41" s="418">
        <f t="shared" si="21"/>
        <v>199800</v>
      </c>
      <c r="Z41" s="418">
        <f t="shared" si="21"/>
        <v>193140</v>
      </c>
      <c r="AA41" s="418">
        <f t="shared" si="21"/>
        <v>186480</v>
      </c>
      <c r="AB41" s="418">
        <f t="shared" si="21"/>
        <v>179820</v>
      </c>
      <c r="AC41" s="418">
        <f t="shared" si="21"/>
        <v>173160</v>
      </c>
      <c r="AD41" s="418">
        <f t="shared" si="21"/>
        <v>166500</v>
      </c>
      <c r="AE41" s="418">
        <f t="shared" si="21"/>
        <v>159840</v>
      </c>
      <c r="AF41" s="418">
        <f t="shared" si="21"/>
        <v>153180</v>
      </c>
      <c r="AG41" s="418">
        <f t="shared" si="21"/>
        <v>146520</v>
      </c>
      <c r="AH41" s="418">
        <f>ROUND(IF(AH37-AH40&gt;0,AH37-AH40,0),0)</f>
        <v>139860</v>
      </c>
      <c r="AI41" s="418"/>
      <c r="AL41" s="728"/>
      <c r="AM41" s="727"/>
      <c r="AN41" s="728"/>
      <c r="AO41" s="730"/>
      <c r="AP41" s="731"/>
      <c r="AQ41" s="730"/>
      <c r="AR41" s="731"/>
      <c r="AS41" s="730"/>
      <c r="AT41" s="728"/>
      <c r="AU41" s="728"/>
    </row>
    <row r="42" spans="1:47" s="419" customFormat="1" x14ac:dyDescent="0.2">
      <c r="A42" s="432" t="s">
        <v>11</v>
      </c>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L42" s="728"/>
      <c r="AM42" s="727"/>
      <c r="AN42" s="728"/>
      <c r="AO42" s="730"/>
      <c r="AP42" s="731"/>
      <c r="AQ42" s="730"/>
      <c r="AR42" s="731"/>
      <c r="AS42" s="730"/>
      <c r="AT42" s="728"/>
      <c r="AU42" s="728"/>
    </row>
    <row r="43" spans="1:47" s="419" customFormat="1" x14ac:dyDescent="0.2">
      <c r="A43" s="433" t="s">
        <v>142</v>
      </c>
      <c r="B43" s="418">
        <f>'Datu ievade'!B64</f>
        <v>0</v>
      </c>
      <c r="C43" s="418">
        <f>'Datu ievade'!C64+B43</f>
        <v>0</v>
      </c>
      <c r="D43" s="418">
        <f>'Datu ievade'!D64+C43</f>
        <v>54500</v>
      </c>
      <c r="E43" s="418">
        <f>'Datu ievade'!E64+D43</f>
        <v>166500</v>
      </c>
      <c r="F43" s="418">
        <f>'Datu ievade'!F64+E43</f>
        <v>166500</v>
      </c>
      <c r="G43" s="418">
        <f>'Datu ievade'!G64+F43</f>
        <v>166500</v>
      </c>
      <c r="H43" s="418">
        <f>'Datu ievade'!H64+G43</f>
        <v>166500</v>
      </c>
      <c r="I43" s="418">
        <f>'Datu ievade'!I64+H43</f>
        <v>166500</v>
      </c>
      <c r="J43" s="418">
        <f>'Datu ievade'!J64+I43</f>
        <v>166500</v>
      </c>
      <c r="K43" s="418">
        <f>'Datu ievade'!K64+J43</f>
        <v>166500</v>
      </c>
      <c r="L43" s="418">
        <f>'Datu ievade'!L64+K43</f>
        <v>166500</v>
      </c>
      <c r="M43" s="418">
        <f>'Datu ievade'!M64+L43</f>
        <v>166500</v>
      </c>
      <c r="N43" s="418">
        <f>'Datu ievade'!N64+M43</f>
        <v>166500</v>
      </c>
      <c r="O43" s="418">
        <f>'Datu ievade'!O64+N43</f>
        <v>166500</v>
      </c>
      <c r="P43" s="418">
        <f>'Datu ievade'!P64+O43</f>
        <v>166500</v>
      </c>
      <c r="Q43" s="418">
        <f>'Datu ievade'!Q64+P43</f>
        <v>166500</v>
      </c>
      <c r="R43" s="418">
        <f>'Datu ievade'!R64+Q43</f>
        <v>166500</v>
      </c>
      <c r="S43" s="418">
        <f>'Datu ievade'!S64+R43</f>
        <v>166500</v>
      </c>
      <c r="T43" s="418">
        <f>'Datu ievade'!T64+S43</f>
        <v>166500</v>
      </c>
      <c r="U43" s="418">
        <f>'Datu ievade'!U64+T43</f>
        <v>166500</v>
      </c>
      <c r="V43" s="418">
        <f>'Datu ievade'!V64+U43</f>
        <v>166500</v>
      </c>
      <c r="W43" s="418">
        <f>'Datu ievade'!W64+V43</f>
        <v>166500</v>
      </c>
      <c r="X43" s="418">
        <f>'Datu ievade'!X64+W43</f>
        <v>166500</v>
      </c>
      <c r="Y43" s="418">
        <f>'Datu ievade'!Y64+X43</f>
        <v>166500</v>
      </c>
      <c r="Z43" s="418">
        <f>'Datu ievade'!Z64+Y43</f>
        <v>166500</v>
      </c>
      <c r="AA43" s="418">
        <f>'Datu ievade'!AA64+Z43</f>
        <v>166500</v>
      </c>
      <c r="AB43" s="418">
        <f>'Datu ievade'!AB64+AA43</f>
        <v>166500</v>
      </c>
      <c r="AC43" s="418">
        <f>'Datu ievade'!AC64+AB43</f>
        <v>166500</v>
      </c>
      <c r="AD43" s="418">
        <f>'Datu ievade'!AD64+AC43</f>
        <v>166500</v>
      </c>
      <c r="AE43" s="418">
        <f>'Datu ievade'!AE64+AD43</f>
        <v>166500</v>
      </c>
      <c r="AF43" s="418">
        <f>'Datu ievade'!AF64+AE43</f>
        <v>166500</v>
      </c>
      <c r="AG43" s="418">
        <f>'Datu ievade'!AG64+AF43</f>
        <v>166500</v>
      </c>
      <c r="AH43" s="418">
        <f>'Datu ievade'!AH64+AG43</f>
        <v>166500</v>
      </c>
      <c r="AI43" s="418"/>
      <c r="AL43" s="728"/>
      <c r="AM43" s="727"/>
      <c r="AN43" s="728"/>
      <c r="AO43" s="730"/>
      <c r="AP43" s="731"/>
      <c r="AQ43" s="730"/>
      <c r="AR43" s="731"/>
      <c r="AS43" s="730"/>
      <c r="AT43" s="728"/>
      <c r="AU43" s="728"/>
    </row>
    <row r="44" spans="1:47" s="419" customFormat="1" x14ac:dyDescent="0.2">
      <c r="A44" s="433" t="s">
        <v>143</v>
      </c>
      <c r="B44" s="434">
        <f>1/'Datu ievade'!$B$28</f>
        <v>0.1</v>
      </c>
      <c r="C44" s="434">
        <f>1/'Datu ievade'!$B$28</f>
        <v>0.1</v>
      </c>
      <c r="D44" s="434">
        <f>1/'Datu ievade'!$B$28</f>
        <v>0.1</v>
      </c>
      <c r="E44" s="434">
        <f>1/'Datu ievade'!$B$28</f>
        <v>0.1</v>
      </c>
      <c r="F44" s="434">
        <f>1/'Datu ievade'!$B$28</f>
        <v>0.1</v>
      </c>
      <c r="G44" s="434">
        <f>1/'Datu ievade'!$B$28</f>
        <v>0.1</v>
      </c>
      <c r="H44" s="434">
        <f>1/'Datu ievade'!$B$28</f>
        <v>0.1</v>
      </c>
      <c r="I44" s="434">
        <f>1/'Datu ievade'!$B$28</f>
        <v>0.1</v>
      </c>
      <c r="J44" s="434">
        <f>1/'Datu ievade'!$B$28</f>
        <v>0.1</v>
      </c>
      <c r="K44" s="434">
        <f>1/'Datu ievade'!$B$28</f>
        <v>0.1</v>
      </c>
      <c r="L44" s="434">
        <f>1/'Datu ievade'!$B$28</f>
        <v>0.1</v>
      </c>
      <c r="M44" s="434">
        <f>1/'Datu ievade'!$B$28</f>
        <v>0.1</v>
      </c>
      <c r="N44" s="434">
        <f>1/'Datu ievade'!$B$28</f>
        <v>0.1</v>
      </c>
      <c r="O44" s="434">
        <f>1/'Datu ievade'!$B$28</f>
        <v>0.1</v>
      </c>
      <c r="P44" s="434">
        <f>1/'Datu ievade'!$B$28</f>
        <v>0.1</v>
      </c>
      <c r="Q44" s="434">
        <f>1/'Datu ievade'!$B$28</f>
        <v>0.1</v>
      </c>
      <c r="R44" s="434">
        <f>1/'Datu ievade'!$B$28</f>
        <v>0.1</v>
      </c>
      <c r="S44" s="434">
        <f>1/'Datu ievade'!$B$28</f>
        <v>0.1</v>
      </c>
      <c r="T44" s="434">
        <f>1/'Datu ievade'!$B$28</f>
        <v>0.1</v>
      </c>
      <c r="U44" s="434">
        <f>1/'Datu ievade'!$B$28</f>
        <v>0.1</v>
      </c>
      <c r="V44" s="434">
        <f>1/'Datu ievade'!$B$28</f>
        <v>0.1</v>
      </c>
      <c r="W44" s="434">
        <f>1/'Datu ievade'!$B$28</f>
        <v>0.1</v>
      </c>
      <c r="X44" s="434">
        <f>1/'Datu ievade'!$B$28</f>
        <v>0.1</v>
      </c>
      <c r="Y44" s="434">
        <f>1/'Datu ievade'!$B$28</f>
        <v>0.1</v>
      </c>
      <c r="Z44" s="434">
        <f>1/'Datu ievade'!$B$28</f>
        <v>0.1</v>
      </c>
      <c r="AA44" s="434">
        <f>1/'Datu ievade'!$B$28</f>
        <v>0.1</v>
      </c>
      <c r="AB44" s="434">
        <f>1/'Datu ievade'!$B$28</f>
        <v>0.1</v>
      </c>
      <c r="AC44" s="434">
        <f>1/'Datu ievade'!$B$28</f>
        <v>0.1</v>
      </c>
      <c r="AD44" s="434">
        <f>1/'Datu ievade'!$B$28</f>
        <v>0.1</v>
      </c>
      <c r="AE44" s="434">
        <f>1/'Datu ievade'!$B$28</f>
        <v>0.1</v>
      </c>
      <c r="AF44" s="434">
        <f>1/'Datu ievade'!$B$28</f>
        <v>0.1</v>
      </c>
      <c r="AG44" s="434">
        <f>1/'Datu ievade'!$B$28</f>
        <v>0.1</v>
      </c>
      <c r="AH44" s="434">
        <f>1/'Datu ievade'!$B$28</f>
        <v>0.1</v>
      </c>
      <c r="AI44" s="434"/>
      <c r="AL44" s="728"/>
      <c r="AM44" s="727"/>
      <c r="AN44" s="728"/>
      <c r="AO44" s="730"/>
      <c r="AP44" s="731"/>
      <c r="AQ44" s="730"/>
      <c r="AR44" s="731"/>
      <c r="AS44" s="730"/>
      <c r="AT44" s="728"/>
      <c r="AU44" s="728"/>
    </row>
    <row r="45" spans="1:47" s="419" customFormat="1" x14ac:dyDescent="0.2">
      <c r="A45" s="433" t="s">
        <v>144</v>
      </c>
      <c r="B45" s="435">
        <v>0</v>
      </c>
      <c r="C45" s="418">
        <f t="shared" ref="C45:AG45" si="22">IF(B47&gt;0,IF(C43-B43&gt;0,0,C44*C43),0)</f>
        <v>0</v>
      </c>
      <c r="D45" s="418">
        <f t="shared" si="22"/>
        <v>0</v>
      </c>
      <c r="E45" s="418">
        <f t="shared" si="22"/>
        <v>0</v>
      </c>
      <c r="F45" s="418">
        <f t="shared" si="22"/>
        <v>16650</v>
      </c>
      <c r="G45" s="418">
        <f t="shared" si="22"/>
        <v>16650</v>
      </c>
      <c r="H45" s="418">
        <f t="shared" si="22"/>
        <v>16650</v>
      </c>
      <c r="I45" s="418">
        <f t="shared" si="22"/>
        <v>16650</v>
      </c>
      <c r="J45" s="418">
        <f t="shared" si="22"/>
        <v>16650</v>
      </c>
      <c r="K45" s="418">
        <f t="shared" si="22"/>
        <v>16650</v>
      </c>
      <c r="L45" s="418">
        <f t="shared" si="22"/>
        <v>16650</v>
      </c>
      <c r="M45" s="418">
        <f t="shared" si="22"/>
        <v>16650</v>
      </c>
      <c r="N45" s="418">
        <f t="shared" si="22"/>
        <v>16650</v>
      </c>
      <c r="O45" s="418">
        <f t="shared" si="22"/>
        <v>16650</v>
      </c>
      <c r="P45" s="418">
        <f t="shared" si="22"/>
        <v>0</v>
      </c>
      <c r="Q45" s="418">
        <f t="shared" si="22"/>
        <v>0</v>
      </c>
      <c r="R45" s="418">
        <f t="shared" si="22"/>
        <v>0</v>
      </c>
      <c r="S45" s="418">
        <f t="shared" si="22"/>
        <v>0</v>
      </c>
      <c r="T45" s="418">
        <f t="shared" si="22"/>
        <v>0</v>
      </c>
      <c r="U45" s="418">
        <f t="shared" si="22"/>
        <v>0</v>
      </c>
      <c r="V45" s="418">
        <f t="shared" si="22"/>
        <v>0</v>
      </c>
      <c r="W45" s="418">
        <f t="shared" si="22"/>
        <v>0</v>
      </c>
      <c r="X45" s="418">
        <f t="shared" si="22"/>
        <v>0</v>
      </c>
      <c r="Y45" s="418">
        <f t="shared" si="22"/>
        <v>0</v>
      </c>
      <c r="Z45" s="418">
        <f t="shared" si="22"/>
        <v>0</v>
      </c>
      <c r="AA45" s="418">
        <f t="shared" si="22"/>
        <v>0</v>
      </c>
      <c r="AB45" s="418">
        <f t="shared" si="22"/>
        <v>0</v>
      </c>
      <c r="AC45" s="418">
        <f t="shared" si="22"/>
        <v>0</v>
      </c>
      <c r="AD45" s="418">
        <f t="shared" si="22"/>
        <v>0</v>
      </c>
      <c r="AE45" s="418">
        <f t="shared" si="22"/>
        <v>0</v>
      </c>
      <c r="AF45" s="418">
        <f t="shared" si="22"/>
        <v>0</v>
      </c>
      <c r="AG45" s="418">
        <f t="shared" si="22"/>
        <v>0</v>
      </c>
      <c r="AH45" s="418">
        <f>IF(AG47&gt;0,IF(AH43-AG43&gt;0,0,AH44*AH43),0)</f>
        <v>0</v>
      </c>
      <c r="AI45" s="418"/>
      <c r="AL45" s="728"/>
      <c r="AM45" s="727"/>
      <c r="AN45" s="728"/>
      <c r="AO45" s="730"/>
      <c r="AP45" s="731"/>
      <c r="AQ45" s="730"/>
      <c r="AR45" s="731"/>
      <c r="AS45" s="730"/>
      <c r="AT45" s="728"/>
      <c r="AU45" s="728"/>
    </row>
    <row r="46" spans="1:47" s="419" customFormat="1" x14ac:dyDescent="0.2">
      <c r="A46" s="433" t="s">
        <v>145</v>
      </c>
      <c r="B46" s="418">
        <f>B45</f>
        <v>0</v>
      </c>
      <c r="C46" s="418">
        <f t="shared" ref="C46:AG46" si="23">C45+B46</f>
        <v>0</v>
      </c>
      <c r="D46" s="726">
        <f>D45+C46</f>
        <v>0</v>
      </c>
      <c r="E46" s="418">
        <f t="shared" si="23"/>
        <v>0</v>
      </c>
      <c r="F46" s="418">
        <f t="shared" si="23"/>
        <v>16650</v>
      </c>
      <c r="G46" s="418">
        <f t="shared" si="23"/>
        <v>33300</v>
      </c>
      <c r="H46" s="418">
        <f t="shared" si="23"/>
        <v>49950</v>
      </c>
      <c r="I46" s="418">
        <f t="shared" si="23"/>
        <v>66600</v>
      </c>
      <c r="J46" s="418">
        <f t="shared" si="23"/>
        <v>83250</v>
      </c>
      <c r="K46" s="418">
        <f t="shared" si="23"/>
        <v>99900</v>
      </c>
      <c r="L46" s="418">
        <f t="shared" si="23"/>
        <v>116550</v>
      </c>
      <c r="M46" s="418">
        <f t="shared" si="23"/>
        <v>133200</v>
      </c>
      <c r="N46" s="418">
        <f t="shared" si="23"/>
        <v>149850</v>
      </c>
      <c r="O46" s="418">
        <f t="shared" si="23"/>
        <v>166500</v>
      </c>
      <c r="P46" s="418">
        <f t="shared" si="23"/>
        <v>166500</v>
      </c>
      <c r="Q46" s="418">
        <f>Q45+P46</f>
        <v>166500</v>
      </c>
      <c r="R46" s="418">
        <f>R45+Q46</f>
        <v>166500</v>
      </c>
      <c r="S46" s="418">
        <f t="shared" si="23"/>
        <v>166500</v>
      </c>
      <c r="T46" s="418">
        <f t="shared" si="23"/>
        <v>166500</v>
      </c>
      <c r="U46" s="418">
        <f t="shared" si="23"/>
        <v>166500</v>
      </c>
      <c r="V46" s="418">
        <f t="shared" si="23"/>
        <v>166500</v>
      </c>
      <c r="W46" s="418">
        <f t="shared" si="23"/>
        <v>166500</v>
      </c>
      <c r="X46" s="418">
        <f t="shared" si="23"/>
        <v>166500</v>
      </c>
      <c r="Y46" s="418">
        <f t="shared" si="23"/>
        <v>166500</v>
      </c>
      <c r="Z46" s="418">
        <f t="shared" si="23"/>
        <v>166500</v>
      </c>
      <c r="AA46" s="418">
        <f t="shared" si="23"/>
        <v>166500</v>
      </c>
      <c r="AB46" s="418">
        <f t="shared" si="23"/>
        <v>166500</v>
      </c>
      <c r="AC46" s="418">
        <f t="shared" si="23"/>
        <v>166500</v>
      </c>
      <c r="AD46" s="418">
        <f t="shared" si="23"/>
        <v>166500</v>
      </c>
      <c r="AE46" s="418">
        <f t="shared" si="23"/>
        <v>166500</v>
      </c>
      <c r="AF46" s="418">
        <f t="shared" si="23"/>
        <v>166500</v>
      </c>
      <c r="AG46" s="418">
        <f t="shared" si="23"/>
        <v>166500</v>
      </c>
      <c r="AH46" s="418">
        <f>AH45+AG46</f>
        <v>166500</v>
      </c>
      <c r="AI46" s="418"/>
      <c r="AL46" s="728"/>
      <c r="AM46" s="727"/>
      <c r="AN46" s="728"/>
      <c r="AO46" s="730"/>
      <c r="AP46" s="731"/>
      <c r="AQ46" s="730"/>
      <c r="AR46" s="731"/>
      <c r="AS46" s="730"/>
      <c r="AT46" s="728"/>
      <c r="AU46" s="728"/>
    </row>
    <row r="47" spans="1:47" s="419" customFormat="1" x14ac:dyDescent="0.2">
      <c r="A47" s="433" t="s">
        <v>146</v>
      </c>
      <c r="B47" s="418">
        <f t="shared" ref="B47:AG47" si="24">ROUND(IF(B43-B46&gt;0,B43-B46,0),0)</f>
        <v>0</v>
      </c>
      <c r="C47" s="418">
        <f t="shared" si="24"/>
        <v>0</v>
      </c>
      <c r="D47" s="418">
        <f t="shared" si="24"/>
        <v>54500</v>
      </c>
      <c r="E47" s="418">
        <f t="shared" si="24"/>
        <v>166500</v>
      </c>
      <c r="F47" s="418">
        <f t="shared" si="24"/>
        <v>149850</v>
      </c>
      <c r="G47" s="418">
        <f t="shared" si="24"/>
        <v>133200</v>
      </c>
      <c r="H47" s="418">
        <f t="shared" si="24"/>
        <v>116550</v>
      </c>
      <c r="I47" s="418">
        <f t="shared" si="24"/>
        <v>99900</v>
      </c>
      <c r="J47" s="418">
        <f t="shared" si="24"/>
        <v>83250</v>
      </c>
      <c r="K47" s="418">
        <f t="shared" si="24"/>
        <v>66600</v>
      </c>
      <c r="L47" s="418">
        <f t="shared" si="24"/>
        <v>49950</v>
      </c>
      <c r="M47" s="418">
        <f t="shared" si="24"/>
        <v>33300</v>
      </c>
      <c r="N47" s="418">
        <f t="shared" si="24"/>
        <v>16650</v>
      </c>
      <c r="O47" s="418">
        <f t="shared" si="24"/>
        <v>0</v>
      </c>
      <c r="P47" s="418">
        <f t="shared" si="24"/>
        <v>0</v>
      </c>
      <c r="Q47" s="418">
        <f t="shared" si="24"/>
        <v>0</v>
      </c>
      <c r="R47" s="418">
        <f t="shared" si="24"/>
        <v>0</v>
      </c>
      <c r="S47" s="418">
        <f t="shared" si="24"/>
        <v>0</v>
      </c>
      <c r="T47" s="418">
        <f t="shared" si="24"/>
        <v>0</v>
      </c>
      <c r="U47" s="418">
        <f t="shared" si="24"/>
        <v>0</v>
      </c>
      <c r="V47" s="418">
        <f t="shared" si="24"/>
        <v>0</v>
      </c>
      <c r="W47" s="418">
        <f t="shared" si="24"/>
        <v>0</v>
      </c>
      <c r="X47" s="418">
        <f t="shared" si="24"/>
        <v>0</v>
      </c>
      <c r="Y47" s="418">
        <f t="shared" si="24"/>
        <v>0</v>
      </c>
      <c r="Z47" s="418">
        <f t="shared" si="24"/>
        <v>0</v>
      </c>
      <c r="AA47" s="418">
        <f t="shared" si="24"/>
        <v>0</v>
      </c>
      <c r="AB47" s="418">
        <f t="shared" si="24"/>
        <v>0</v>
      </c>
      <c r="AC47" s="418">
        <f t="shared" si="24"/>
        <v>0</v>
      </c>
      <c r="AD47" s="418">
        <f t="shared" si="24"/>
        <v>0</v>
      </c>
      <c r="AE47" s="418">
        <f t="shared" si="24"/>
        <v>0</v>
      </c>
      <c r="AF47" s="418">
        <f t="shared" si="24"/>
        <v>0</v>
      </c>
      <c r="AG47" s="418">
        <f t="shared" si="24"/>
        <v>0</v>
      </c>
      <c r="AH47" s="418">
        <f>ROUND(IF(AH43-AH46&gt;0,AH43-AH46,0),0)</f>
        <v>0</v>
      </c>
      <c r="AI47" s="418"/>
      <c r="AL47" s="728"/>
      <c r="AM47" s="727"/>
      <c r="AN47" s="728"/>
      <c r="AO47" s="730"/>
      <c r="AP47" s="731"/>
      <c r="AQ47" s="730"/>
      <c r="AR47" s="731"/>
      <c r="AS47" s="730"/>
      <c r="AT47" s="728"/>
      <c r="AU47" s="728"/>
    </row>
    <row r="48" spans="1:47" s="419" customFormat="1" x14ac:dyDescent="0.2">
      <c r="A48" s="432" t="s">
        <v>12</v>
      </c>
      <c r="B48" s="429"/>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L48" s="728"/>
      <c r="AM48" s="727"/>
      <c r="AN48" s="728"/>
      <c r="AO48" s="730"/>
      <c r="AP48" s="731"/>
      <c r="AQ48" s="730"/>
      <c r="AR48" s="731"/>
      <c r="AS48" s="730"/>
      <c r="AT48" s="728"/>
      <c r="AU48" s="728"/>
    </row>
    <row r="49" spans="1:47" s="419" customFormat="1" x14ac:dyDescent="0.2">
      <c r="A49" s="433" t="s">
        <v>142</v>
      </c>
      <c r="B49" s="436">
        <f>'Datu ievade'!B65+'Datu ievade'!B66+'Datu ievade'!B67+'Datu ievade'!B68</f>
        <v>0</v>
      </c>
      <c r="C49" s="436">
        <f>'Datu ievade'!C65+'Datu ievade'!C66+'Datu ievade'!C67+'Datu ievade'!C68+B49</f>
        <v>0</v>
      </c>
      <c r="D49" s="436">
        <f>'Datu ievade'!D65+'Datu ievade'!D66+'Datu ievade'!D67+'Datu ievade'!D68+C49</f>
        <v>25343</v>
      </c>
      <c r="E49" s="436">
        <f>'Datu ievade'!E65+'Datu ievade'!E66+'Datu ievade'!E67+'Datu ievade'!E68+D49</f>
        <v>37103</v>
      </c>
      <c r="F49" s="436">
        <f>'Datu ievade'!F65+'Datu ievade'!F66+'Datu ievade'!F67+'Datu ievade'!F68+E49</f>
        <v>37103</v>
      </c>
      <c r="G49" s="436">
        <f>'Datu ievade'!G65+'Datu ievade'!G66+'Datu ievade'!G67+'Datu ievade'!G68+F49</f>
        <v>37103</v>
      </c>
      <c r="H49" s="436">
        <f>'Datu ievade'!H65+'Datu ievade'!H66+'Datu ievade'!H67+'Datu ievade'!H68+G49</f>
        <v>37103</v>
      </c>
      <c r="I49" s="436">
        <f>'Datu ievade'!I65+'Datu ievade'!I66+'Datu ievade'!I67+'Datu ievade'!I68+H49</f>
        <v>37103</v>
      </c>
      <c r="J49" s="436">
        <f>'Datu ievade'!J65+'Datu ievade'!J66+'Datu ievade'!J67+'Datu ievade'!J68+I49</f>
        <v>37103</v>
      </c>
      <c r="K49" s="436">
        <f>'Datu ievade'!K65+'Datu ievade'!K66+'Datu ievade'!K67+'Datu ievade'!K68+J49</f>
        <v>37103</v>
      </c>
      <c r="L49" s="436">
        <f>'Datu ievade'!L65+'Datu ievade'!L66+'Datu ievade'!L67+'Datu ievade'!L68+K49</f>
        <v>37103</v>
      </c>
      <c r="M49" s="436">
        <f>'Datu ievade'!M65+'Datu ievade'!M66+'Datu ievade'!M67+'Datu ievade'!M68+L49</f>
        <v>37103</v>
      </c>
      <c r="N49" s="436">
        <f>'Datu ievade'!N65+'Datu ievade'!N66+'Datu ievade'!N67+'Datu ievade'!N68+M49</f>
        <v>37103</v>
      </c>
      <c r="O49" s="436">
        <f>'Datu ievade'!O65+'Datu ievade'!O66+'Datu ievade'!O67+'Datu ievade'!O68+N49</f>
        <v>37103</v>
      </c>
      <c r="P49" s="436">
        <f>'Datu ievade'!P65+'Datu ievade'!P66+'Datu ievade'!P67+'Datu ievade'!P68+O49</f>
        <v>37103</v>
      </c>
      <c r="Q49" s="436">
        <f>'Datu ievade'!Q65+'Datu ievade'!Q66+'Datu ievade'!Q67+'Datu ievade'!Q68+P49</f>
        <v>37103</v>
      </c>
      <c r="R49" s="436">
        <f>'Datu ievade'!R65+'Datu ievade'!R66+'Datu ievade'!R67+'Datu ievade'!R68+Q49</f>
        <v>37103</v>
      </c>
      <c r="S49" s="436">
        <f>'Datu ievade'!S65+'Datu ievade'!S66+'Datu ievade'!S67+'Datu ievade'!S68+R49</f>
        <v>37103</v>
      </c>
      <c r="T49" s="436">
        <f>'Datu ievade'!T65+'Datu ievade'!T66+'Datu ievade'!T67+'Datu ievade'!T68+S49</f>
        <v>37103</v>
      </c>
      <c r="U49" s="436">
        <f>'Datu ievade'!U65+'Datu ievade'!U66+'Datu ievade'!U67+'Datu ievade'!U68+T49</f>
        <v>37103</v>
      </c>
      <c r="V49" s="436">
        <f>'Datu ievade'!V65+'Datu ievade'!V66+'Datu ievade'!V67+'Datu ievade'!V68+U49</f>
        <v>37103</v>
      </c>
      <c r="W49" s="436">
        <f>'Datu ievade'!W65+'Datu ievade'!W66+'Datu ievade'!W67+'Datu ievade'!W68+V49</f>
        <v>37103</v>
      </c>
      <c r="X49" s="436">
        <f>'Datu ievade'!X65+'Datu ievade'!X66+'Datu ievade'!X67+'Datu ievade'!X68+W49</f>
        <v>37103</v>
      </c>
      <c r="Y49" s="436">
        <f>'Datu ievade'!Y65+'Datu ievade'!Y66+'Datu ievade'!Y67+'Datu ievade'!Y68+X49</f>
        <v>37103</v>
      </c>
      <c r="Z49" s="436">
        <f>'Datu ievade'!Z65+'Datu ievade'!Z66+'Datu ievade'!Z67+'Datu ievade'!Z68+Y49</f>
        <v>37103</v>
      </c>
      <c r="AA49" s="436">
        <f>'Datu ievade'!AA65+'Datu ievade'!AA66+'Datu ievade'!AA67+'Datu ievade'!AA68+Z49</f>
        <v>37103</v>
      </c>
      <c r="AB49" s="436">
        <f>'Datu ievade'!AB65+'Datu ievade'!AB66+'Datu ievade'!AB67+'Datu ievade'!AB68+AA49</f>
        <v>37103</v>
      </c>
      <c r="AC49" s="436">
        <f>'Datu ievade'!AC65+'Datu ievade'!AC66+'Datu ievade'!AC67+'Datu ievade'!AC68+AB49</f>
        <v>37103</v>
      </c>
      <c r="AD49" s="436">
        <f>'Datu ievade'!AD65+'Datu ievade'!AD66+'Datu ievade'!AD67+'Datu ievade'!AD68+AC49</f>
        <v>37103</v>
      </c>
      <c r="AE49" s="436">
        <f>'Datu ievade'!AE65+'Datu ievade'!AE66+'Datu ievade'!AE67+'Datu ievade'!AE68+AD49</f>
        <v>37103</v>
      </c>
      <c r="AF49" s="436">
        <f>'Datu ievade'!AF65+'Datu ievade'!AF66+'Datu ievade'!AF67+'Datu ievade'!AF68+AE49</f>
        <v>37103</v>
      </c>
      <c r="AG49" s="436">
        <f>'Datu ievade'!AG65+'Datu ievade'!AG66+'Datu ievade'!AG67+'Datu ievade'!AG68+AF49</f>
        <v>37103</v>
      </c>
      <c r="AH49" s="436">
        <f>'Datu ievade'!AH65+'Datu ievade'!AH66+'Datu ievade'!AH67+'Datu ievade'!AH68+AG49</f>
        <v>37103</v>
      </c>
      <c r="AI49" s="436"/>
      <c r="AL49" s="728"/>
      <c r="AM49" s="727"/>
      <c r="AN49" s="728"/>
      <c r="AO49" s="730"/>
      <c r="AP49" s="731"/>
      <c r="AQ49" s="730"/>
      <c r="AR49" s="731"/>
      <c r="AS49" s="730"/>
      <c r="AT49" s="728"/>
      <c r="AU49" s="728"/>
    </row>
    <row r="50" spans="1:47" s="419" customFormat="1" x14ac:dyDescent="0.2">
      <c r="A50" s="433" t="s">
        <v>143</v>
      </c>
      <c r="B50" s="434">
        <f>1/'Datu ievade'!$B$29</f>
        <v>0.1</v>
      </c>
      <c r="C50" s="434">
        <f>1/'Datu ievade'!$B$29</f>
        <v>0.1</v>
      </c>
      <c r="D50" s="434">
        <f>1/'Datu ievade'!$B$29</f>
        <v>0.1</v>
      </c>
      <c r="E50" s="434">
        <f>1/'Datu ievade'!$B$29</f>
        <v>0.1</v>
      </c>
      <c r="F50" s="434">
        <f>1/'Datu ievade'!$B$29</f>
        <v>0.1</v>
      </c>
      <c r="G50" s="434">
        <f>1/'Datu ievade'!$B$29</f>
        <v>0.1</v>
      </c>
      <c r="H50" s="434">
        <f>1/'Datu ievade'!$B$29</f>
        <v>0.1</v>
      </c>
      <c r="I50" s="434">
        <f>1/'Datu ievade'!$B$29</f>
        <v>0.1</v>
      </c>
      <c r="J50" s="434">
        <f>1/'Datu ievade'!$B$29</f>
        <v>0.1</v>
      </c>
      <c r="K50" s="434">
        <f>1/'Datu ievade'!$B$29</f>
        <v>0.1</v>
      </c>
      <c r="L50" s="434">
        <f>1/'Datu ievade'!$B$29</f>
        <v>0.1</v>
      </c>
      <c r="M50" s="434">
        <f>1/'Datu ievade'!$B$29</f>
        <v>0.1</v>
      </c>
      <c r="N50" s="434">
        <f>1/'Datu ievade'!$B$29</f>
        <v>0.1</v>
      </c>
      <c r="O50" s="434">
        <f>1/'Datu ievade'!$B$29</f>
        <v>0.1</v>
      </c>
      <c r="P50" s="434">
        <f>1/'Datu ievade'!$B$29</f>
        <v>0.1</v>
      </c>
      <c r="Q50" s="434">
        <f>1/'Datu ievade'!$B$29</f>
        <v>0.1</v>
      </c>
      <c r="R50" s="434">
        <f>1/'Datu ievade'!$B$29</f>
        <v>0.1</v>
      </c>
      <c r="S50" s="434">
        <f>1/'Datu ievade'!$B$29</f>
        <v>0.1</v>
      </c>
      <c r="T50" s="434">
        <f>1/'Datu ievade'!$B$29</f>
        <v>0.1</v>
      </c>
      <c r="U50" s="434">
        <f>1/'Datu ievade'!$B$29</f>
        <v>0.1</v>
      </c>
      <c r="V50" s="434">
        <f>1/'Datu ievade'!$B$29</f>
        <v>0.1</v>
      </c>
      <c r="W50" s="434">
        <f>1/'Datu ievade'!$B$29</f>
        <v>0.1</v>
      </c>
      <c r="X50" s="434">
        <f>1/'Datu ievade'!$B$29</f>
        <v>0.1</v>
      </c>
      <c r="Y50" s="434">
        <f>1/'Datu ievade'!$B$29</f>
        <v>0.1</v>
      </c>
      <c r="Z50" s="434">
        <f>1/'Datu ievade'!$B$29</f>
        <v>0.1</v>
      </c>
      <c r="AA50" s="434">
        <f>1/'Datu ievade'!$B$29</f>
        <v>0.1</v>
      </c>
      <c r="AB50" s="434">
        <f>1/'Datu ievade'!$B$29</f>
        <v>0.1</v>
      </c>
      <c r="AC50" s="434">
        <f>1/'Datu ievade'!$B$29</f>
        <v>0.1</v>
      </c>
      <c r="AD50" s="434">
        <f>1/'Datu ievade'!$B$29</f>
        <v>0.1</v>
      </c>
      <c r="AE50" s="434">
        <f>1/'Datu ievade'!$B$29</f>
        <v>0.1</v>
      </c>
      <c r="AF50" s="434">
        <f>1/'Datu ievade'!$B$29</f>
        <v>0.1</v>
      </c>
      <c r="AG50" s="434">
        <f>1/'Datu ievade'!$B$29</f>
        <v>0.1</v>
      </c>
      <c r="AH50" s="434">
        <f>1/'Datu ievade'!$B$29</f>
        <v>0.1</v>
      </c>
      <c r="AI50" s="434"/>
      <c r="AL50" s="728"/>
      <c r="AM50" s="727"/>
      <c r="AN50" s="728"/>
      <c r="AO50" s="730"/>
      <c r="AP50" s="731"/>
      <c r="AQ50" s="730"/>
      <c r="AR50" s="731"/>
      <c r="AS50" s="730"/>
      <c r="AT50" s="728"/>
      <c r="AU50" s="728"/>
    </row>
    <row r="51" spans="1:47" s="419" customFormat="1" x14ac:dyDescent="0.2">
      <c r="A51" s="433" t="s">
        <v>144</v>
      </c>
      <c r="B51" s="435">
        <v>0</v>
      </c>
      <c r="C51" s="418">
        <f t="shared" ref="C51:AG51" si="25">IF(B53&gt;0,IF(C49-B49&gt;0,0,C50*C49),0)</f>
        <v>0</v>
      </c>
      <c r="D51" s="418">
        <f t="shared" si="25"/>
        <v>0</v>
      </c>
      <c r="E51" s="418">
        <f t="shared" si="25"/>
        <v>0</v>
      </c>
      <c r="F51" s="418">
        <f t="shared" si="25"/>
        <v>3710.3</v>
      </c>
      <c r="G51" s="418">
        <f t="shared" si="25"/>
        <v>3710.3</v>
      </c>
      <c r="H51" s="418">
        <f t="shared" si="25"/>
        <v>3710.3</v>
      </c>
      <c r="I51" s="418">
        <f t="shared" si="25"/>
        <v>3710.3</v>
      </c>
      <c r="J51" s="418">
        <f t="shared" si="25"/>
        <v>3710.3</v>
      </c>
      <c r="K51" s="418">
        <f t="shared" si="25"/>
        <v>3710.3</v>
      </c>
      <c r="L51" s="418">
        <f t="shared" si="25"/>
        <v>3710.3</v>
      </c>
      <c r="M51" s="418">
        <f t="shared" si="25"/>
        <v>3710.3</v>
      </c>
      <c r="N51" s="418">
        <f t="shared" si="25"/>
        <v>3710.3</v>
      </c>
      <c r="O51" s="418">
        <f t="shared" si="25"/>
        <v>3710.3</v>
      </c>
      <c r="P51" s="418">
        <f t="shared" si="25"/>
        <v>0</v>
      </c>
      <c r="Q51" s="418">
        <f t="shared" si="25"/>
        <v>0</v>
      </c>
      <c r="R51" s="418">
        <f t="shared" si="25"/>
        <v>0</v>
      </c>
      <c r="S51" s="418">
        <f t="shared" si="25"/>
        <v>0</v>
      </c>
      <c r="T51" s="418">
        <f t="shared" si="25"/>
        <v>0</v>
      </c>
      <c r="U51" s="418">
        <f t="shared" si="25"/>
        <v>0</v>
      </c>
      <c r="V51" s="418">
        <f t="shared" si="25"/>
        <v>0</v>
      </c>
      <c r="W51" s="418">
        <f t="shared" si="25"/>
        <v>0</v>
      </c>
      <c r="X51" s="418">
        <f t="shared" si="25"/>
        <v>0</v>
      </c>
      <c r="Y51" s="418">
        <f t="shared" si="25"/>
        <v>0</v>
      </c>
      <c r="Z51" s="418">
        <f t="shared" si="25"/>
        <v>0</v>
      </c>
      <c r="AA51" s="418">
        <f t="shared" si="25"/>
        <v>0</v>
      </c>
      <c r="AB51" s="418">
        <f t="shared" si="25"/>
        <v>0</v>
      </c>
      <c r="AC51" s="418">
        <f t="shared" si="25"/>
        <v>0</v>
      </c>
      <c r="AD51" s="418">
        <f t="shared" si="25"/>
        <v>0</v>
      </c>
      <c r="AE51" s="418">
        <f t="shared" si="25"/>
        <v>0</v>
      </c>
      <c r="AF51" s="418">
        <f t="shared" si="25"/>
        <v>0</v>
      </c>
      <c r="AG51" s="418">
        <f t="shared" si="25"/>
        <v>0</v>
      </c>
      <c r="AH51" s="418">
        <f>IF(AG53&gt;0,IF(AH49-AG49&gt;0,0,AH50*AH49),0)</f>
        <v>0</v>
      </c>
      <c r="AI51" s="418"/>
      <c r="AL51" s="728"/>
      <c r="AM51" s="727"/>
      <c r="AN51" s="728"/>
      <c r="AO51" s="730"/>
      <c r="AP51" s="731"/>
      <c r="AQ51" s="730"/>
      <c r="AR51" s="731"/>
      <c r="AS51" s="730"/>
      <c r="AT51" s="728"/>
      <c r="AU51" s="728"/>
    </row>
    <row r="52" spans="1:47" s="419" customFormat="1" x14ac:dyDescent="0.2">
      <c r="A52" s="433" t="s">
        <v>145</v>
      </c>
      <c r="B52" s="418">
        <f>B51</f>
        <v>0</v>
      </c>
      <c r="C52" s="418">
        <f t="shared" ref="C52:AG52" si="26">C51+B52</f>
        <v>0</v>
      </c>
      <c r="D52" s="418">
        <f t="shared" si="26"/>
        <v>0</v>
      </c>
      <c r="E52" s="418">
        <f t="shared" si="26"/>
        <v>0</v>
      </c>
      <c r="F52" s="418">
        <f t="shared" si="26"/>
        <v>3710.3</v>
      </c>
      <c r="G52" s="418">
        <f t="shared" si="26"/>
        <v>7420.6</v>
      </c>
      <c r="H52" s="418">
        <f t="shared" si="26"/>
        <v>11130.900000000001</v>
      </c>
      <c r="I52" s="418">
        <f t="shared" si="26"/>
        <v>14841.2</v>
      </c>
      <c r="J52" s="418">
        <f t="shared" si="26"/>
        <v>18551.5</v>
      </c>
      <c r="K52" s="418">
        <f t="shared" si="26"/>
        <v>22261.8</v>
      </c>
      <c r="L52" s="418">
        <f t="shared" si="26"/>
        <v>25972.1</v>
      </c>
      <c r="M52" s="418">
        <f t="shared" si="26"/>
        <v>29682.399999999998</v>
      </c>
      <c r="N52" s="418">
        <f t="shared" si="26"/>
        <v>33392.699999999997</v>
      </c>
      <c r="O52" s="418">
        <f t="shared" si="26"/>
        <v>37103</v>
      </c>
      <c r="P52" s="418">
        <f t="shared" si="26"/>
        <v>37103</v>
      </c>
      <c r="Q52" s="418">
        <f t="shared" si="26"/>
        <v>37103</v>
      </c>
      <c r="R52" s="418">
        <f t="shared" si="26"/>
        <v>37103</v>
      </c>
      <c r="S52" s="418">
        <f t="shared" si="26"/>
        <v>37103</v>
      </c>
      <c r="T52" s="418">
        <f t="shared" si="26"/>
        <v>37103</v>
      </c>
      <c r="U52" s="418">
        <f t="shared" si="26"/>
        <v>37103</v>
      </c>
      <c r="V52" s="418">
        <f t="shared" si="26"/>
        <v>37103</v>
      </c>
      <c r="W52" s="418">
        <f t="shared" si="26"/>
        <v>37103</v>
      </c>
      <c r="X52" s="418">
        <f t="shared" si="26"/>
        <v>37103</v>
      </c>
      <c r="Y52" s="418">
        <f t="shared" si="26"/>
        <v>37103</v>
      </c>
      <c r="Z52" s="418">
        <f t="shared" si="26"/>
        <v>37103</v>
      </c>
      <c r="AA52" s="418">
        <f t="shared" si="26"/>
        <v>37103</v>
      </c>
      <c r="AB52" s="418">
        <f t="shared" si="26"/>
        <v>37103</v>
      </c>
      <c r="AC52" s="418">
        <f t="shared" si="26"/>
        <v>37103</v>
      </c>
      <c r="AD52" s="418">
        <f t="shared" si="26"/>
        <v>37103</v>
      </c>
      <c r="AE52" s="418">
        <f t="shared" si="26"/>
        <v>37103</v>
      </c>
      <c r="AF52" s="418">
        <f t="shared" si="26"/>
        <v>37103</v>
      </c>
      <c r="AG52" s="418">
        <f t="shared" si="26"/>
        <v>37103</v>
      </c>
      <c r="AH52" s="418">
        <f>AH51+AG52</f>
        <v>37103</v>
      </c>
      <c r="AI52" s="418"/>
      <c r="AL52" s="728"/>
      <c r="AM52" s="727"/>
      <c r="AN52" s="728"/>
      <c r="AO52" s="730"/>
      <c r="AP52" s="731"/>
      <c r="AQ52" s="730"/>
      <c r="AR52" s="731"/>
      <c r="AS52" s="730"/>
      <c r="AT52" s="728"/>
      <c r="AU52" s="728"/>
    </row>
    <row r="53" spans="1:47" s="419" customFormat="1" x14ac:dyDescent="0.2">
      <c r="A53" s="433" t="s">
        <v>146</v>
      </c>
      <c r="B53" s="418">
        <f t="shared" ref="B53:AG53" si="27">ROUND(IF(B49-B52&gt;0,B49-B52,0),0)</f>
        <v>0</v>
      </c>
      <c r="C53" s="418">
        <f t="shared" si="27"/>
        <v>0</v>
      </c>
      <c r="D53" s="418">
        <f t="shared" si="27"/>
        <v>25343</v>
      </c>
      <c r="E53" s="418">
        <f t="shared" si="27"/>
        <v>37103</v>
      </c>
      <c r="F53" s="418">
        <f t="shared" si="27"/>
        <v>33393</v>
      </c>
      <c r="G53" s="418">
        <f t="shared" si="27"/>
        <v>29682</v>
      </c>
      <c r="H53" s="418">
        <f t="shared" si="27"/>
        <v>25972</v>
      </c>
      <c r="I53" s="418">
        <f t="shared" si="27"/>
        <v>22262</v>
      </c>
      <c r="J53" s="418">
        <f t="shared" si="27"/>
        <v>18552</v>
      </c>
      <c r="K53" s="418">
        <f t="shared" si="27"/>
        <v>14841</v>
      </c>
      <c r="L53" s="418">
        <f t="shared" si="27"/>
        <v>11131</v>
      </c>
      <c r="M53" s="418">
        <f t="shared" si="27"/>
        <v>7421</v>
      </c>
      <c r="N53" s="418">
        <f t="shared" si="27"/>
        <v>3710</v>
      </c>
      <c r="O53" s="418">
        <f t="shared" si="27"/>
        <v>0</v>
      </c>
      <c r="P53" s="418">
        <f t="shared" si="27"/>
        <v>0</v>
      </c>
      <c r="Q53" s="418">
        <f t="shared" si="27"/>
        <v>0</v>
      </c>
      <c r="R53" s="418">
        <f t="shared" si="27"/>
        <v>0</v>
      </c>
      <c r="S53" s="418">
        <f t="shared" si="27"/>
        <v>0</v>
      </c>
      <c r="T53" s="418">
        <f t="shared" si="27"/>
        <v>0</v>
      </c>
      <c r="U53" s="418">
        <f t="shared" si="27"/>
        <v>0</v>
      </c>
      <c r="V53" s="418">
        <f t="shared" si="27"/>
        <v>0</v>
      </c>
      <c r="W53" s="418">
        <f t="shared" si="27"/>
        <v>0</v>
      </c>
      <c r="X53" s="418">
        <f t="shared" si="27"/>
        <v>0</v>
      </c>
      <c r="Y53" s="418">
        <f t="shared" si="27"/>
        <v>0</v>
      </c>
      <c r="Z53" s="418">
        <f t="shared" si="27"/>
        <v>0</v>
      </c>
      <c r="AA53" s="418">
        <f t="shared" si="27"/>
        <v>0</v>
      </c>
      <c r="AB53" s="418">
        <f t="shared" si="27"/>
        <v>0</v>
      </c>
      <c r="AC53" s="418">
        <f t="shared" si="27"/>
        <v>0</v>
      </c>
      <c r="AD53" s="418">
        <f t="shared" si="27"/>
        <v>0</v>
      </c>
      <c r="AE53" s="418">
        <f t="shared" si="27"/>
        <v>0</v>
      </c>
      <c r="AF53" s="418">
        <f t="shared" si="27"/>
        <v>0</v>
      </c>
      <c r="AG53" s="418">
        <f t="shared" si="27"/>
        <v>0</v>
      </c>
      <c r="AH53" s="418">
        <f>ROUND(IF(AH49-AH52&gt;0,AH49-AH52,0),0)</f>
        <v>0</v>
      </c>
      <c r="AI53" s="418"/>
      <c r="AL53" s="728"/>
      <c r="AM53" s="727"/>
      <c r="AN53" s="728"/>
      <c r="AO53" s="730"/>
      <c r="AP53" s="731"/>
      <c r="AQ53" s="730"/>
      <c r="AR53" s="731"/>
      <c r="AS53" s="730"/>
      <c r="AT53" s="728"/>
      <c r="AU53" s="728"/>
    </row>
    <row r="54" spans="1:47" s="419" customFormat="1" x14ac:dyDescent="0.2">
      <c r="A54" s="437"/>
      <c r="B54" s="429"/>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L54" s="728"/>
      <c r="AM54" s="727"/>
      <c r="AN54" s="728"/>
      <c r="AO54" s="730"/>
      <c r="AP54" s="731"/>
      <c r="AQ54" s="730"/>
      <c r="AR54" s="731"/>
      <c r="AS54" s="730"/>
      <c r="AT54" s="728"/>
      <c r="AU54" s="728"/>
    </row>
    <row r="55" spans="1:47" s="419" customFormat="1" x14ac:dyDescent="0.2">
      <c r="A55" s="438" t="s">
        <v>147</v>
      </c>
      <c r="B55" s="439"/>
      <c r="C55" s="439"/>
      <c r="D55" s="439"/>
      <c r="E55" s="439"/>
      <c r="F55" s="439"/>
      <c r="G55" s="439"/>
      <c r="H55" s="43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L55" s="728"/>
      <c r="AM55" s="727"/>
      <c r="AN55" s="728"/>
      <c r="AO55" s="730"/>
      <c r="AP55" s="731"/>
      <c r="AQ55" s="730"/>
      <c r="AR55" s="731"/>
      <c r="AS55" s="730"/>
      <c r="AT55" s="728"/>
      <c r="AU55" s="728"/>
    </row>
    <row r="56" spans="1:47" s="419" customFormat="1" x14ac:dyDescent="0.2">
      <c r="A56" s="432" t="s">
        <v>10</v>
      </c>
      <c r="B56" s="429"/>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L56" s="728"/>
      <c r="AM56" s="727"/>
      <c r="AN56" s="728"/>
      <c r="AO56" s="730"/>
      <c r="AP56" s="731"/>
      <c r="AQ56" s="730"/>
      <c r="AR56" s="731"/>
      <c r="AS56" s="730"/>
      <c r="AT56" s="728"/>
      <c r="AU56" s="728"/>
    </row>
    <row r="57" spans="1:47" s="419" customFormat="1" x14ac:dyDescent="0.2">
      <c r="A57" s="433" t="s">
        <v>142</v>
      </c>
      <c r="B57" s="418">
        <f>'Datu ievade'!B71</f>
        <v>0</v>
      </c>
      <c r="C57" s="418">
        <f>'Datu ievade'!C71+B57</f>
        <v>0</v>
      </c>
      <c r="D57" s="418">
        <f>'Datu ievade'!D71+C57</f>
        <v>179850</v>
      </c>
      <c r="E57" s="418">
        <f>'Datu ievade'!E71+D57</f>
        <v>616650</v>
      </c>
      <c r="F57" s="418">
        <f>'Datu ievade'!F71+E57</f>
        <v>616650</v>
      </c>
      <c r="G57" s="418">
        <f>'Datu ievade'!G71+F57</f>
        <v>616650</v>
      </c>
      <c r="H57" s="418">
        <f>'Datu ievade'!H71+G57</f>
        <v>616650</v>
      </c>
      <c r="I57" s="418">
        <f>'Datu ievade'!I71+H57</f>
        <v>616650</v>
      </c>
      <c r="J57" s="418">
        <f>'Datu ievade'!J71+I57</f>
        <v>616650</v>
      </c>
      <c r="K57" s="418">
        <f>'Datu ievade'!K71+J57</f>
        <v>616650</v>
      </c>
      <c r="L57" s="418">
        <f>'Datu ievade'!L71+K57</f>
        <v>616650</v>
      </c>
      <c r="M57" s="418">
        <f>'Datu ievade'!M71+L57</f>
        <v>616650</v>
      </c>
      <c r="N57" s="418">
        <f>'Datu ievade'!N71+M57</f>
        <v>616650</v>
      </c>
      <c r="O57" s="418">
        <f>'Datu ievade'!O71+N57</f>
        <v>616650</v>
      </c>
      <c r="P57" s="418">
        <f>'Datu ievade'!P71+O57</f>
        <v>616650</v>
      </c>
      <c r="Q57" s="418">
        <f>'Datu ievade'!Q71+P57</f>
        <v>616650</v>
      </c>
      <c r="R57" s="418">
        <f>'Datu ievade'!R71+Q57</f>
        <v>616650</v>
      </c>
      <c r="S57" s="418">
        <f>'Datu ievade'!S71+R57</f>
        <v>616650</v>
      </c>
      <c r="T57" s="418">
        <f>'Datu ievade'!T71+S57</f>
        <v>616650</v>
      </c>
      <c r="U57" s="418">
        <f>'Datu ievade'!U71+T57</f>
        <v>616650</v>
      </c>
      <c r="V57" s="418">
        <f>'Datu ievade'!V71+U57</f>
        <v>616650</v>
      </c>
      <c r="W57" s="418">
        <f>'Datu ievade'!W71+V57</f>
        <v>616650</v>
      </c>
      <c r="X57" s="418">
        <f>'Datu ievade'!X71+W57</f>
        <v>616650</v>
      </c>
      <c r="Y57" s="418">
        <f>'Datu ievade'!Y71+X57</f>
        <v>616650</v>
      </c>
      <c r="Z57" s="418">
        <f>'Datu ievade'!Z71+Y57</f>
        <v>616650</v>
      </c>
      <c r="AA57" s="418">
        <f>'Datu ievade'!AA71+Z57</f>
        <v>616650</v>
      </c>
      <c r="AB57" s="418">
        <f>'Datu ievade'!AB71+AA57</f>
        <v>616650</v>
      </c>
      <c r="AC57" s="418">
        <f>'Datu ievade'!AC71+AB57</f>
        <v>616650</v>
      </c>
      <c r="AD57" s="418">
        <f>'Datu ievade'!AD71+AC57</f>
        <v>616650</v>
      </c>
      <c r="AE57" s="418">
        <f>'Datu ievade'!AE71+AD57</f>
        <v>616650</v>
      </c>
      <c r="AF57" s="418">
        <f>'Datu ievade'!AF71+AE57</f>
        <v>616650</v>
      </c>
      <c r="AG57" s="418">
        <f>'Datu ievade'!AG71+AF57</f>
        <v>616650</v>
      </c>
      <c r="AH57" s="418">
        <f>'Datu ievade'!AH71+AG57</f>
        <v>616650</v>
      </c>
      <c r="AI57" s="418"/>
      <c r="AM57" s="535"/>
      <c r="AO57" s="283"/>
      <c r="AP57" s="71"/>
      <c r="AQ57" s="283"/>
      <c r="AR57" s="71"/>
      <c r="AS57" s="283"/>
    </row>
    <row r="58" spans="1:47" s="419" customFormat="1" x14ac:dyDescent="0.2">
      <c r="A58" s="433" t="s">
        <v>143</v>
      </c>
      <c r="B58" s="434">
        <f>1/'Datu ievade'!$B$25</f>
        <v>0.02</v>
      </c>
      <c r="C58" s="434">
        <f>1/'Datu ievade'!$B$25</f>
        <v>0.02</v>
      </c>
      <c r="D58" s="434">
        <f>1/'Datu ievade'!$B$25</f>
        <v>0.02</v>
      </c>
      <c r="E58" s="434">
        <f>1/'Datu ievade'!$B$25</f>
        <v>0.02</v>
      </c>
      <c r="F58" s="434">
        <f>1/'Datu ievade'!$B$25</f>
        <v>0.02</v>
      </c>
      <c r="G58" s="434">
        <f>1/'Datu ievade'!$B$25</f>
        <v>0.02</v>
      </c>
      <c r="H58" s="434">
        <f>1/'Datu ievade'!$B$25</f>
        <v>0.02</v>
      </c>
      <c r="I58" s="434">
        <f>1/'Datu ievade'!$B$25</f>
        <v>0.02</v>
      </c>
      <c r="J58" s="434">
        <f>1/'Datu ievade'!$B$25</f>
        <v>0.02</v>
      </c>
      <c r="K58" s="434">
        <f>1/'Datu ievade'!$B$25</f>
        <v>0.02</v>
      </c>
      <c r="L58" s="434">
        <f>1/'Datu ievade'!$B$25</f>
        <v>0.02</v>
      </c>
      <c r="M58" s="434">
        <f>1/'Datu ievade'!$B$25</f>
        <v>0.02</v>
      </c>
      <c r="N58" s="434">
        <f>1/'Datu ievade'!$B$25</f>
        <v>0.02</v>
      </c>
      <c r="O58" s="434">
        <f>1/'Datu ievade'!$B$25</f>
        <v>0.02</v>
      </c>
      <c r="P58" s="434">
        <f>1/'Datu ievade'!$B$25</f>
        <v>0.02</v>
      </c>
      <c r="Q58" s="434">
        <f>1/'Datu ievade'!$B$25</f>
        <v>0.02</v>
      </c>
      <c r="R58" s="434">
        <f>1/'Datu ievade'!$B$25</f>
        <v>0.02</v>
      </c>
      <c r="S58" s="434">
        <f>1/'Datu ievade'!$B$25</f>
        <v>0.02</v>
      </c>
      <c r="T58" s="434">
        <f>1/'Datu ievade'!$B$25</f>
        <v>0.02</v>
      </c>
      <c r="U58" s="434">
        <f>1/'Datu ievade'!$B$25</f>
        <v>0.02</v>
      </c>
      <c r="V58" s="434">
        <f>1/'Datu ievade'!$B$25</f>
        <v>0.02</v>
      </c>
      <c r="W58" s="434">
        <f>1/'Datu ievade'!$B$25</f>
        <v>0.02</v>
      </c>
      <c r="X58" s="434">
        <f>1/'Datu ievade'!$B$25</f>
        <v>0.02</v>
      </c>
      <c r="Y58" s="434">
        <f>1/'Datu ievade'!$B$25</f>
        <v>0.02</v>
      </c>
      <c r="Z58" s="434">
        <f>1/'Datu ievade'!$B$25</f>
        <v>0.02</v>
      </c>
      <c r="AA58" s="434">
        <f>1/'Datu ievade'!$B$25</f>
        <v>0.02</v>
      </c>
      <c r="AB58" s="434">
        <f>1/'Datu ievade'!$B$25</f>
        <v>0.02</v>
      </c>
      <c r="AC58" s="434">
        <f>1/'Datu ievade'!$B$25</f>
        <v>0.02</v>
      </c>
      <c r="AD58" s="434">
        <f>1/'Datu ievade'!$B$25</f>
        <v>0.02</v>
      </c>
      <c r="AE58" s="434">
        <f>1/'Datu ievade'!$B$25</f>
        <v>0.02</v>
      </c>
      <c r="AF58" s="434">
        <f>1/'Datu ievade'!$B$25</f>
        <v>0.02</v>
      </c>
      <c r="AG58" s="434">
        <f>1/'Datu ievade'!$B$25</f>
        <v>0.02</v>
      </c>
      <c r="AH58" s="434">
        <f>1/'Datu ievade'!$B$25</f>
        <v>0.02</v>
      </c>
      <c r="AI58" s="434"/>
      <c r="AM58" s="535"/>
      <c r="AO58" s="283"/>
      <c r="AP58" s="71"/>
      <c r="AQ58" s="283"/>
      <c r="AR58" s="71"/>
      <c r="AS58" s="283"/>
    </row>
    <row r="59" spans="1:47" s="419" customFormat="1" x14ac:dyDescent="0.2">
      <c r="A59" s="433" t="s">
        <v>144</v>
      </c>
      <c r="B59" s="435">
        <v>0</v>
      </c>
      <c r="C59" s="418">
        <f t="shared" ref="C59:AG59" si="28">IF(B61&gt;0,IF(C57-B57&gt;0,0,C58*C57),0)</f>
        <v>0</v>
      </c>
      <c r="D59" s="418">
        <f t="shared" si="28"/>
        <v>0</v>
      </c>
      <c r="E59" s="418">
        <f t="shared" si="28"/>
        <v>0</v>
      </c>
      <c r="F59" s="418">
        <f t="shared" si="28"/>
        <v>12333</v>
      </c>
      <c r="G59" s="418">
        <f t="shared" si="28"/>
        <v>12333</v>
      </c>
      <c r="H59" s="418">
        <f t="shared" si="28"/>
        <v>12333</v>
      </c>
      <c r="I59" s="418">
        <f t="shared" si="28"/>
        <v>12333</v>
      </c>
      <c r="J59" s="418">
        <f t="shared" si="28"/>
        <v>12333</v>
      </c>
      <c r="K59" s="418">
        <f t="shared" si="28"/>
        <v>12333</v>
      </c>
      <c r="L59" s="418">
        <f t="shared" si="28"/>
        <v>12333</v>
      </c>
      <c r="M59" s="418">
        <f t="shared" si="28"/>
        <v>12333</v>
      </c>
      <c r="N59" s="418">
        <f t="shared" si="28"/>
        <v>12333</v>
      </c>
      <c r="O59" s="418">
        <f t="shared" si="28"/>
        <v>12333</v>
      </c>
      <c r="P59" s="418">
        <f t="shared" si="28"/>
        <v>12333</v>
      </c>
      <c r="Q59" s="418">
        <f t="shared" si="28"/>
        <v>12333</v>
      </c>
      <c r="R59" s="418">
        <f t="shared" si="28"/>
        <v>12333</v>
      </c>
      <c r="S59" s="418">
        <f t="shared" si="28"/>
        <v>12333</v>
      </c>
      <c r="T59" s="418">
        <f t="shared" si="28"/>
        <v>12333</v>
      </c>
      <c r="U59" s="418">
        <f t="shared" si="28"/>
        <v>12333</v>
      </c>
      <c r="V59" s="418">
        <f t="shared" si="28"/>
        <v>12333</v>
      </c>
      <c r="W59" s="418">
        <f t="shared" si="28"/>
        <v>12333</v>
      </c>
      <c r="X59" s="418">
        <f t="shared" si="28"/>
        <v>12333</v>
      </c>
      <c r="Y59" s="418">
        <f t="shared" si="28"/>
        <v>12333</v>
      </c>
      <c r="Z59" s="418">
        <f t="shared" si="28"/>
        <v>12333</v>
      </c>
      <c r="AA59" s="418">
        <f t="shared" si="28"/>
        <v>12333</v>
      </c>
      <c r="AB59" s="418">
        <f t="shared" si="28"/>
        <v>12333</v>
      </c>
      <c r="AC59" s="418">
        <f t="shared" si="28"/>
        <v>12333</v>
      </c>
      <c r="AD59" s="418">
        <f t="shared" si="28"/>
        <v>12333</v>
      </c>
      <c r="AE59" s="418">
        <f t="shared" si="28"/>
        <v>12333</v>
      </c>
      <c r="AF59" s="418">
        <f t="shared" si="28"/>
        <v>12333</v>
      </c>
      <c r="AG59" s="418">
        <f t="shared" si="28"/>
        <v>12333</v>
      </c>
      <c r="AH59" s="418">
        <f>IF(AG61&gt;0,IF(AH57-AG57&gt;0,0,AH58*AH57),0)</f>
        <v>12333</v>
      </c>
      <c r="AI59" s="418"/>
      <c r="AM59" s="535"/>
      <c r="AO59" s="283"/>
      <c r="AP59" s="71"/>
      <c r="AQ59" s="283"/>
      <c r="AR59" s="71"/>
      <c r="AS59" s="283"/>
    </row>
    <row r="60" spans="1:47" s="419" customFormat="1" x14ac:dyDescent="0.2">
      <c r="A60" s="433" t="s">
        <v>145</v>
      </c>
      <c r="B60" s="418">
        <f>B59</f>
        <v>0</v>
      </c>
      <c r="C60" s="418">
        <f t="shared" ref="C60:AG60" si="29">C59+B60</f>
        <v>0</v>
      </c>
      <c r="D60" s="418">
        <f t="shared" si="29"/>
        <v>0</v>
      </c>
      <c r="E60" s="418">
        <f t="shared" si="29"/>
        <v>0</v>
      </c>
      <c r="F60" s="418">
        <f t="shared" si="29"/>
        <v>12333</v>
      </c>
      <c r="G60" s="418">
        <f t="shared" si="29"/>
        <v>24666</v>
      </c>
      <c r="H60" s="418">
        <f t="shared" si="29"/>
        <v>36999</v>
      </c>
      <c r="I60" s="418">
        <f t="shared" si="29"/>
        <v>49332</v>
      </c>
      <c r="J60" s="418">
        <f t="shared" si="29"/>
        <v>61665</v>
      </c>
      <c r="K60" s="418">
        <f t="shared" si="29"/>
        <v>73998</v>
      </c>
      <c r="L60" s="418">
        <f t="shared" si="29"/>
        <v>86331</v>
      </c>
      <c r="M60" s="418">
        <f t="shared" si="29"/>
        <v>98664</v>
      </c>
      <c r="N60" s="418">
        <f t="shared" si="29"/>
        <v>110997</v>
      </c>
      <c r="O60" s="418">
        <f t="shared" si="29"/>
        <v>123330</v>
      </c>
      <c r="P60" s="418">
        <f t="shared" si="29"/>
        <v>135663</v>
      </c>
      <c r="Q60" s="418">
        <f t="shared" si="29"/>
        <v>147996</v>
      </c>
      <c r="R60" s="418">
        <f t="shared" si="29"/>
        <v>160329</v>
      </c>
      <c r="S60" s="418">
        <f t="shared" si="29"/>
        <v>172662</v>
      </c>
      <c r="T60" s="418">
        <f t="shared" si="29"/>
        <v>184995</v>
      </c>
      <c r="U60" s="418">
        <f t="shared" si="29"/>
        <v>197328</v>
      </c>
      <c r="V60" s="418">
        <f t="shared" si="29"/>
        <v>209661</v>
      </c>
      <c r="W60" s="418">
        <f t="shared" si="29"/>
        <v>221994</v>
      </c>
      <c r="X60" s="418">
        <f t="shared" si="29"/>
        <v>234327</v>
      </c>
      <c r="Y60" s="418">
        <f t="shared" si="29"/>
        <v>246660</v>
      </c>
      <c r="Z60" s="418">
        <f t="shared" si="29"/>
        <v>258993</v>
      </c>
      <c r="AA60" s="418">
        <f t="shared" si="29"/>
        <v>271326</v>
      </c>
      <c r="AB60" s="418">
        <f t="shared" si="29"/>
        <v>283659</v>
      </c>
      <c r="AC60" s="418">
        <f t="shared" si="29"/>
        <v>295992</v>
      </c>
      <c r="AD60" s="418">
        <f t="shared" si="29"/>
        <v>308325</v>
      </c>
      <c r="AE60" s="418">
        <f t="shared" si="29"/>
        <v>320658</v>
      </c>
      <c r="AF60" s="418">
        <f t="shared" si="29"/>
        <v>332991</v>
      </c>
      <c r="AG60" s="418">
        <f t="shared" si="29"/>
        <v>345324</v>
      </c>
      <c r="AH60" s="418">
        <f>AH59+AG60</f>
        <v>357657</v>
      </c>
      <c r="AI60" s="418"/>
      <c r="AM60" s="535"/>
      <c r="AO60" s="283"/>
      <c r="AP60" s="71"/>
      <c r="AQ60" s="283"/>
      <c r="AR60" s="71"/>
      <c r="AS60" s="283"/>
    </row>
    <row r="61" spans="1:47" s="419" customFormat="1" x14ac:dyDescent="0.2">
      <c r="A61" s="433" t="s">
        <v>146</v>
      </c>
      <c r="B61" s="418">
        <f t="shared" ref="B61:AG61" si="30">ROUND(IF(B57-B60&gt;0,B57-B60,0),0)</f>
        <v>0</v>
      </c>
      <c r="C61" s="418">
        <f t="shared" si="30"/>
        <v>0</v>
      </c>
      <c r="D61" s="418">
        <f t="shared" si="30"/>
        <v>179850</v>
      </c>
      <c r="E61" s="418">
        <f t="shared" si="30"/>
        <v>616650</v>
      </c>
      <c r="F61" s="418">
        <f t="shared" si="30"/>
        <v>604317</v>
      </c>
      <c r="G61" s="418">
        <f t="shared" si="30"/>
        <v>591984</v>
      </c>
      <c r="H61" s="418">
        <f t="shared" si="30"/>
        <v>579651</v>
      </c>
      <c r="I61" s="418">
        <f t="shared" si="30"/>
        <v>567318</v>
      </c>
      <c r="J61" s="418">
        <f t="shared" si="30"/>
        <v>554985</v>
      </c>
      <c r="K61" s="418">
        <f t="shared" si="30"/>
        <v>542652</v>
      </c>
      <c r="L61" s="418">
        <f t="shared" si="30"/>
        <v>530319</v>
      </c>
      <c r="M61" s="418">
        <f t="shared" si="30"/>
        <v>517986</v>
      </c>
      <c r="N61" s="418">
        <f t="shared" si="30"/>
        <v>505653</v>
      </c>
      <c r="O61" s="418">
        <f t="shared" si="30"/>
        <v>493320</v>
      </c>
      <c r="P61" s="418">
        <f t="shared" si="30"/>
        <v>480987</v>
      </c>
      <c r="Q61" s="418">
        <f t="shared" si="30"/>
        <v>468654</v>
      </c>
      <c r="R61" s="418">
        <f t="shared" si="30"/>
        <v>456321</v>
      </c>
      <c r="S61" s="418">
        <f t="shared" si="30"/>
        <v>443988</v>
      </c>
      <c r="T61" s="418">
        <f t="shared" si="30"/>
        <v>431655</v>
      </c>
      <c r="U61" s="418">
        <f t="shared" si="30"/>
        <v>419322</v>
      </c>
      <c r="V61" s="418">
        <f t="shared" si="30"/>
        <v>406989</v>
      </c>
      <c r="W61" s="418">
        <f t="shared" si="30"/>
        <v>394656</v>
      </c>
      <c r="X61" s="418">
        <f t="shared" si="30"/>
        <v>382323</v>
      </c>
      <c r="Y61" s="418">
        <f t="shared" si="30"/>
        <v>369990</v>
      </c>
      <c r="Z61" s="418">
        <f t="shared" si="30"/>
        <v>357657</v>
      </c>
      <c r="AA61" s="418">
        <f t="shared" si="30"/>
        <v>345324</v>
      </c>
      <c r="AB61" s="418">
        <f t="shared" si="30"/>
        <v>332991</v>
      </c>
      <c r="AC61" s="418">
        <f t="shared" si="30"/>
        <v>320658</v>
      </c>
      <c r="AD61" s="418">
        <f t="shared" si="30"/>
        <v>308325</v>
      </c>
      <c r="AE61" s="418">
        <f t="shared" si="30"/>
        <v>295992</v>
      </c>
      <c r="AF61" s="418">
        <f t="shared" si="30"/>
        <v>283659</v>
      </c>
      <c r="AG61" s="418">
        <f t="shared" si="30"/>
        <v>271326</v>
      </c>
      <c r="AH61" s="418">
        <f>ROUND(IF(AH57-AH60&gt;0,AH57-AH60,0),0)</f>
        <v>258993</v>
      </c>
      <c r="AI61" s="418"/>
      <c r="AM61" s="535"/>
      <c r="AO61" s="283"/>
      <c r="AP61" s="71"/>
      <c r="AQ61" s="283"/>
      <c r="AR61" s="71"/>
      <c r="AS61" s="283"/>
    </row>
    <row r="62" spans="1:47" s="419" customFormat="1" x14ac:dyDescent="0.2">
      <c r="A62" s="432" t="s">
        <v>11</v>
      </c>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M62" s="535"/>
      <c r="AO62" s="283"/>
      <c r="AP62" s="71"/>
      <c r="AQ62" s="283"/>
      <c r="AR62" s="71"/>
      <c r="AS62" s="283"/>
    </row>
    <row r="63" spans="1:47" s="419" customFormat="1" x14ac:dyDescent="0.2">
      <c r="A63" s="433" t="s">
        <v>142</v>
      </c>
      <c r="B63" s="418">
        <f>'Datu ievade'!B72</f>
        <v>0</v>
      </c>
      <c r="C63" s="418">
        <f>'Datu ievade'!C72+B63</f>
        <v>0</v>
      </c>
      <c r="D63" s="418">
        <f>'Datu ievade'!D72+C63</f>
        <v>128075</v>
      </c>
      <c r="E63" s="418">
        <f>'Datu ievade'!E72+D63</f>
        <v>374475</v>
      </c>
      <c r="F63" s="418">
        <f>'Datu ievade'!F72+E63</f>
        <v>374475</v>
      </c>
      <c r="G63" s="418">
        <f>'Datu ievade'!G72+F63</f>
        <v>374475</v>
      </c>
      <c r="H63" s="418">
        <f>'Datu ievade'!H72+G63</f>
        <v>374475</v>
      </c>
      <c r="I63" s="418">
        <f>'Datu ievade'!I72+H63</f>
        <v>374475</v>
      </c>
      <c r="J63" s="418">
        <f>'Datu ievade'!J72+I63</f>
        <v>374475</v>
      </c>
      <c r="K63" s="418">
        <f>'Datu ievade'!K72+J63</f>
        <v>374475</v>
      </c>
      <c r="L63" s="418">
        <f>'Datu ievade'!L72+K63</f>
        <v>374475</v>
      </c>
      <c r="M63" s="418">
        <f>'Datu ievade'!M72+L63</f>
        <v>374475</v>
      </c>
      <c r="N63" s="418">
        <f>'Datu ievade'!N72+M63</f>
        <v>374475</v>
      </c>
      <c r="O63" s="418">
        <f>'Datu ievade'!O72+N63</f>
        <v>374475</v>
      </c>
      <c r="P63" s="418">
        <f>'Datu ievade'!P72+O63</f>
        <v>374475</v>
      </c>
      <c r="Q63" s="418">
        <f>'Datu ievade'!Q72+P63</f>
        <v>374475</v>
      </c>
      <c r="R63" s="418">
        <f>'Datu ievade'!R72+Q63</f>
        <v>374475</v>
      </c>
      <c r="S63" s="418">
        <f>'Datu ievade'!S72+R63</f>
        <v>374475</v>
      </c>
      <c r="T63" s="418">
        <f>'Datu ievade'!T72+S63</f>
        <v>374475</v>
      </c>
      <c r="U63" s="418">
        <f>'Datu ievade'!U72+T63</f>
        <v>374475</v>
      </c>
      <c r="V63" s="418">
        <f>'Datu ievade'!V72+U63</f>
        <v>374475</v>
      </c>
      <c r="W63" s="418">
        <f>'Datu ievade'!W72+V63</f>
        <v>374475</v>
      </c>
      <c r="X63" s="418">
        <f>'Datu ievade'!X72+W63</f>
        <v>374475</v>
      </c>
      <c r="Y63" s="418">
        <f>'Datu ievade'!Y72+X63</f>
        <v>374475</v>
      </c>
      <c r="Z63" s="418">
        <f>'Datu ievade'!Z72+Y63</f>
        <v>374475</v>
      </c>
      <c r="AA63" s="418">
        <f>'Datu ievade'!AA72+Z63</f>
        <v>374475</v>
      </c>
      <c r="AB63" s="418">
        <f>'Datu ievade'!AB72+AA63</f>
        <v>374475</v>
      </c>
      <c r="AC63" s="418">
        <f>'Datu ievade'!AC72+AB63</f>
        <v>374475</v>
      </c>
      <c r="AD63" s="418">
        <f>'Datu ievade'!AD72+AC63</f>
        <v>374475</v>
      </c>
      <c r="AE63" s="418">
        <f>'Datu ievade'!AE72+AD63</f>
        <v>374475</v>
      </c>
      <c r="AF63" s="418">
        <f>'Datu ievade'!AF72+AE63</f>
        <v>374475</v>
      </c>
      <c r="AG63" s="418">
        <f>'Datu ievade'!AG72+AF63</f>
        <v>374475</v>
      </c>
      <c r="AH63" s="418">
        <f>'Datu ievade'!AH72+AG63</f>
        <v>374475</v>
      </c>
      <c r="AI63" s="418"/>
      <c r="AM63" s="535"/>
      <c r="AO63" s="283"/>
      <c r="AP63" s="71"/>
      <c r="AQ63" s="283"/>
      <c r="AR63" s="71"/>
      <c r="AS63" s="283"/>
    </row>
    <row r="64" spans="1:47" s="419" customFormat="1" x14ac:dyDescent="0.2">
      <c r="A64" s="433" t="s">
        <v>143</v>
      </c>
      <c r="B64" s="434">
        <f>1/'Datu ievade'!$B$28</f>
        <v>0.1</v>
      </c>
      <c r="C64" s="434">
        <f>1/'Datu ievade'!$B$28</f>
        <v>0.1</v>
      </c>
      <c r="D64" s="434">
        <f>1/'Datu ievade'!$B$28</f>
        <v>0.1</v>
      </c>
      <c r="E64" s="434">
        <f>1/'Datu ievade'!$B$28</f>
        <v>0.1</v>
      </c>
      <c r="F64" s="434">
        <f>1/'Datu ievade'!$B$28</f>
        <v>0.1</v>
      </c>
      <c r="G64" s="434">
        <f>1/'Datu ievade'!$B$28</f>
        <v>0.1</v>
      </c>
      <c r="H64" s="434">
        <f>1/'Datu ievade'!$B$28</f>
        <v>0.1</v>
      </c>
      <c r="I64" s="434">
        <f>1/'Datu ievade'!$B$28</f>
        <v>0.1</v>
      </c>
      <c r="J64" s="434">
        <f>1/'Datu ievade'!$B$28</f>
        <v>0.1</v>
      </c>
      <c r="K64" s="434">
        <f>1/'Datu ievade'!$B$28</f>
        <v>0.1</v>
      </c>
      <c r="L64" s="434">
        <f>1/'Datu ievade'!$B$28</f>
        <v>0.1</v>
      </c>
      <c r="M64" s="434">
        <f>1/'Datu ievade'!$B$28</f>
        <v>0.1</v>
      </c>
      <c r="N64" s="434">
        <f>1/'Datu ievade'!$B$28</f>
        <v>0.1</v>
      </c>
      <c r="O64" s="434">
        <f>1/'Datu ievade'!$B$28</f>
        <v>0.1</v>
      </c>
      <c r="P64" s="434">
        <f>1/'Datu ievade'!$B$28</f>
        <v>0.1</v>
      </c>
      <c r="Q64" s="434">
        <f>1/'Datu ievade'!$B$28</f>
        <v>0.1</v>
      </c>
      <c r="R64" s="434">
        <f>1/'Datu ievade'!$B$28</f>
        <v>0.1</v>
      </c>
      <c r="S64" s="434">
        <f>1/'Datu ievade'!$B$28</f>
        <v>0.1</v>
      </c>
      <c r="T64" s="434">
        <f>1/'Datu ievade'!$B$28</f>
        <v>0.1</v>
      </c>
      <c r="U64" s="434">
        <f>1/'Datu ievade'!$B$28</f>
        <v>0.1</v>
      </c>
      <c r="V64" s="434">
        <f>1/'Datu ievade'!$B$28</f>
        <v>0.1</v>
      </c>
      <c r="W64" s="434">
        <f>1/'Datu ievade'!$B$28</f>
        <v>0.1</v>
      </c>
      <c r="X64" s="434">
        <f>1/'Datu ievade'!$B$28</f>
        <v>0.1</v>
      </c>
      <c r="Y64" s="434">
        <f>1/'Datu ievade'!$B$28</f>
        <v>0.1</v>
      </c>
      <c r="Z64" s="434">
        <f>1/'Datu ievade'!$B$28</f>
        <v>0.1</v>
      </c>
      <c r="AA64" s="434">
        <f>1/'Datu ievade'!$B$28</f>
        <v>0.1</v>
      </c>
      <c r="AB64" s="434">
        <f>1/'Datu ievade'!$B$28</f>
        <v>0.1</v>
      </c>
      <c r="AC64" s="434">
        <f>1/'Datu ievade'!$B$28</f>
        <v>0.1</v>
      </c>
      <c r="AD64" s="434">
        <f>1/'Datu ievade'!$B$28</f>
        <v>0.1</v>
      </c>
      <c r="AE64" s="434">
        <f>1/'Datu ievade'!$B$28</f>
        <v>0.1</v>
      </c>
      <c r="AF64" s="434">
        <f>1/'Datu ievade'!$B$28</f>
        <v>0.1</v>
      </c>
      <c r="AG64" s="434">
        <f>1/'Datu ievade'!$B$28</f>
        <v>0.1</v>
      </c>
      <c r="AH64" s="434">
        <f>1/'Datu ievade'!$B$28</f>
        <v>0.1</v>
      </c>
      <c r="AI64" s="434"/>
      <c r="AM64" s="535"/>
      <c r="AO64" s="283"/>
      <c r="AP64" s="71"/>
      <c r="AQ64" s="283"/>
      <c r="AR64" s="71"/>
      <c r="AS64" s="283"/>
    </row>
    <row r="65" spans="1:45" s="419" customFormat="1" x14ac:dyDescent="0.2">
      <c r="A65" s="433" t="s">
        <v>144</v>
      </c>
      <c r="B65" s="435">
        <v>0</v>
      </c>
      <c r="C65" s="418">
        <f t="shared" ref="C65:AG65" si="31">IF(B67&gt;0,IF(C63-B63&gt;0,0,C64*C63),0)</f>
        <v>0</v>
      </c>
      <c r="D65" s="418">
        <f t="shared" si="31"/>
        <v>0</v>
      </c>
      <c r="E65" s="418">
        <f t="shared" si="31"/>
        <v>0</v>
      </c>
      <c r="F65" s="418">
        <f t="shared" si="31"/>
        <v>37447.5</v>
      </c>
      <c r="G65" s="418">
        <f t="shared" si="31"/>
        <v>37447.5</v>
      </c>
      <c r="H65" s="418">
        <f t="shared" si="31"/>
        <v>37447.5</v>
      </c>
      <c r="I65" s="418">
        <f t="shared" si="31"/>
        <v>37447.5</v>
      </c>
      <c r="J65" s="418">
        <f t="shared" si="31"/>
        <v>37447.5</v>
      </c>
      <c r="K65" s="418">
        <f t="shared" si="31"/>
        <v>37447.5</v>
      </c>
      <c r="L65" s="418">
        <f t="shared" si="31"/>
        <v>37447.5</v>
      </c>
      <c r="M65" s="418">
        <f t="shared" si="31"/>
        <v>37447.5</v>
      </c>
      <c r="N65" s="418">
        <f t="shared" si="31"/>
        <v>37447.5</v>
      </c>
      <c r="O65" s="418">
        <f t="shared" si="31"/>
        <v>37447.5</v>
      </c>
      <c r="P65" s="418">
        <f t="shared" si="31"/>
        <v>0</v>
      </c>
      <c r="Q65" s="418">
        <f t="shared" si="31"/>
        <v>0</v>
      </c>
      <c r="R65" s="418">
        <f t="shared" si="31"/>
        <v>0</v>
      </c>
      <c r="S65" s="418">
        <f t="shared" si="31"/>
        <v>0</v>
      </c>
      <c r="T65" s="418">
        <f t="shared" si="31"/>
        <v>0</v>
      </c>
      <c r="U65" s="418">
        <f t="shared" si="31"/>
        <v>0</v>
      </c>
      <c r="V65" s="418">
        <f t="shared" si="31"/>
        <v>0</v>
      </c>
      <c r="W65" s="418">
        <f t="shared" si="31"/>
        <v>0</v>
      </c>
      <c r="X65" s="418">
        <f t="shared" si="31"/>
        <v>0</v>
      </c>
      <c r="Y65" s="418">
        <f t="shared" si="31"/>
        <v>0</v>
      </c>
      <c r="Z65" s="418">
        <f t="shared" si="31"/>
        <v>0</v>
      </c>
      <c r="AA65" s="418">
        <f t="shared" si="31"/>
        <v>0</v>
      </c>
      <c r="AB65" s="418">
        <f t="shared" si="31"/>
        <v>0</v>
      </c>
      <c r="AC65" s="418">
        <f t="shared" si="31"/>
        <v>0</v>
      </c>
      <c r="AD65" s="418">
        <f t="shared" si="31"/>
        <v>0</v>
      </c>
      <c r="AE65" s="418">
        <f t="shared" si="31"/>
        <v>0</v>
      </c>
      <c r="AF65" s="418">
        <f t="shared" si="31"/>
        <v>0</v>
      </c>
      <c r="AG65" s="418">
        <f t="shared" si="31"/>
        <v>0</v>
      </c>
      <c r="AH65" s="418">
        <f>IF(AG67&gt;0,IF(AH63-AG63&gt;0,0,AH64*AH63),0)</f>
        <v>0</v>
      </c>
      <c r="AI65" s="418"/>
      <c r="AM65" s="535"/>
      <c r="AO65" s="283"/>
      <c r="AP65" s="71"/>
      <c r="AQ65" s="283"/>
      <c r="AR65" s="71"/>
      <c r="AS65" s="283"/>
    </row>
    <row r="66" spans="1:45" s="419" customFormat="1" x14ac:dyDescent="0.2">
      <c r="A66" s="433" t="s">
        <v>145</v>
      </c>
      <c r="B66" s="418">
        <f>B65</f>
        <v>0</v>
      </c>
      <c r="C66" s="418">
        <f t="shared" ref="C66:AG66" si="32">C65+B66</f>
        <v>0</v>
      </c>
      <c r="D66" s="418">
        <f t="shared" si="32"/>
        <v>0</v>
      </c>
      <c r="E66" s="418">
        <f t="shared" si="32"/>
        <v>0</v>
      </c>
      <c r="F66" s="418">
        <f t="shared" si="32"/>
        <v>37447.5</v>
      </c>
      <c r="G66" s="418">
        <f t="shared" si="32"/>
        <v>74895</v>
      </c>
      <c r="H66" s="418">
        <f t="shared" si="32"/>
        <v>112342.5</v>
      </c>
      <c r="I66" s="418">
        <f t="shared" si="32"/>
        <v>149790</v>
      </c>
      <c r="J66" s="418">
        <f t="shared" si="32"/>
        <v>187237.5</v>
      </c>
      <c r="K66" s="418">
        <f t="shared" si="32"/>
        <v>224685</v>
      </c>
      <c r="L66" s="418">
        <f t="shared" si="32"/>
        <v>262132.5</v>
      </c>
      <c r="M66" s="418">
        <f t="shared" si="32"/>
        <v>299580</v>
      </c>
      <c r="N66" s="418">
        <f t="shared" si="32"/>
        <v>337027.5</v>
      </c>
      <c r="O66" s="418">
        <f t="shared" si="32"/>
        <v>374475</v>
      </c>
      <c r="P66" s="418">
        <f t="shared" si="32"/>
        <v>374475</v>
      </c>
      <c r="Q66" s="418">
        <f t="shared" si="32"/>
        <v>374475</v>
      </c>
      <c r="R66" s="418">
        <f t="shared" si="32"/>
        <v>374475</v>
      </c>
      <c r="S66" s="418">
        <f t="shared" si="32"/>
        <v>374475</v>
      </c>
      <c r="T66" s="418">
        <f t="shared" si="32"/>
        <v>374475</v>
      </c>
      <c r="U66" s="418">
        <f t="shared" si="32"/>
        <v>374475</v>
      </c>
      <c r="V66" s="418">
        <f t="shared" si="32"/>
        <v>374475</v>
      </c>
      <c r="W66" s="418">
        <f t="shared" si="32"/>
        <v>374475</v>
      </c>
      <c r="X66" s="418">
        <f t="shared" si="32"/>
        <v>374475</v>
      </c>
      <c r="Y66" s="418">
        <f t="shared" si="32"/>
        <v>374475</v>
      </c>
      <c r="Z66" s="418">
        <f t="shared" si="32"/>
        <v>374475</v>
      </c>
      <c r="AA66" s="418">
        <f t="shared" si="32"/>
        <v>374475</v>
      </c>
      <c r="AB66" s="418">
        <f t="shared" si="32"/>
        <v>374475</v>
      </c>
      <c r="AC66" s="418">
        <f t="shared" si="32"/>
        <v>374475</v>
      </c>
      <c r="AD66" s="418">
        <f t="shared" si="32"/>
        <v>374475</v>
      </c>
      <c r="AE66" s="418">
        <f t="shared" si="32"/>
        <v>374475</v>
      </c>
      <c r="AF66" s="418">
        <f t="shared" si="32"/>
        <v>374475</v>
      </c>
      <c r="AG66" s="418">
        <f t="shared" si="32"/>
        <v>374475</v>
      </c>
      <c r="AH66" s="418">
        <f>AH65+AG66</f>
        <v>374475</v>
      </c>
      <c r="AI66" s="418"/>
      <c r="AM66" s="535"/>
      <c r="AO66" s="283"/>
      <c r="AP66" s="71"/>
      <c r="AQ66" s="283"/>
      <c r="AR66" s="71"/>
      <c r="AS66" s="283"/>
    </row>
    <row r="67" spans="1:45" s="419" customFormat="1" x14ac:dyDescent="0.2">
      <c r="A67" s="433" t="s">
        <v>146</v>
      </c>
      <c r="B67" s="418">
        <f t="shared" ref="B67:AG67" si="33">ROUND(IF(B63-B66&gt;0,B63-B66,0),0)</f>
        <v>0</v>
      </c>
      <c r="C67" s="418">
        <f t="shared" si="33"/>
        <v>0</v>
      </c>
      <c r="D67" s="418">
        <f t="shared" si="33"/>
        <v>128075</v>
      </c>
      <c r="E67" s="418">
        <f t="shared" si="33"/>
        <v>374475</v>
      </c>
      <c r="F67" s="418">
        <f t="shared" si="33"/>
        <v>337028</v>
      </c>
      <c r="G67" s="418">
        <f t="shared" si="33"/>
        <v>299580</v>
      </c>
      <c r="H67" s="418">
        <f t="shared" si="33"/>
        <v>262133</v>
      </c>
      <c r="I67" s="418">
        <f t="shared" si="33"/>
        <v>224685</v>
      </c>
      <c r="J67" s="418">
        <f t="shared" si="33"/>
        <v>187238</v>
      </c>
      <c r="K67" s="418">
        <f t="shared" si="33"/>
        <v>149790</v>
      </c>
      <c r="L67" s="418">
        <f t="shared" si="33"/>
        <v>112343</v>
      </c>
      <c r="M67" s="418">
        <f t="shared" si="33"/>
        <v>74895</v>
      </c>
      <c r="N67" s="418">
        <f t="shared" si="33"/>
        <v>37448</v>
      </c>
      <c r="O67" s="418">
        <f t="shared" si="33"/>
        <v>0</v>
      </c>
      <c r="P67" s="418">
        <f t="shared" si="33"/>
        <v>0</v>
      </c>
      <c r="Q67" s="418">
        <f t="shared" si="33"/>
        <v>0</v>
      </c>
      <c r="R67" s="418">
        <f t="shared" si="33"/>
        <v>0</v>
      </c>
      <c r="S67" s="418">
        <f t="shared" si="33"/>
        <v>0</v>
      </c>
      <c r="T67" s="418">
        <f t="shared" si="33"/>
        <v>0</v>
      </c>
      <c r="U67" s="418">
        <f t="shared" si="33"/>
        <v>0</v>
      </c>
      <c r="V67" s="418">
        <f t="shared" si="33"/>
        <v>0</v>
      </c>
      <c r="W67" s="418">
        <f t="shared" si="33"/>
        <v>0</v>
      </c>
      <c r="X67" s="418">
        <f t="shared" si="33"/>
        <v>0</v>
      </c>
      <c r="Y67" s="418">
        <f t="shared" si="33"/>
        <v>0</v>
      </c>
      <c r="Z67" s="418">
        <f t="shared" si="33"/>
        <v>0</v>
      </c>
      <c r="AA67" s="418">
        <f t="shared" si="33"/>
        <v>0</v>
      </c>
      <c r="AB67" s="418">
        <f t="shared" si="33"/>
        <v>0</v>
      </c>
      <c r="AC67" s="418">
        <f t="shared" si="33"/>
        <v>0</v>
      </c>
      <c r="AD67" s="418">
        <f t="shared" si="33"/>
        <v>0</v>
      </c>
      <c r="AE67" s="418">
        <f t="shared" si="33"/>
        <v>0</v>
      </c>
      <c r="AF67" s="418">
        <f t="shared" si="33"/>
        <v>0</v>
      </c>
      <c r="AG67" s="418">
        <f t="shared" si="33"/>
        <v>0</v>
      </c>
      <c r="AH67" s="418">
        <f>ROUND(IF(AH63-AH66&gt;0,AH63-AH66,0),0)</f>
        <v>0</v>
      </c>
      <c r="AI67" s="418"/>
      <c r="AM67" s="535"/>
      <c r="AO67" s="283"/>
      <c r="AP67" s="71"/>
      <c r="AQ67" s="283"/>
      <c r="AR67" s="71"/>
      <c r="AS67" s="283"/>
    </row>
    <row r="68" spans="1:45" s="419" customFormat="1" x14ac:dyDescent="0.2">
      <c r="A68" s="432" t="s">
        <v>12</v>
      </c>
      <c r="B68" s="429"/>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M68" s="535"/>
      <c r="AO68" s="283"/>
      <c r="AP68" s="71"/>
      <c r="AQ68" s="283"/>
      <c r="AR68" s="71"/>
      <c r="AS68" s="283"/>
    </row>
    <row r="69" spans="1:45" s="419" customFormat="1" x14ac:dyDescent="0.2">
      <c r="A69" s="433" t="s">
        <v>142</v>
      </c>
      <c r="B69" s="418">
        <f>'Datu ievade'!B73+'Datu ievade'!B74+'Datu ievade'!B75+'Datu ievade'!B76</f>
        <v>0</v>
      </c>
      <c r="C69" s="418">
        <f>'Datu ievade'!C73+'Datu ievade'!C74+'Datu ievade'!C75+'Datu ievade'!C76+B69</f>
        <v>0</v>
      </c>
      <c r="D69" s="418">
        <f>'Datu ievade'!D73+'Datu ievade'!D74+'Datu ievade'!D75+'Datu ievade'!D76+C69</f>
        <v>49691</v>
      </c>
      <c r="E69" s="418">
        <f>'Datu ievade'!E73+'Datu ievade'!E74+'Datu ievade'!E75+'Datu ievade'!E76+D69</f>
        <v>100931</v>
      </c>
      <c r="F69" s="418">
        <f>'Datu ievade'!F73+'Datu ievade'!F74+'Datu ievade'!F75+'Datu ievade'!F76+E69</f>
        <v>100931</v>
      </c>
      <c r="G69" s="418">
        <f>'Datu ievade'!G73+'Datu ievade'!G74+'Datu ievade'!G75+'Datu ievade'!G76+F69</f>
        <v>100931</v>
      </c>
      <c r="H69" s="418">
        <f>'Datu ievade'!H73+'Datu ievade'!H74+'Datu ievade'!H75+'Datu ievade'!H76+G69</f>
        <v>100931</v>
      </c>
      <c r="I69" s="418">
        <f>'Datu ievade'!I73+'Datu ievade'!I74+'Datu ievade'!I75+'Datu ievade'!I76+H69</f>
        <v>100931</v>
      </c>
      <c r="J69" s="418">
        <f>'Datu ievade'!J73+'Datu ievade'!J74+'Datu ievade'!J75+'Datu ievade'!J76+I69</f>
        <v>100931</v>
      </c>
      <c r="K69" s="418">
        <f>'Datu ievade'!K73+'Datu ievade'!K74+'Datu ievade'!K75+'Datu ievade'!K76+J69</f>
        <v>100931</v>
      </c>
      <c r="L69" s="418">
        <f>'Datu ievade'!L73+'Datu ievade'!L74+'Datu ievade'!L75+'Datu ievade'!L76+K69</f>
        <v>100931</v>
      </c>
      <c r="M69" s="418">
        <f>'Datu ievade'!M73+'Datu ievade'!M74+'Datu ievade'!M75+'Datu ievade'!M76+L69</f>
        <v>100931</v>
      </c>
      <c r="N69" s="418">
        <f>'Datu ievade'!N73+'Datu ievade'!N74+'Datu ievade'!N75+'Datu ievade'!N76+M69</f>
        <v>100931</v>
      </c>
      <c r="O69" s="418">
        <f>'Datu ievade'!O73+'Datu ievade'!O74+'Datu ievade'!O75+'Datu ievade'!O76+N69</f>
        <v>100931</v>
      </c>
      <c r="P69" s="418">
        <f>'Datu ievade'!P73+'Datu ievade'!P74+'Datu ievade'!P75+'Datu ievade'!P76+O69</f>
        <v>100931</v>
      </c>
      <c r="Q69" s="418">
        <f>'Datu ievade'!Q73+'Datu ievade'!Q74+'Datu ievade'!Q75+'Datu ievade'!Q76+P69</f>
        <v>100931</v>
      </c>
      <c r="R69" s="418">
        <f>'Datu ievade'!R73+'Datu ievade'!R74+'Datu ievade'!R75+'Datu ievade'!R76+Q69</f>
        <v>100931</v>
      </c>
      <c r="S69" s="418">
        <f>'Datu ievade'!S73+'Datu ievade'!S74+'Datu ievade'!S75+'Datu ievade'!S76+R69</f>
        <v>100931</v>
      </c>
      <c r="T69" s="418">
        <f>'Datu ievade'!T73+'Datu ievade'!T74+'Datu ievade'!T75+'Datu ievade'!T76+S69</f>
        <v>100931</v>
      </c>
      <c r="U69" s="418">
        <f>'Datu ievade'!U73+'Datu ievade'!U74+'Datu ievade'!U75+'Datu ievade'!U76+T69</f>
        <v>100931</v>
      </c>
      <c r="V69" s="418">
        <f>'Datu ievade'!V73+'Datu ievade'!V74+'Datu ievade'!V75+'Datu ievade'!V76+U69</f>
        <v>100931</v>
      </c>
      <c r="W69" s="418">
        <f>'Datu ievade'!W73+'Datu ievade'!W74+'Datu ievade'!W75+'Datu ievade'!W76+V69</f>
        <v>100931</v>
      </c>
      <c r="X69" s="418">
        <f>'Datu ievade'!X73+'Datu ievade'!X74+'Datu ievade'!X75+'Datu ievade'!X76+W69</f>
        <v>100931</v>
      </c>
      <c r="Y69" s="418">
        <f>'Datu ievade'!Y73+'Datu ievade'!Y74+'Datu ievade'!Y75+'Datu ievade'!Y76+X69</f>
        <v>100931</v>
      </c>
      <c r="Z69" s="418">
        <f>'Datu ievade'!Z73+'Datu ievade'!Z74+'Datu ievade'!Z75+'Datu ievade'!Z76+Y69</f>
        <v>100931</v>
      </c>
      <c r="AA69" s="418">
        <f>'Datu ievade'!AA73+'Datu ievade'!AA74+'Datu ievade'!AA75+'Datu ievade'!AA76+Z69</f>
        <v>100931</v>
      </c>
      <c r="AB69" s="418">
        <f>'Datu ievade'!AB73+'Datu ievade'!AB74+'Datu ievade'!AB75+'Datu ievade'!AB76+AA69</f>
        <v>100931</v>
      </c>
      <c r="AC69" s="418">
        <f>'Datu ievade'!AC73+'Datu ievade'!AC74+'Datu ievade'!AC75+'Datu ievade'!AC76+AB69</f>
        <v>100931</v>
      </c>
      <c r="AD69" s="418">
        <f>'Datu ievade'!AD73+'Datu ievade'!AD74+'Datu ievade'!AD75+'Datu ievade'!AD76+AC69</f>
        <v>100931</v>
      </c>
      <c r="AE69" s="418">
        <f>'Datu ievade'!AE73+'Datu ievade'!AE74+'Datu ievade'!AE75+'Datu ievade'!AE76+AD69</f>
        <v>100931</v>
      </c>
      <c r="AF69" s="418">
        <f>'Datu ievade'!AF73+'Datu ievade'!AF74+'Datu ievade'!AF75+'Datu ievade'!AF76+AE69</f>
        <v>100931</v>
      </c>
      <c r="AG69" s="418">
        <f>'Datu ievade'!AG73+'Datu ievade'!AG74+'Datu ievade'!AG75+'Datu ievade'!AG76+AF69</f>
        <v>100931</v>
      </c>
      <c r="AH69" s="418">
        <f>'Datu ievade'!AH73+'Datu ievade'!AH74+'Datu ievade'!AH75+'Datu ievade'!AH76+AG69</f>
        <v>100931</v>
      </c>
      <c r="AI69" s="418"/>
      <c r="AM69" s="535"/>
      <c r="AO69" s="283"/>
      <c r="AP69" s="71"/>
      <c r="AQ69" s="283"/>
      <c r="AR69" s="71"/>
      <c r="AS69" s="283"/>
    </row>
    <row r="70" spans="1:45" s="419" customFormat="1" x14ac:dyDescent="0.2">
      <c r="A70" s="433" t="s">
        <v>143</v>
      </c>
      <c r="B70" s="434">
        <f>1/'Datu ievade'!$B$29</f>
        <v>0.1</v>
      </c>
      <c r="C70" s="434">
        <f>1/'Datu ievade'!$B$29</f>
        <v>0.1</v>
      </c>
      <c r="D70" s="434">
        <f>1/'Datu ievade'!$B$29</f>
        <v>0.1</v>
      </c>
      <c r="E70" s="434">
        <f>1/'Datu ievade'!$B$29</f>
        <v>0.1</v>
      </c>
      <c r="F70" s="434">
        <f>1/'Datu ievade'!$B$29</f>
        <v>0.1</v>
      </c>
      <c r="G70" s="434">
        <f>1/'Datu ievade'!$B$29</f>
        <v>0.1</v>
      </c>
      <c r="H70" s="434">
        <f>1/'Datu ievade'!$B$29</f>
        <v>0.1</v>
      </c>
      <c r="I70" s="434">
        <f>1/'Datu ievade'!$B$29</f>
        <v>0.1</v>
      </c>
      <c r="J70" s="434">
        <f>1/'Datu ievade'!$B$29</f>
        <v>0.1</v>
      </c>
      <c r="K70" s="434">
        <f>1/'Datu ievade'!$B$29</f>
        <v>0.1</v>
      </c>
      <c r="L70" s="434">
        <f>1/'Datu ievade'!$B$29</f>
        <v>0.1</v>
      </c>
      <c r="M70" s="434">
        <f>1/'Datu ievade'!$B$29</f>
        <v>0.1</v>
      </c>
      <c r="N70" s="434">
        <f>1/'Datu ievade'!$B$29</f>
        <v>0.1</v>
      </c>
      <c r="O70" s="434">
        <f>1/'Datu ievade'!$B$29</f>
        <v>0.1</v>
      </c>
      <c r="P70" s="434">
        <f>1/'Datu ievade'!$B$29</f>
        <v>0.1</v>
      </c>
      <c r="Q70" s="434">
        <f>1/'Datu ievade'!$B$29</f>
        <v>0.1</v>
      </c>
      <c r="R70" s="434">
        <f>1/'Datu ievade'!$B$29</f>
        <v>0.1</v>
      </c>
      <c r="S70" s="434">
        <f>1/'Datu ievade'!$B$29</f>
        <v>0.1</v>
      </c>
      <c r="T70" s="434">
        <f>1/'Datu ievade'!$B$29</f>
        <v>0.1</v>
      </c>
      <c r="U70" s="434">
        <f>1/'Datu ievade'!$B$29</f>
        <v>0.1</v>
      </c>
      <c r="V70" s="434">
        <f>1/'Datu ievade'!$B$29</f>
        <v>0.1</v>
      </c>
      <c r="W70" s="434">
        <f>1/'Datu ievade'!$B$29</f>
        <v>0.1</v>
      </c>
      <c r="X70" s="434">
        <f>1/'Datu ievade'!$B$29</f>
        <v>0.1</v>
      </c>
      <c r="Y70" s="434">
        <f>1/'Datu ievade'!$B$29</f>
        <v>0.1</v>
      </c>
      <c r="Z70" s="434">
        <f>1/'Datu ievade'!$B$29</f>
        <v>0.1</v>
      </c>
      <c r="AA70" s="434">
        <f>1/'Datu ievade'!$B$29</f>
        <v>0.1</v>
      </c>
      <c r="AB70" s="434">
        <f>1/'Datu ievade'!$B$29</f>
        <v>0.1</v>
      </c>
      <c r="AC70" s="434">
        <f>1/'Datu ievade'!$B$29</f>
        <v>0.1</v>
      </c>
      <c r="AD70" s="434">
        <f>1/'Datu ievade'!$B$29</f>
        <v>0.1</v>
      </c>
      <c r="AE70" s="434">
        <f>1/'Datu ievade'!$B$29</f>
        <v>0.1</v>
      </c>
      <c r="AF70" s="434">
        <f>1/'Datu ievade'!$B$29</f>
        <v>0.1</v>
      </c>
      <c r="AG70" s="434">
        <f>1/'Datu ievade'!$B$29</f>
        <v>0.1</v>
      </c>
      <c r="AH70" s="434">
        <f>1/'Datu ievade'!$B$29</f>
        <v>0.1</v>
      </c>
      <c r="AI70" s="434"/>
      <c r="AM70" s="535"/>
      <c r="AO70" s="283"/>
      <c r="AP70" s="71"/>
      <c r="AQ70" s="283"/>
      <c r="AR70" s="71"/>
      <c r="AS70" s="283"/>
    </row>
    <row r="71" spans="1:45" s="419" customFormat="1" x14ac:dyDescent="0.2">
      <c r="A71" s="433" t="s">
        <v>144</v>
      </c>
      <c r="B71" s="435">
        <v>0</v>
      </c>
      <c r="C71" s="418">
        <f t="shared" ref="C71:AG71" si="34">IF(B73&gt;0,IF(C69-B69&gt;0,0,C70*C69),0)</f>
        <v>0</v>
      </c>
      <c r="D71" s="418">
        <f t="shared" si="34"/>
        <v>0</v>
      </c>
      <c r="E71" s="418">
        <f t="shared" si="34"/>
        <v>0</v>
      </c>
      <c r="F71" s="418">
        <f t="shared" si="34"/>
        <v>10093.1</v>
      </c>
      <c r="G71" s="418">
        <f t="shared" si="34"/>
        <v>10093.1</v>
      </c>
      <c r="H71" s="418">
        <f t="shared" si="34"/>
        <v>10093.1</v>
      </c>
      <c r="I71" s="418">
        <f t="shared" si="34"/>
        <v>10093.1</v>
      </c>
      <c r="J71" s="418">
        <f t="shared" si="34"/>
        <v>10093.1</v>
      </c>
      <c r="K71" s="418">
        <f t="shared" si="34"/>
        <v>10093.1</v>
      </c>
      <c r="L71" s="418">
        <f t="shared" si="34"/>
        <v>10093.1</v>
      </c>
      <c r="M71" s="418">
        <f t="shared" si="34"/>
        <v>10093.1</v>
      </c>
      <c r="N71" s="418">
        <f t="shared" si="34"/>
        <v>10093.1</v>
      </c>
      <c r="O71" s="418">
        <f t="shared" si="34"/>
        <v>10093.1</v>
      </c>
      <c r="P71" s="418">
        <f t="shared" si="34"/>
        <v>0</v>
      </c>
      <c r="Q71" s="418">
        <f t="shared" si="34"/>
        <v>0</v>
      </c>
      <c r="R71" s="418">
        <f t="shared" si="34"/>
        <v>0</v>
      </c>
      <c r="S71" s="418">
        <f t="shared" si="34"/>
        <v>0</v>
      </c>
      <c r="T71" s="418">
        <f t="shared" si="34"/>
        <v>0</v>
      </c>
      <c r="U71" s="418">
        <f t="shared" si="34"/>
        <v>0</v>
      </c>
      <c r="V71" s="418">
        <f t="shared" si="34"/>
        <v>0</v>
      </c>
      <c r="W71" s="418">
        <f t="shared" si="34"/>
        <v>0</v>
      </c>
      <c r="X71" s="418">
        <f t="shared" si="34"/>
        <v>0</v>
      </c>
      <c r="Y71" s="418">
        <f t="shared" si="34"/>
        <v>0</v>
      </c>
      <c r="Z71" s="418">
        <f t="shared" si="34"/>
        <v>0</v>
      </c>
      <c r="AA71" s="418">
        <f t="shared" si="34"/>
        <v>0</v>
      </c>
      <c r="AB71" s="418">
        <f t="shared" si="34"/>
        <v>0</v>
      </c>
      <c r="AC71" s="418">
        <f t="shared" si="34"/>
        <v>0</v>
      </c>
      <c r="AD71" s="418">
        <f t="shared" si="34"/>
        <v>0</v>
      </c>
      <c r="AE71" s="418">
        <f t="shared" si="34"/>
        <v>0</v>
      </c>
      <c r="AF71" s="418">
        <f t="shared" si="34"/>
        <v>0</v>
      </c>
      <c r="AG71" s="418">
        <f t="shared" si="34"/>
        <v>0</v>
      </c>
      <c r="AH71" s="418">
        <f>IF(AG73&gt;0,IF(AH69-AG69&gt;0,0,AH70*AH69),0)</f>
        <v>0</v>
      </c>
      <c r="AI71" s="418"/>
      <c r="AM71" s="535"/>
      <c r="AO71" s="283"/>
      <c r="AP71" s="71"/>
      <c r="AQ71" s="283"/>
      <c r="AR71" s="71"/>
      <c r="AS71" s="283"/>
    </row>
    <row r="72" spans="1:45" s="419" customFormat="1" x14ac:dyDescent="0.2">
      <c r="A72" s="433" t="s">
        <v>145</v>
      </c>
      <c r="B72" s="418">
        <f>B71</f>
        <v>0</v>
      </c>
      <c r="C72" s="418">
        <f t="shared" ref="C72:AG72" si="35">C71+B72</f>
        <v>0</v>
      </c>
      <c r="D72" s="418">
        <f t="shared" si="35"/>
        <v>0</v>
      </c>
      <c r="E72" s="418">
        <f t="shared" si="35"/>
        <v>0</v>
      </c>
      <c r="F72" s="418">
        <f t="shared" si="35"/>
        <v>10093.1</v>
      </c>
      <c r="G72" s="418">
        <f t="shared" si="35"/>
        <v>20186.2</v>
      </c>
      <c r="H72" s="418">
        <f t="shared" si="35"/>
        <v>30279.300000000003</v>
      </c>
      <c r="I72" s="418">
        <f t="shared" si="35"/>
        <v>40372.400000000001</v>
      </c>
      <c r="J72" s="418">
        <f t="shared" si="35"/>
        <v>50465.5</v>
      </c>
      <c r="K72" s="418">
        <f t="shared" si="35"/>
        <v>60558.6</v>
      </c>
      <c r="L72" s="418">
        <f t="shared" si="35"/>
        <v>70651.7</v>
      </c>
      <c r="M72" s="418">
        <f t="shared" si="35"/>
        <v>80744.800000000003</v>
      </c>
      <c r="N72" s="418">
        <f t="shared" si="35"/>
        <v>90837.900000000009</v>
      </c>
      <c r="O72" s="418">
        <f t="shared" si="35"/>
        <v>100931.00000000001</v>
      </c>
      <c r="P72" s="418">
        <f t="shared" si="35"/>
        <v>100931.00000000001</v>
      </c>
      <c r="Q72" s="418">
        <f t="shared" si="35"/>
        <v>100931.00000000001</v>
      </c>
      <c r="R72" s="418">
        <f t="shared" si="35"/>
        <v>100931.00000000001</v>
      </c>
      <c r="S72" s="418">
        <f t="shared" si="35"/>
        <v>100931.00000000001</v>
      </c>
      <c r="T72" s="418">
        <f t="shared" si="35"/>
        <v>100931.00000000001</v>
      </c>
      <c r="U72" s="418">
        <f t="shared" si="35"/>
        <v>100931.00000000001</v>
      </c>
      <c r="V72" s="418">
        <f t="shared" si="35"/>
        <v>100931.00000000001</v>
      </c>
      <c r="W72" s="418">
        <f t="shared" si="35"/>
        <v>100931.00000000001</v>
      </c>
      <c r="X72" s="418">
        <f t="shared" si="35"/>
        <v>100931.00000000001</v>
      </c>
      <c r="Y72" s="418">
        <f t="shared" si="35"/>
        <v>100931.00000000001</v>
      </c>
      <c r="Z72" s="418">
        <f t="shared" si="35"/>
        <v>100931.00000000001</v>
      </c>
      <c r="AA72" s="418">
        <f t="shared" si="35"/>
        <v>100931.00000000001</v>
      </c>
      <c r="AB72" s="418">
        <f t="shared" si="35"/>
        <v>100931.00000000001</v>
      </c>
      <c r="AC72" s="418">
        <f t="shared" si="35"/>
        <v>100931.00000000001</v>
      </c>
      <c r="AD72" s="418">
        <f t="shared" si="35"/>
        <v>100931.00000000001</v>
      </c>
      <c r="AE72" s="418">
        <f t="shared" si="35"/>
        <v>100931.00000000001</v>
      </c>
      <c r="AF72" s="418">
        <f t="shared" si="35"/>
        <v>100931.00000000001</v>
      </c>
      <c r="AG72" s="418">
        <f t="shared" si="35"/>
        <v>100931.00000000001</v>
      </c>
      <c r="AH72" s="418">
        <f>AH71+AG72</f>
        <v>100931.00000000001</v>
      </c>
      <c r="AI72" s="418"/>
      <c r="AM72" s="535"/>
      <c r="AO72" s="283"/>
      <c r="AP72" s="71"/>
      <c r="AQ72" s="283"/>
      <c r="AR72" s="71"/>
      <c r="AS72" s="283"/>
    </row>
    <row r="73" spans="1:45" s="419" customFormat="1" x14ac:dyDescent="0.2">
      <c r="A73" s="433" t="s">
        <v>146</v>
      </c>
      <c r="B73" s="418">
        <f t="shared" ref="B73:AG73" si="36">ROUND(IF(B69-B72&gt;0,B69-B72,0),0)</f>
        <v>0</v>
      </c>
      <c r="C73" s="418">
        <f t="shared" si="36"/>
        <v>0</v>
      </c>
      <c r="D73" s="418">
        <f t="shared" si="36"/>
        <v>49691</v>
      </c>
      <c r="E73" s="418">
        <f t="shared" si="36"/>
        <v>100931</v>
      </c>
      <c r="F73" s="418">
        <f t="shared" si="36"/>
        <v>90838</v>
      </c>
      <c r="G73" s="418">
        <f t="shared" si="36"/>
        <v>80745</v>
      </c>
      <c r="H73" s="418">
        <f t="shared" si="36"/>
        <v>70652</v>
      </c>
      <c r="I73" s="418">
        <f t="shared" si="36"/>
        <v>60559</v>
      </c>
      <c r="J73" s="418">
        <f t="shared" si="36"/>
        <v>50466</v>
      </c>
      <c r="K73" s="418">
        <f t="shared" si="36"/>
        <v>40372</v>
      </c>
      <c r="L73" s="418">
        <f t="shared" si="36"/>
        <v>30279</v>
      </c>
      <c r="M73" s="418">
        <f t="shared" si="36"/>
        <v>20186</v>
      </c>
      <c r="N73" s="418">
        <f t="shared" si="36"/>
        <v>10093</v>
      </c>
      <c r="O73" s="418">
        <f t="shared" si="36"/>
        <v>0</v>
      </c>
      <c r="P73" s="418">
        <f t="shared" si="36"/>
        <v>0</v>
      </c>
      <c r="Q73" s="418">
        <f t="shared" si="36"/>
        <v>0</v>
      </c>
      <c r="R73" s="418">
        <f t="shared" si="36"/>
        <v>0</v>
      </c>
      <c r="S73" s="418">
        <f t="shared" si="36"/>
        <v>0</v>
      </c>
      <c r="T73" s="418">
        <f t="shared" si="36"/>
        <v>0</v>
      </c>
      <c r="U73" s="418">
        <f t="shared" si="36"/>
        <v>0</v>
      </c>
      <c r="V73" s="418">
        <f t="shared" si="36"/>
        <v>0</v>
      </c>
      <c r="W73" s="418">
        <f t="shared" si="36"/>
        <v>0</v>
      </c>
      <c r="X73" s="418">
        <f t="shared" si="36"/>
        <v>0</v>
      </c>
      <c r="Y73" s="418">
        <f t="shared" si="36"/>
        <v>0</v>
      </c>
      <c r="Z73" s="418">
        <f t="shared" si="36"/>
        <v>0</v>
      </c>
      <c r="AA73" s="418">
        <f t="shared" si="36"/>
        <v>0</v>
      </c>
      <c r="AB73" s="418">
        <f t="shared" si="36"/>
        <v>0</v>
      </c>
      <c r="AC73" s="418">
        <f t="shared" si="36"/>
        <v>0</v>
      </c>
      <c r="AD73" s="418">
        <f t="shared" si="36"/>
        <v>0</v>
      </c>
      <c r="AE73" s="418">
        <f t="shared" si="36"/>
        <v>0</v>
      </c>
      <c r="AF73" s="418">
        <f t="shared" si="36"/>
        <v>0</v>
      </c>
      <c r="AG73" s="418">
        <f t="shared" si="36"/>
        <v>0</v>
      </c>
      <c r="AH73" s="418">
        <f>ROUND(IF(AH69-AH72&gt;0,AH69-AH72,0),0)</f>
        <v>0</v>
      </c>
      <c r="AI73" s="418"/>
      <c r="AM73" s="535"/>
      <c r="AO73" s="283"/>
      <c r="AP73" s="71"/>
      <c r="AQ73" s="283"/>
      <c r="AR73" s="71"/>
      <c r="AS73" s="283"/>
    </row>
    <row r="74" spans="1:45" s="419" customFormat="1" x14ac:dyDescent="0.2">
      <c r="A74" s="440"/>
      <c r="B74" s="441"/>
      <c r="C74" s="441"/>
      <c r="D74" s="441"/>
      <c r="E74" s="441"/>
      <c r="F74" s="441"/>
      <c r="G74" s="441"/>
      <c r="H74" s="441"/>
      <c r="I74" s="441"/>
      <c r="J74" s="441"/>
      <c r="K74" s="441"/>
      <c r="L74" s="441"/>
      <c r="M74" s="441"/>
      <c r="N74" s="441"/>
      <c r="O74" s="441"/>
      <c r="P74" s="441"/>
      <c r="Q74" s="441"/>
      <c r="R74" s="441"/>
      <c r="S74" s="441"/>
      <c r="T74" s="441"/>
      <c r="U74" s="441"/>
      <c r="V74" s="441"/>
      <c r="W74" s="441"/>
      <c r="X74" s="442"/>
      <c r="Y74" s="442"/>
      <c r="Z74" s="442"/>
      <c r="AA74" s="442"/>
      <c r="AB74" s="442"/>
      <c r="AC74" s="442"/>
      <c r="AD74" s="442"/>
      <c r="AE74" s="442"/>
      <c r="AF74" s="442"/>
      <c r="AG74" s="442"/>
      <c r="AH74" s="442"/>
      <c r="AI74" s="442"/>
      <c r="AM74" s="535"/>
      <c r="AO74" s="283"/>
      <c r="AP74" s="71"/>
      <c r="AQ74" s="283"/>
      <c r="AR74" s="71"/>
      <c r="AS74" s="283"/>
    </row>
    <row r="75" spans="1:45" s="419" customFormat="1" x14ac:dyDescent="0.2">
      <c r="A75" s="443" t="s">
        <v>79</v>
      </c>
      <c r="B75" s="444">
        <f t="shared" ref="B75:AG75" si="37">B33</f>
        <v>2014</v>
      </c>
      <c r="C75" s="444">
        <f t="shared" si="37"/>
        <v>2015</v>
      </c>
      <c r="D75" s="444">
        <f t="shared" si="37"/>
        <v>2016</v>
      </c>
      <c r="E75" s="444">
        <f t="shared" si="37"/>
        <v>2017</v>
      </c>
      <c r="F75" s="444">
        <f t="shared" si="37"/>
        <v>2018</v>
      </c>
      <c r="G75" s="444">
        <f t="shared" si="37"/>
        <v>2019</v>
      </c>
      <c r="H75" s="444">
        <f t="shared" si="37"/>
        <v>2020</v>
      </c>
      <c r="I75" s="444">
        <f t="shared" si="37"/>
        <v>2021</v>
      </c>
      <c r="J75" s="444">
        <f t="shared" si="37"/>
        <v>2022</v>
      </c>
      <c r="K75" s="444">
        <f t="shared" si="37"/>
        <v>2023</v>
      </c>
      <c r="L75" s="444">
        <f t="shared" si="37"/>
        <v>2024</v>
      </c>
      <c r="M75" s="444">
        <f t="shared" si="37"/>
        <v>2025</v>
      </c>
      <c r="N75" s="444">
        <f t="shared" si="37"/>
        <v>2026</v>
      </c>
      <c r="O75" s="444">
        <f t="shared" si="37"/>
        <v>2027</v>
      </c>
      <c r="P75" s="444">
        <f t="shared" si="37"/>
        <v>2028</v>
      </c>
      <c r="Q75" s="444">
        <f t="shared" si="37"/>
        <v>2029</v>
      </c>
      <c r="R75" s="444">
        <f t="shared" si="37"/>
        <v>2030</v>
      </c>
      <c r="S75" s="444">
        <f t="shared" si="37"/>
        <v>2031</v>
      </c>
      <c r="T75" s="444">
        <f t="shared" si="37"/>
        <v>2032</v>
      </c>
      <c r="U75" s="444">
        <f t="shared" si="37"/>
        <v>2033</v>
      </c>
      <c r="V75" s="444">
        <f t="shared" si="37"/>
        <v>2034</v>
      </c>
      <c r="W75" s="444">
        <f t="shared" si="37"/>
        <v>2035</v>
      </c>
      <c r="X75" s="444">
        <f t="shared" si="37"/>
        <v>2036</v>
      </c>
      <c r="Y75" s="444">
        <f t="shared" si="37"/>
        <v>2037</v>
      </c>
      <c r="Z75" s="444">
        <f t="shared" si="37"/>
        <v>2038</v>
      </c>
      <c r="AA75" s="444">
        <f t="shared" si="37"/>
        <v>2039</v>
      </c>
      <c r="AB75" s="444">
        <f t="shared" si="37"/>
        <v>2040</v>
      </c>
      <c r="AC75" s="444">
        <f t="shared" si="37"/>
        <v>2041</v>
      </c>
      <c r="AD75" s="444">
        <f t="shared" si="37"/>
        <v>2042</v>
      </c>
      <c r="AE75" s="444">
        <f t="shared" si="37"/>
        <v>2043</v>
      </c>
      <c r="AF75" s="444">
        <f t="shared" si="37"/>
        <v>2044</v>
      </c>
      <c r="AG75" s="444">
        <f t="shared" si="37"/>
        <v>2045</v>
      </c>
      <c r="AH75" s="444">
        <f>AH33</f>
        <v>2046</v>
      </c>
      <c r="AI75" s="444"/>
      <c r="AM75" s="535"/>
      <c r="AO75" s="283"/>
      <c r="AP75" s="71"/>
      <c r="AQ75" s="283"/>
      <c r="AR75" s="71"/>
      <c r="AS75" s="283"/>
    </row>
    <row r="76" spans="1:45" s="419" customFormat="1" x14ac:dyDescent="0.2">
      <c r="A76" s="432" t="s">
        <v>10</v>
      </c>
      <c r="B76" s="429"/>
      <c r="C76" s="429"/>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M76" s="535"/>
      <c r="AO76" s="283"/>
      <c r="AP76" s="71"/>
      <c r="AQ76" s="283"/>
      <c r="AR76" s="71"/>
      <c r="AS76" s="283"/>
    </row>
    <row r="77" spans="1:45" s="419" customFormat="1" x14ac:dyDescent="0.2">
      <c r="A77" s="433" t="s">
        <v>142</v>
      </c>
      <c r="B77" s="418">
        <f>B37+B57</f>
        <v>0</v>
      </c>
      <c r="C77" s="418">
        <f>C37+C57+B77</f>
        <v>0</v>
      </c>
      <c r="D77" s="418">
        <f>D37+D57</f>
        <v>288850</v>
      </c>
      <c r="E77" s="418">
        <f t="shared" ref="E77:AG77" si="38">E37+E57</f>
        <v>949650</v>
      </c>
      <c r="F77" s="418">
        <f t="shared" si="38"/>
        <v>949650</v>
      </c>
      <c r="G77" s="418">
        <f t="shared" si="38"/>
        <v>949650</v>
      </c>
      <c r="H77" s="418">
        <f t="shared" si="38"/>
        <v>949650</v>
      </c>
      <c r="I77" s="418">
        <f t="shared" si="38"/>
        <v>949650</v>
      </c>
      <c r="J77" s="418">
        <f t="shared" si="38"/>
        <v>949650</v>
      </c>
      <c r="K77" s="418">
        <f t="shared" si="38"/>
        <v>949650</v>
      </c>
      <c r="L77" s="418">
        <f t="shared" si="38"/>
        <v>949650</v>
      </c>
      <c r="M77" s="418">
        <f t="shared" si="38"/>
        <v>949650</v>
      </c>
      <c r="N77" s="418">
        <f t="shared" si="38"/>
        <v>949650</v>
      </c>
      <c r="O77" s="418">
        <f t="shared" si="38"/>
        <v>949650</v>
      </c>
      <c r="P77" s="418">
        <f t="shared" si="38"/>
        <v>949650</v>
      </c>
      <c r="Q77" s="418">
        <f t="shared" si="38"/>
        <v>949650</v>
      </c>
      <c r="R77" s="418">
        <f t="shared" si="38"/>
        <v>949650</v>
      </c>
      <c r="S77" s="418">
        <f t="shared" si="38"/>
        <v>949650</v>
      </c>
      <c r="T77" s="418">
        <f t="shared" si="38"/>
        <v>949650</v>
      </c>
      <c r="U77" s="418">
        <f t="shared" si="38"/>
        <v>949650</v>
      </c>
      <c r="V77" s="418">
        <f t="shared" si="38"/>
        <v>949650</v>
      </c>
      <c r="W77" s="418">
        <f t="shared" si="38"/>
        <v>949650</v>
      </c>
      <c r="X77" s="418">
        <f t="shared" si="38"/>
        <v>949650</v>
      </c>
      <c r="Y77" s="418">
        <f t="shared" si="38"/>
        <v>949650</v>
      </c>
      <c r="Z77" s="418">
        <f t="shared" si="38"/>
        <v>949650</v>
      </c>
      <c r="AA77" s="418">
        <f t="shared" si="38"/>
        <v>949650</v>
      </c>
      <c r="AB77" s="418">
        <f t="shared" si="38"/>
        <v>949650</v>
      </c>
      <c r="AC77" s="418">
        <f t="shared" si="38"/>
        <v>949650</v>
      </c>
      <c r="AD77" s="418">
        <f t="shared" si="38"/>
        <v>949650</v>
      </c>
      <c r="AE77" s="418">
        <f t="shared" si="38"/>
        <v>949650</v>
      </c>
      <c r="AF77" s="418">
        <f t="shared" si="38"/>
        <v>949650</v>
      </c>
      <c r="AG77" s="418">
        <f t="shared" si="38"/>
        <v>949650</v>
      </c>
      <c r="AH77" s="418">
        <f>AH37+AH57</f>
        <v>949650</v>
      </c>
      <c r="AI77" s="418"/>
      <c r="AM77" s="535"/>
      <c r="AO77" s="283"/>
      <c r="AP77" s="71"/>
      <c r="AQ77" s="283"/>
      <c r="AR77" s="71"/>
      <c r="AS77" s="283"/>
    </row>
    <row r="78" spans="1:45" s="419" customFormat="1" x14ac:dyDescent="0.2">
      <c r="A78" s="433" t="s">
        <v>143</v>
      </c>
      <c r="B78" s="434">
        <f>1/'Datu ievade'!$B$25</f>
        <v>0.02</v>
      </c>
      <c r="C78" s="434">
        <f>1/'Datu ievade'!$B$25</f>
        <v>0.02</v>
      </c>
      <c r="D78" s="434">
        <f>1/'Datu ievade'!$B$25</f>
        <v>0.02</v>
      </c>
      <c r="E78" s="434">
        <f>1/'Datu ievade'!$B$25</f>
        <v>0.02</v>
      </c>
      <c r="F78" s="434">
        <f>1/'Datu ievade'!$B$25</f>
        <v>0.02</v>
      </c>
      <c r="G78" s="434">
        <f>1/'Datu ievade'!$B$25</f>
        <v>0.02</v>
      </c>
      <c r="H78" s="434">
        <f>1/'Datu ievade'!$B$25</f>
        <v>0.02</v>
      </c>
      <c r="I78" s="434">
        <f>1/'Datu ievade'!$B$25</f>
        <v>0.02</v>
      </c>
      <c r="J78" s="434">
        <f>1/'Datu ievade'!$B$25</f>
        <v>0.02</v>
      </c>
      <c r="K78" s="434">
        <f>1/'Datu ievade'!$B$25</f>
        <v>0.02</v>
      </c>
      <c r="L78" s="434">
        <f>1/'Datu ievade'!$B$25</f>
        <v>0.02</v>
      </c>
      <c r="M78" s="434">
        <f>1/'Datu ievade'!$B$25</f>
        <v>0.02</v>
      </c>
      <c r="N78" s="434">
        <f>1/'Datu ievade'!$B$25</f>
        <v>0.02</v>
      </c>
      <c r="O78" s="434">
        <f>1/'Datu ievade'!$B$25</f>
        <v>0.02</v>
      </c>
      <c r="P78" s="434">
        <f>1/'Datu ievade'!$B$25</f>
        <v>0.02</v>
      </c>
      <c r="Q78" s="434">
        <f>1/'Datu ievade'!$B$25</f>
        <v>0.02</v>
      </c>
      <c r="R78" s="434">
        <f>1/'Datu ievade'!$B$25</f>
        <v>0.02</v>
      </c>
      <c r="S78" s="434">
        <f>1/'Datu ievade'!$B$25</f>
        <v>0.02</v>
      </c>
      <c r="T78" s="434">
        <f>1/'Datu ievade'!$B$25</f>
        <v>0.02</v>
      </c>
      <c r="U78" s="434">
        <f>1/'Datu ievade'!$B$25</f>
        <v>0.02</v>
      </c>
      <c r="V78" s="434">
        <f>1/'Datu ievade'!$B$25</f>
        <v>0.02</v>
      </c>
      <c r="W78" s="434">
        <f>1/'Datu ievade'!$B$25</f>
        <v>0.02</v>
      </c>
      <c r="X78" s="434">
        <f>1/'Datu ievade'!$B$25</f>
        <v>0.02</v>
      </c>
      <c r="Y78" s="434">
        <f>1/'Datu ievade'!$B$25</f>
        <v>0.02</v>
      </c>
      <c r="Z78" s="434">
        <f>1/'Datu ievade'!$B$25</f>
        <v>0.02</v>
      </c>
      <c r="AA78" s="434">
        <f>1/'Datu ievade'!$B$25</f>
        <v>0.02</v>
      </c>
      <c r="AB78" s="434">
        <f>1/'Datu ievade'!$B$25</f>
        <v>0.02</v>
      </c>
      <c r="AC78" s="434">
        <f>1/'Datu ievade'!$B$25</f>
        <v>0.02</v>
      </c>
      <c r="AD78" s="434">
        <f>1/'Datu ievade'!$B$25</f>
        <v>0.02</v>
      </c>
      <c r="AE78" s="434">
        <f>1/'Datu ievade'!$B$25</f>
        <v>0.02</v>
      </c>
      <c r="AF78" s="434">
        <f>1/'Datu ievade'!$B$25</f>
        <v>0.02</v>
      </c>
      <c r="AG78" s="434">
        <f>1/'Datu ievade'!$B$25</f>
        <v>0.02</v>
      </c>
      <c r="AH78" s="434">
        <f>1/'Datu ievade'!$B$25</f>
        <v>0.02</v>
      </c>
      <c r="AI78" s="434"/>
      <c r="AM78" s="535"/>
      <c r="AO78" s="283"/>
      <c r="AP78" s="71"/>
      <c r="AQ78" s="283"/>
      <c r="AR78" s="71"/>
      <c r="AS78" s="283"/>
    </row>
    <row r="79" spans="1:45" s="419" customFormat="1" x14ac:dyDescent="0.2">
      <c r="A79" s="433" t="s">
        <v>144</v>
      </c>
      <c r="B79" s="435">
        <v>0</v>
      </c>
      <c r="C79" s="418">
        <f t="shared" ref="C79:AG79" si="39">IF(B81&gt;0,IF(C77-B77&gt;0,0,C78*C77),0)</f>
        <v>0</v>
      </c>
      <c r="D79" s="418">
        <f t="shared" si="39"/>
        <v>0</v>
      </c>
      <c r="E79" s="418">
        <f t="shared" si="39"/>
        <v>0</v>
      </c>
      <c r="F79" s="418">
        <f t="shared" si="39"/>
        <v>18993</v>
      </c>
      <c r="G79" s="418">
        <f t="shared" si="39"/>
        <v>18993</v>
      </c>
      <c r="H79" s="418">
        <f t="shared" si="39"/>
        <v>18993</v>
      </c>
      <c r="I79" s="418">
        <f t="shared" si="39"/>
        <v>18993</v>
      </c>
      <c r="J79" s="418">
        <f t="shared" si="39"/>
        <v>18993</v>
      </c>
      <c r="K79" s="418">
        <f t="shared" si="39"/>
        <v>18993</v>
      </c>
      <c r="L79" s="418">
        <f t="shared" si="39"/>
        <v>18993</v>
      </c>
      <c r="M79" s="418">
        <f t="shared" si="39"/>
        <v>18993</v>
      </c>
      <c r="N79" s="418">
        <f t="shared" si="39"/>
        <v>18993</v>
      </c>
      <c r="O79" s="418">
        <f t="shared" si="39"/>
        <v>18993</v>
      </c>
      <c r="P79" s="418">
        <f t="shared" si="39"/>
        <v>18993</v>
      </c>
      <c r="Q79" s="418">
        <f t="shared" si="39"/>
        <v>18993</v>
      </c>
      <c r="R79" s="418">
        <f t="shared" si="39"/>
        <v>18993</v>
      </c>
      <c r="S79" s="418">
        <f t="shared" si="39"/>
        <v>18993</v>
      </c>
      <c r="T79" s="418">
        <f t="shared" si="39"/>
        <v>18993</v>
      </c>
      <c r="U79" s="418">
        <f t="shared" si="39"/>
        <v>18993</v>
      </c>
      <c r="V79" s="418">
        <f t="shared" si="39"/>
        <v>18993</v>
      </c>
      <c r="W79" s="418">
        <f t="shared" si="39"/>
        <v>18993</v>
      </c>
      <c r="X79" s="418">
        <f t="shared" si="39"/>
        <v>18993</v>
      </c>
      <c r="Y79" s="418">
        <f t="shared" si="39"/>
        <v>18993</v>
      </c>
      <c r="Z79" s="418">
        <f t="shared" si="39"/>
        <v>18993</v>
      </c>
      <c r="AA79" s="418">
        <f t="shared" si="39"/>
        <v>18993</v>
      </c>
      <c r="AB79" s="418">
        <f t="shared" si="39"/>
        <v>18993</v>
      </c>
      <c r="AC79" s="418">
        <f t="shared" si="39"/>
        <v>18993</v>
      </c>
      <c r="AD79" s="418">
        <f t="shared" si="39"/>
        <v>18993</v>
      </c>
      <c r="AE79" s="418">
        <f t="shared" si="39"/>
        <v>18993</v>
      </c>
      <c r="AF79" s="418">
        <f t="shared" si="39"/>
        <v>18993</v>
      </c>
      <c r="AG79" s="418">
        <f t="shared" si="39"/>
        <v>18993</v>
      </c>
      <c r="AH79" s="418">
        <f>IF(AG81&gt;0,IF(AH77-AG77&gt;0,0,AH78*AH77),0)</f>
        <v>18993</v>
      </c>
      <c r="AI79" s="418"/>
      <c r="AM79" s="535"/>
      <c r="AO79" s="283"/>
      <c r="AP79" s="71"/>
      <c r="AQ79" s="283"/>
      <c r="AR79" s="71"/>
      <c r="AS79" s="283"/>
    </row>
    <row r="80" spans="1:45" s="419" customFormat="1" x14ac:dyDescent="0.2">
      <c r="A80" s="433" t="s">
        <v>145</v>
      </c>
      <c r="B80" s="418">
        <f>B79</f>
        <v>0</v>
      </c>
      <c r="C80" s="418">
        <f t="shared" ref="C80:AG80" si="40">C79+B80</f>
        <v>0</v>
      </c>
      <c r="D80" s="418">
        <f t="shared" si="40"/>
        <v>0</v>
      </c>
      <c r="E80" s="418">
        <f t="shared" si="40"/>
        <v>0</v>
      </c>
      <c r="F80" s="418">
        <f t="shared" si="40"/>
        <v>18993</v>
      </c>
      <c r="G80" s="418">
        <f t="shared" si="40"/>
        <v>37986</v>
      </c>
      <c r="H80" s="418">
        <f t="shared" si="40"/>
        <v>56979</v>
      </c>
      <c r="I80" s="418">
        <f t="shared" si="40"/>
        <v>75972</v>
      </c>
      <c r="J80" s="418">
        <f t="shared" si="40"/>
        <v>94965</v>
      </c>
      <c r="K80" s="418">
        <f t="shared" si="40"/>
        <v>113958</v>
      </c>
      <c r="L80" s="418">
        <f t="shared" si="40"/>
        <v>132951</v>
      </c>
      <c r="M80" s="418">
        <f t="shared" si="40"/>
        <v>151944</v>
      </c>
      <c r="N80" s="418">
        <f t="shared" si="40"/>
        <v>170937</v>
      </c>
      <c r="O80" s="418">
        <f t="shared" si="40"/>
        <v>189930</v>
      </c>
      <c r="P80" s="418">
        <f t="shared" si="40"/>
        <v>208923</v>
      </c>
      <c r="Q80" s="418">
        <f t="shared" si="40"/>
        <v>227916</v>
      </c>
      <c r="R80" s="418">
        <f t="shared" si="40"/>
        <v>246909</v>
      </c>
      <c r="S80" s="418">
        <f t="shared" si="40"/>
        <v>265902</v>
      </c>
      <c r="T80" s="418">
        <f t="shared" si="40"/>
        <v>284895</v>
      </c>
      <c r="U80" s="418">
        <f t="shared" si="40"/>
        <v>303888</v>
      </c>
      <c r="V80" s="418">
        <f t="shared" si="40"/>
        <v>322881</v>
      </c>
      <c r="W80" s="418">
        <f t="shared" si="40"/>
        <v>341874</v>
      </c>
      <c r="X80" s="418">
        <f t="shared" si="40"/>
        <v>360867</v>
      </c>
      <c r="Y80" s="418">
        <f t="shared" si="40"/>
        <v>379860</v>
      </c>
      <c r="Z80" s="418">
        <f t="shared" si="40"/>
        <v>398853</v>
      </c>
      <c r="AA80" s="418">
        <f t="shared" si="40"/>
        <v>417846</v>
      </c>
      <c r="AB80" s="418">
        <f t="shared" si="40"/>
        <v>436839</v>
      </c>
      <c r="AC80" s="418">
        <f t="shared" si="40"/>
        <v>455832</v>
      </c>
      <c r="AD80" s="418">
        <f t="shared" si="40"/>
        <v>474825</v>
      </c>
      <c r="AE80" s="418">
        <f t="shared" si="40"/>
        <v>493818</v>
      </c>
      <c r="AF80" s="418">
        <f t="shared" si="40"/>
        <v>512811</v>
      </c>
      <c r="AG80" s="418">
        <f t="shared" si="40"/>
        <v>531804</v>
      </c>
      <c r="AH80" s="418">
        <f>AH79+AG80</f>
        <v>550797</v>
      </c>
      <c r="AI80" s="418"/>
      <c r="AM80" s="535"/>
      <c r="AO80" s="283"/>
      <c r="AP80" s="71"/>
      <c r="AQ80" s="283"/>
      <c r="AR80" s="71"/>
      <c r="AS80" s="283"/>
    </row>
    <row r="81" spans="1:45" s="419" customFormat="1" x14ac:dyDescent="0.2">
      <c r="A81" s="433" t="s">
        <v>146</v>
      </c>
      <c r="B81" s="418">
        <f t="shared" ref="B81:AG81" si="41">ROUND(IF(B77-B80&gt;0,B77-B80,0),0)</f>
        <v>0</v>
      </c>
      <c r="C81" s="418">
        <f t="shared" si="41"/>
        <v>0</v>
      </c>
      <c r="D81" s="418">
        <f t="shared" si="41"/>
        <v>288850</v>
      </c>
      <c r="E81" s="418">
        <f t="shared" si="41"/>
        <v>949650</v>
      </c>
      <c r="F81" s="418">
        <f t="shared" si="41"/>
        <v>930657</v>
      </c>
      <c r="G81" s="418">
        <f t="shared" si="41"/>
        <v>911664</v>
      </c>
      <c r="H81" s="418">
        <f t="shared" si="41"/>
        <v>892671</v>
      </c>
      <c r="I81" s="418">
        <f t="shared" si="41"/>
        <v>873678</v>
      </c>
      <c r="J81" s="418">
        <f t="shared" si="41"/>
        <v>854685</v>
      </c>
      <c r="K81" s="418">
        <f t="shared" si="41"/>
        <v>835692</v>
      </c>
      <c r="L81" s="418">
        <f t="shared" si="41"/>
        <v>816699</v>
      </c>
      <c r="M81" s="418">
        <f t="shared" si="41"/>
        <v>797706</v>
      </c>
      <c r="N81" s="418">
        <f t="shared" si="41"/>
        <v>778713</v>
      </c>
      <c r="O81" s="418">
        <f t="shared" si="41"/>
        <v>759720</v>
      </c>
      <c r="P81" s="418">
        <f t="shared" si="41"/>
        <v>740727</v>
      </c>
      <c r="Q81" s="418">
        <f t="shared" si="41"/>
        <v>721734</v>
      </c>
      <c r="R81" s="418">
        <f t="shared" si="41"/>
        <v>702741</v>
      </c>
      <c r="S81" s="418">
        <f t="shared" si="41"/>
        <v>683748</v>
      </c>
      <c r="T81" s="418">
        <f t="shared" si="41"/>
        <v>664755</v>
      </c>
      <c r="U81" s="418">
        <f t="shared" si="41"/>
        <v>645762</v>
      </c>
      <c r="V81" s="418">
        <f t="shared" si="41"/>
        <v>626769</v>
      </c>
      <c r="W81" s="418">
        <f t="shared" si="41"/>
        <v>607776</v>
      </c>
      <c r="X81" s="418">
        <f t="shared" si="41"/>
        <v>588783</v>
      </c>
      <c r="Y81" s="418">
        <f t="shared" si="41"/>
        <v>569790</v>
      </c>
      <c r="Z81" s="418">
        <f t="shared" si="41"/>
        <v>550797</v>
      </c>
      <c r="AA81" s="418">
        <f t="shared" si="41"/>
        <v>531804</v>
      </c>
      <c r="AB81" s="418">
        <f t="shared" si="41"/>
        <v>512811</v>
      </c>
      <c r="AC81" s="418">
        <f t="shared" si="41"/>
        <v>493818</v>
      </c>
      <c r="AD81" s="418">
        <f t="shared" si="41"/>
        <v>474825</v>
      </c>
      <c r="AE81" s="418">
        <f t="shared" si="41"/>
        <v>455832</v>
      </c>
      <c r="AF81" s="418">
        <f t="shared" si="41"/>
        <v>436839</v>
      </c>
      <c r="AG81" s="418">
        <f t="shared" si="41"/>
        <v>417846</v>
      </c>
      <c r="AH81" s="418">
        <f>ROUND(IF(AH77-AH80&gt;0,AH77-AH80,0),0)</f>
        <v>398853</v>
      </c>
      <c r="AI81" s="418"/>
      <c r="AM81" s="535"/>
      <c r="AO81" s="283"/>
      <c r="AP81" s="71"/>
      <c r="AQ81" s="283"/>
      <c r="AR81" s="71"/>
      <c r="AS81" s="283"/>
    </row>
    <row r="82" spans="1:45" s="419" customFormat="1" x14ac:dyDescent="0.2">
      <c r="A82" s="432" t="s">
        <v>11</v>
      </c>
      <c r="B82" s="429"/>
      <c r="C82" s="429"/>
      <c r="D82" s="429"/>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M82" s="535"/>
      <c r="AO82" s="283"/>
      <c r="AP82" s="71"/>
      <c r="AQ82" s="283"/>
      <c r="AR82" s="71"/>
      <c r="AS82" s="283"/>
    </row>
    <row r="83" spans="1:45" s="419" customFormat="1" x14ac:dyDescent="0.2">
      <c r="A83" s="433" t="s">
        <v>142</v>
      </c>
      <c r="B83" s="418">
        <f>B43+B63</f>
        <v>0</v>
      </c>
      <c r="C83" s="418">
        <f t="shared" ref="C83:AG83" si="42">C43+C63</f>
        <v>0</v>
      </c>
      <c r="D83" s="418">
        <f t="shared" si="42"/>
        <v>182575</v>
      </c>
      <c r="E83" s="418">
        <f t="shared" si="42"/>
        <v>540975</v>
      </c>
      <c r="F83" s="418">
        <f t="shared" si="42"/>
        <v>540975</v>
      </c>
      <c r="G83" s="418">
        <f t="shared" si="42"/>
        <v>540975</v>
      </c>
      <c r="H83" s="418">
        <f t="shared" si="42"/>
        <v>540975</v>
      </c>
      <c r="I83" s="418">
        <f t="shared" si="42"/>
        <v>540975</v>
      </c>
      <c r="J83" s="418">
        <f t="shared" si="42"/>
        <v>540975</v>
      </c>
      <c r="K83" s="418">
        <f t="shared" si="42"/>
        <v>540975</v>
      </c>
      <c r="L83" s="418">
        <f t="shared" si="42"/>
        <v>540975</v>
      </c>
      <c r="M83" s="418">
        <f t="shared" si="42"/>
        <v>540975</v>
      </c>
      <c r="N83" s="418">
        <f t="shared" si="42"/>
        <v>540975</v>
      </c>
      <c r="O83" s="418">
        <f t="shared" si="42"/>
        <v>540975</v>
      </c>
      <c r="P83" s="418">
        <f t="shared" si="42"/>
        <v>540975</v>
      </c>
      <c r="Q83" s="418">
        <f t="shared" si="42"/>
        <v>540975</v>
      </c>
      <c r="R83" s="418">
        <f t="shared" si="42"/>
        <v>540975</v>
      </c>
      <c r="S83" s="418">
        <f t="shared" si="42"/>
        <v>540975</v>
      </c>
      <c r="T83" s="418">
        <f t="shared" si="42"/>
        <v>540975</v>
      </c>
      <c r="U83" s="418">
        <f t="shared" si="42"/>
        <v>540975</v>
      </c>
      <c r="V83" s="418">
        <f t="shared" si="42"/>
        <v>540975</v>
      </c>
      <c r="W83" s="418">
        <f t="shared" si="42"/>
        <v>540975</v>
      </c>
      <c r="X83" s="418">
        <f t="shared" si="42"/>
        <v>540975</v>
      </c>
      <c r="Y83" s="418">
        <f t="shared" si="42"/>
        <v>540975</v>
      </c>
      <c r="Z83" s="418">
        <f t="shared" si="42"/>
        <v>540975</v>
      </c>
      <c r="AA83" s="418">
        <f t="shared" si="42"/>
        <v>540975</v>
      </c>
      <c r="AB83" s="418">
        <f t="shared" si="42"/>
        <v>540975</v>
      </c>
      <c r="AC83" s="418">
        <f t="shared" si="42"/>
        <v>540975</v>
      </c>
      <c r="AD83" s="418">
        <f t="shared" si="42"/>
        <v>540975</v>
      </c>
      <c r="AE83" s="418">
        <f t="shared" si="42"/>
        <v>540975</v>
      </c>
      <c r="AF83" s="418">
        <f t="shared" si="42"/>
        <v>540975</v>
      </c>
      <c r="AG83" s="418">
        <f t="shared" si="42"/>
        <v>540975</v>
      </c>
      <c r="AH83" s="418">
        <f>AH43+AH63</f>
        <v>540975</v>
      </c>
      <c r="AI83" s="418"/>
      <c r="AM83" s="535"/>
      <c r="AO83" s="283"/>
      <c r="AP83" s="71"/>
      <c r="AQ83" s="283"/>
      <c r="AR83" s="71"/>
      <c r="AS83" s="283"/>
    </row>
    <row r="84" spans="1:45" s="419" customFormat="1" x14ac:dyDescent="0.2">
      <c r="A84" s="433" t="s">
        <v>143</v>
      </c>
      <c r="B84" s="434">
        <f>1/'Datu ievade'!$B$28</f>
        <v>0.1</v>
      </c>
      <c r="C84" s="434">
        <f>1/'Datu ievade'!$B$28</f>
        <v>0.1</v>
      </c>
      <c r="D84" s="434">
        <f>1/'Datu ievade'!$B$28</f>
        <v>0.1</v>
      </c>
      <c r="E84" s="434">
        <f>1/'Datu ievade'!$B$28</f>
        <v>0.1</v>
      </c>
      <c r="F84" s="434">
        <f>1/'Datu ievade'!$B$28</f>
        <v>0.1</v>
      </c>
      <c r="G84" s="434">
        <f>1/'Datu ievade'!$B$28</f>
        <v>0.1</v>
      </c>
      <c r="H84" s="434">
        <f>1/'Datu ievade'!$B$28</f>
        <v>0.1</v>
      </c>
      <c r="I84" s="434">
        <f>1/'Datu ievade'!$B$28</f>
        <v>0.1</v>
      </c>
      <c r="J84" s="434">
        <f>1/'Datu ievade'!$B$28</f>
        <v>0.1</v>
      </c>
      <c r="K84" s="434">
        <f>1/'Datu ievade'!$B$28</f>
        <v>0.1</v>
      </c>
      <c r="L84" s="434">
        <f>1/'Datu ievade'!$B$28</f>
        <v>0.1</v>
      </c>
      <c r="M84" s="434">
        <f>1/'Datu ievade'!$B$28</f>
        <v>0.1</v>
      </c>
      <c r="N84" s="434">
        <f>1/'Datu ievade'!$B$28</f>
        <v>0.1</v>
      </c>
      <c r="O84" s="434">
        <f>1/'Datu ievade'!$B$28</f>
        <v>0.1</v>
      </c>
      <c r="P84" s="434">
        <f>1/'Datu ievade'!$B$28</f>
        <v>0.1</v>
      </c>
      <c r="Q84" s="434">
        <f>1/'Datu ievade'!$B$28</f>
        <v>0.1</v>
      </c>
      <c r="R84" s="434">
        <f>1/'Datu ievade'!$B$28</f>
        <v>0.1</v>
      </c>
      <c r="S84" s="434">
        <f>1/'Datu ievade'!$B$28</f>
        <v>0.1</v>
      </c>
      <c r="T84" s="434">
        <f>1/'Datu ievade'!$B$28</f>
        <v>0.1</v>
      </c>
      <c r="U84" s="434">
        <f>1/'Datu ievade'!$B$28</f>
        <v>0.1</v>
      </c>
      <c r="V84" s="434">
        <f>1/'Datu ievade'!$B$28</f>
        <v>0.1</v>
      </c>
      <c r="W84" s="434">
        <f>1/'Datu ievade'!$B$28</f>
        <v>0.1</v>
      </c>
      <c r="X84" s="434">
        <f>1/'Datu ievade'!$B$28</f>
        <v>0.1</v>
      </c>
      <c r="Y84" s="434">
        <f>1/'Datu ievade'!$B$28</f>
        <v>0.1</v>
      </c>
      <c r="Z84" s="434">
        <f>1/'Datu ievade'!$B$28</f>
        <v>0.1</v>
      </c>
      <c r="AA84" s="434">
        <f>1/'Datu ievade'!$B$28</f>
        <v>0.1</v>
      </c>
      <c r="AB84" s="434">
        <f>1/'Datu ievade'!$B$28</f>
        <v>0.1</v>
      </c>
      <c r="AC84" s="434">
        <f>1/'Datu ievade'!$B$28</f>
        <v>0.1</v>
      </c>
      <c r="AD84" s="434">
        <f>1/'Datu ievade'!$B$28</f>
        <v>0.1</v>
      </c>
      <c r="AE84" s="434">
        <f>1/'Datu ievade'!$B$28</f>
        <v>0.1</v>
      </c>
      <c r="AF84" s="434">
        <f>1/'Datu ievade'!$B$28</f>
        <v>0.1</v>
      </c>
      <c r="AG84" s="434">
        <f>1/'Datu ievade'!$B$28</f>
        <v>0.1</v>
      </c>
      <c r="AH84" s="434">
        <f>1/'Datu ievade'!$B$28</f>
        <v>0.1</v>
      </c>
      <c r="AI84" s="434"/>
      <c r="AM84" s="535"/>
      <c r="AO84" s="283"/>
      <c r="AP84" s="71"/>
      <c r="AQ84" s="283"/>
      <c r="AR84" s="71"/>
      <c r="AS84" s="283"/>
    </row>
    <row r="85" spans="1:45" s="419" customFormat="1" x14ac:dyDescent="0.2">
      <c r="A85" s="433" t="s">
        <v>144</v>
      </c>
      <c r="B85" s="435">
        <v>0</v>
      </c>
      <c r="C85" s="418">
        <f t="shared" ref="C85:AG85" si="43">IF(B87&gt;0,IF(C83-B83&gt;0,0,C84*C83),0)</f>
        <v>0</v>
      </c>
      <c r="D85" s="418">
        <f t="shared" si="43"/>
        <v>0</v>
      </c>
      <c r="E85" s="418">
        <f t="shared" si="43"/>
        <v>0</v>
      </c>
      <c r="F85" s="418">
        <f t="shared" si="43"/>
        <v>54097.5</v>
      </c>
      <c r="G85" s="418">
        <f t="shared" si="43"/>
        <v>54097.5</v>
      </c>
      <c r="H85" s="418">
        <f t="shared" si="43"/>
        <v>54097.5</v>
      </c>
      <c r="I85" s="418">
        <f t="shared" si="43"/>
        <v>54097.5</v>
      </c>
      <c r="J85" s="418">
        <f t="shared" si="43"/>
        <v>54097.5</v>
      </c>
      <c r="K85" s="418">
        <f t="shared" si="43"/>
        <v>54097.5</v>
      </c>
      <c r="L85" s="418">
        <f t="shared" si="43"/>
        <v>54097.5</v>
      </c>
      <c r="M85" s="418">
        <f t="shared" si="43"/>
        <v>54097.5</v>
      </c>
      <c r="N85" s="418">
        <f t="shared" si="43"/>
        <v>54097.5</v>
      </c>
      <c r="O85" s="418">
        <f t="shared" si="43"/>
        <v>54097.5</v>
      </c>
      <c r="P85" s="418">
        <f t="shared" si="43"/>
        <v>0</v>
      </c>
      <c r="Q85" s="418">
        <f t="shared" si="43"/>
        <v>0</v>
      </c>
      <c r="R85" s="418">
        <f t="shared" si="43"/>
        <v>0</v>
      </c>
      <c r="S85" s="418">
        <f t="shared" si="43"/>
        <v>0</v>
      </c>
      <c r="T85" s="418">
        <f t="shared" si="43"/>
        <v>0</v>
      </c>
      <c r="U85" s="418">
        <f t="shared" si="43"/>
        <v>0</v>
      </c>
      <c r="V85" s="418">
        <f t="shared" si="43"/>
        <v>0</v>
      </c>
      <c r="W85" s="418">
        <f t="shared" si="43"/>
        <v>0</v>
      </c>
      <c r="X85" s="418">
        <f t="shared" si="43"/>
        <v>0</v>
      </c>
      <c r="Y85" s="418">
        <f t="shared" si="43"/>
        <v>0</v>
      </c>
      <c r="Z85" s="418">
        <f t="shared" si="43"/>
        <v>0</v>
      </c>
      <c r="AA85" s="418">
        <f t="shared" si="43"/>
        <v>0</v>
      </c>
      <c r="AB85" s="418">
        <f t="shared" si="43"/>
        <v>0</v>
      </c>
      <c r="AC85" s="418">
        <f t="shared" si="43"/>
        <v>0</v>
      </c>
      <c r="AD85" s="418">
        <f t="shared" si="43"/>
        <v>0</v>
      </c>
      <c r="AE85" s="418">
        <f t="shared" si="43"/>
        <v>0</v>
      </c>
      <c r="AF85" s="418">
        <f t="shared" si="43"/>
        <v>0</v>
      </c>
      <c r="AG85" s="418">
        <f t="shared" si="43"/>
        <v>0</v>
      </c>
      <c r="AH85" s="418">
        <f>IF(AG87&gt;0,IF(AH83-AG83&gt;0,0,AH84*AH83),0)</f>
        <v>0</v>
      </c>
      <c r="AI85" s="418"/>
      <c r="AM85" s="535"/>
      <c r="AO85" s="283"/>
      <c r="AP85" s="71"/>
      <c r="AQ85" s="283"/>
      <c r="AR85" s="71"/>
      <c r="AS85" s="283"/>
    </row>
    <row r="86" spans="1:45" s="419" customFormat="1" x14ac:dyDescent="0.2">
      <c r="A86" s="433" t="s">
        <v>145</v>
      </c>
      <c r="B86" s="418">
        <f>B85</f>
        <v>0</v>
      </c>
      <c r="C86" s="418">
        <f t="shared" ref="C86:AG86" si="44">C85+B86</f>
        <v>0</v>
      </c>
      <c r="D86" s="418">
        <f t="shared" si="44"/>
        <v>0</v>
      </c>
      <c r="E86" s="418">
        <f t="shared" si="44"/>
        <v>0</v>
      </c>
      <c r="F86" s="418">
        <f t="shared" si="44"/>
        <v>54097.5</v>
      </c>
      <c r="G86" s="418">
        <f t="shared" si="44"/>
        <v>108195</v>
      </c>
      <c r="H86" s="418">
        <f t="shared" si="44"/>
        <v>162292.5</v>
      </c>
      <c r="I86" s="418">
        <f t="shared" si="44"/>
        <v>216390</v>
      </c>
      <c r="J86" s="418">
        <f t="shared" si="44"/>
        <v>270487.5</v>
      </c>
      <c r="K86" s="418">
        <f t="shared" si="44"/>
        <v>324585</v>
      </c>
      <c r="L86" s="418">
        <f t="shared" si="44"/>
        <v>378682.5</v>
      </c>
      <c r="M86" s="418">
        <f t="shared" si="44"/>
        <v>432780</v>
      </c>
      <c r="N86" s="418">
        <f t="shared" si="44"/>
        <v>486877.5</v>
      </c>
      <c r="O86" s="418">
        <f t="shared" si="44"/>
        <v>540975</v>
      </c>
      <c r="P86" s="418">
        <f t="shared" si="44"/>
        <v>540975</v>
      </c>
      <c r="Q86" s="418">
        <f t="shared" si="44"/>
        <v>540975</v>
      </c>
      <c r="R86" s="418">
        <f t="shared" si="44"/>
        <v>540975</v>
      </c>
      <c r="S86" s="418">
        <f t="shared" si="44"/>
        <v>540975</v>
      </c>
      <c r="T86" s="418">
        <f t="shared" si="44"/>
        <v>540975</v>
      </c>
      <c r="U86" s="418">
        <f t="shared" si="44"/>
        <v>540975</v>
      </c>
      <c r="V86" s="418">
        <f t="shared" si="44"/>
        <v>540975</v>
      </c>
      <c r="W86" s="418">
        <f t="shared" si="44"/>
        <v>540975</v>
      </c>
      <c r="X86" s="418">
        <f t="shared" si="44"/>
        <v>540975</v>
      </c>
      <c r="Y86" s="418">
        <f t="shared" si="44"/>
        <v>540975</v>
      </c>
      <c r="Z86" s="418">
        <f t="shared" si="44"/>
        <v>540975</v>
      </c>
      <c r="AA86" s="418">
        <f t="shared" si="44"/>
        <v>540975</v>
      </c>
      <c r="AB86" s="418">
        <f t="shared" si="44"/>
        <v>540975</v>
      </c>
      <c r="AC86" s="418">
        <f t="shared" si="44"/>
        <v>540975</v>
      </c>
      <c r="AD86" s="418">
        <f t="shared" si="44"/>
        <v>540975</v>
      </c>
      <c r="AE86" s="418">
        <f t="shared" si="44"/>
        <v>540975</v>
      </c>
      <c r="AF86" s="418">
        <f t="shared" si="44"/>
        <v>540975</v>
      </c>
      <c r="AG86" s="418">
        <f t="shared" si="44"/>
        <v>540975</v>
      </c>
      <c r="AH86" s="418">
        <f>AH85+AG86</f>
        <v>540975</v>
      </c>
      <c r="AI86" s="418"/>
      <c r="AM86" s="535"/>
      <c r="AO86" s="283"/>
      <c r="AP86" s="71"/>
      <c r="AQ86" s="283"/>
      <c r="AR86" s="71"/>
      <c r="AS86" s="283"/>
    </row>
    <row r="87" spans="1:45" s="419" customFormat="1" x14ac:dyDescent="0.2">
      <c r="A87" s="433" t="s">
        <v>146</v>
      </c>
      <c r="B87" s="418">
        <f t="shared" ref="B87:AG87" si="45">ROUND(IF(B83-B86&gt;0,B83-B86,0),0)</f>
        <v>0</v>
      </c>
      <c r="C87" s="418">
        <f t="shared" si="45"/>
        <v>0</v>
      </c>
      <c r="D87" s="418">
        <f t="shared" si="45"/>
        <v>182575</v>
      </c>
      <c r="E87" s="418">
        <f t="shared" si="45"/>
        <v>540975</v>
      </c>
      <c r="F87" s="418">
        <f t="shared" si="45"/>
        <v>486878</v>
      </c>
      <c r="G87" s="418">
        <f t="shared" si="45"/>
        <v>432780</v>
      </c>
      <c r="H87" s="418">
        <f t="shared" si="45"/>
        <v>378683</v>
      </c>
      <c r="I87" s="418">
        <f t="shared" si="45"/>
        <v>324585</v>
      </c>
      <c r="J87" s="418">
        <f t="shared" si="45"/>
        <v>270488</v>
      </c>
      <c r="K87" s="418">
        <f t="shared" si="45"/>
        <v>216390</v>
      </c>
      <c r="L87" s="418">
        <f t="shared" si="45"/>
        <v>162293</v>
      </c>
      <c r="M87" s="418">
        <f t="shared" si="45"/>
        <v>108195</v>
      </c>
      <c r="N87" s="418">
        <f t="shared" si="45"/>
        <v>54098</v>
      </c>
      <c r="O87" s="418">
        <f t="shared" si="45"/>
        <v>0</v>
      </c>
      <c r="P87" s="418">
        <f t="shared" si="45"/>
        <v>0</v>
      </c>
      <c r="Q87" s="418">
        <f t="shared" si="45"/>
        <v>0</v>
      </c>
      <c r="R87" s="418">
        <f t="shared" si="45"/>
        <v>0</v>
      </c>
      <c r="S87" s="418">
        <f t="shared" si="45"/>
        <v>0</v>
      </c>
      <c r="T87" s="418">
        <f t="shared" si="45"/>
        <v>0</v>
      </c>
      <c r="U87" s="418">
        <f t="shared" si="45"/>
        <v>0</v>
      </c>
      <c r="V87" s="418">
        <f t="shared" si="45"/>
        <v>0</v>
      </c>
      <c r="W87" s="418">
        <f t="shared" si="45"/>
        <v>0</v>
      </c>
      <c r="X87" s="418">
        <f t="shared" si="45"/>
        <v>0</v>
      </c>
      <c r="Y87" s="418">
        <f t="shared" si="45"/>
        <v>0</v>
      </c>
      <c r="Z87" s="418">
        <f t="shared" si="45"/>
        <v>0</v>
      </c>
      <c r="AA87" s="418">
        <f t="shared" si="45"/>
        <v>0</v>
      </c>
      <c r="AB87" s="418">
        <f t="shared" si="45"/>
        <v>0</v>
      </c>
      <c r="AC87" s="418">
        <f t="shared" si="45"/>
        <v>0</v>
      </c>
      <c r="AD87" s="418">
        <f t="shared" si="45"/>
        <v>0</v>
      </c>
      <c r="AE87" s="418">
        <f t="shared" si="45"/>
        <v>0</v>
      </c>
      <c r="AF87" s="418">
        <f t="shared" si="45"/>
        <v>0</v>
      </c>
      <c r="AG87" s="418">
        <f t="shared" si="45"/>
        <v>0</v>
      </c>
      <c r="AH87" s="418">
        <f>ROUND(IF(AH83-AH86&gt;0,AH83-AH86,0),0)</f>
        <v>0</v>
      </c>
      <c r="AI87" s="418"/>
      <c r="AM87" s="535"/>
      <c r="AO87" s="283"/>
      <c r="AP87" s="71"/>
      <c r="AQ87" s="283"/>
      <c r="AR87" s="71"/>
      <c r="AS87" s="283"/>
    </row>
    <row r="88" spans="1:45" s="419" customFormat="1" x14ac:dyDescent="0.2">
      <c r="A88" s="432" t="s">
        <v>12</v>
      </c>
      <c r="B88" s="429"/>
      <c r="C88" s="429"/>
      <c r="D88" s="429"/>
      <c r="E88" s="429"/>
      <c r="F88" s="429"/>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M88" s="535"/>
      <c r="AO88" s="283"/>
      <c r="AP88" s="71"/>
      <c r="AQ88" s="283"/>
      <c r="AR88" s="71"/>
      <c r="AS88" s="283"/>
    </row>
    <row r="89" spans="1:45" s="419" customFormat="1" x14ac:dyDescent="0.2">
      <c r="A89" s="433" t="s">
        <v>142</v>
      </c>
      <c r="B89" s="418">
        <f>B49+B69</f>
        <v>0</v>
      </c>
      <c r="C89" s="418">
        <f t="shared" ref="C89:AG89" si="46">C49+C69</f>
        <v>0</v>
      </c>
      <c r="D89" s="418">
        <f t="shared" si="46"/>
        <v>75034</v>
      </c>
      <c r="E89" s="418">
        <f t="shared" si="46"/>
        <v>138034</v>
      </c>
      <c r="F89" s="418">
        <f t="shared" si="46"/>
        <v>138034</v>
      </c>
      <c r="G89" s="418">
        <f t="shared" si="46"/>
        <v>138034</v>
      </c>
      <c r="H89" s="418">
        <f t="shared" si="46"/>
        <v>138034</v>
      </c>
      <c r="I89" s="418">
        <f t="shared" si="46"/>
        <v>138034</v>
      </c>
      <c r="J89" s="418">
        <f t="shared" si="46"/>
        <v>138034</v>
      </c>
      <c r="K89" s="418">
        <f t="shared" si="46"/>
        <v>138034</v>
      </c>
      <c r="L89" s="418">
        <f t="shared" si="46"/>
        <v>138034</v>
      </c>
      <c r="M89" s="418">
        <f t="shared" si="46"/>
        <v>138034</v>
      </c>
      <c r="N89" s="418">
        <f t="shared" si="46"/>
        <v>138034</v>
      </c>
      <c r="O89" s="418">
        <f t="shared" si="46"/>
        <v>138034</v>
      </c>
      <c r="P89" s="418">
        <f t="shared" si="46"/>
        <v>138034</v>
      </c>
      <c r="Q89" s="418">
        <f t="shared" si="46"/>
        <v>138034</v>
      </c>
      <c r="R89" s="418">
        <f t="shared" si="46"/>
        <v>138034</v>
      </c>
      <c r="S89" s="418">
        <f t="shared" si="46"/>
        <v>138034</v>
      </c>
      <c r="T89" s="418">
        <f t="shared" si="46"/>
        <v>138034</v>
      </c>
      <c r="U89" s="418">
        <f t="shared" si="46"/>
        <v>138034</v>
      </c>
      <c r="V89" s="418">
        <f t="shared" si="46"/>
        <v>138034</v>
      </c>
      <c r="W89" s="418">
        <f t="shared" si="46"/>
        <v>138034</v>
      </c>
      <c r="X89" s="418">
        <f t="shared" si="46"/>
        <v>138034</v>
      </c>
      <c r="Y89" s="418">
        <f t="shared" si="46"/>
        <v>138034</v>
      </c>
      <c r="Z89" s="418">
        <f t="shared" si="46"/>
        <v>138034</v>
      </c>
      <c r="AA89" s="418">
        <f t="shared" si="46"/>
        <v>138034</v>
      </c>
      <c r="AB89" s="418">
        <f t="shared" si="46"/>
        <v>138034</v>
      </c>
      <c r="AC89" s="418">
        <f t="shared" si="46"/>
        <v>138034</v>
      </c>
      <c r="AD89" s="418">
        <f t="shared" si="46"/>
        <v>138034</v>
      </c>
      <c r="AE89" s="418">
        <f t="shared" si="46"/>
        <v>138034</v>
      </c>
      <c r="AF89" s="418">
        <f t="shared" si="46"/>
        <v>138034</v>
      </c>
      <c r="AG89" s="418">
        <f t="shared" si="46"/>
        <v>138034</v>
      </c>
      <c r="AH89" s="418">
        <f>AH49+AH69</f>
        <v>138034</v>
      </c>
      <c r="AI89" s="418"/>
      <c r="AM89" s="535"/>
      <c r="AO89" s="283"/>
      <c r="AP89" s="71"/>
      <c r="AQ89" s="283"/>
      <c r="AR89" s="71"/>
      <c r="AS89" s="283"/>
    </row>
    <row r="90" spans="1:45" s="419" customFormat="1" x14ac:dyDescent="0.2">
      <c r="A90" s="433" t="s">
        <v>143</v>
      </c>
      <c r="B90" s="434">
        <f>1/'Datu ievade'!$B$29</f>
        <v>0.1</v>
      </c>
      <c r="C90" s="434">
        <f>1/'Datu ievade'!$B$29</f>
        <v>0.1</v>
      </c>
      <c r="D90" s="434">
        <f>1/'Datu ievade'!$B$29</f>
        <v>0.1</v>
      </c>
      <c r="E90" s="434">
        <f>1/'Datu ievade'!$B$29</f>
        <v>0.1</v>
      </c>
      <c r="F90" s="434">
        <f>1/'Datu ievade'!$B$29</f>
        <v>0.1</v>
      </c>
      <c r="G90" s="434">
        <f>1/'Datu ievade'!$B$29</f>
        <v>0.1</v>
      </c>
      <c r="H90" s="434">
        <f>1/'Datu ievade'!$B$29</f>
        <v>0.1</v>
      </c>
      <c r="I90" s="434">
        <f>1/'Datu ievade'!$B$29</f>
        <v>0.1</v>
      </c>
      <c r="J90" s="434">
        <f>1/'Datu ievade'!$B$29</f>
        <v>0.1</v>
      </c>
      <c r="K90" s="434">
        <f>1/'Datu ievade'!$B$29</f>
        <v>0.1</v>
      </c>
      <c r="L90" s="434">
        <f>1/'Datu ievade'!$B$29</f>
        <v>0.1</v>
      </c>
      <c r="M90" s="434">
        <f>1/'Datu ievade'!$B$29</f>
        <v>0.1</v>
      </c>
      <c r="N90" s="434">
        <f>1/'Datu ievade'!$B$29</f>
        <v>0.1</v>
      </c>
      <c r="O90" s="434">
        <f>1/'Datu ievade'!$B$29</f>
        <v>0.1</v>
      </c>
      <c r="P90" s="434">
        <f>1/'Datu ievade'!$B$29</f>
        <v>0.1</v>
      </c>
      <c r="Q90" s="434">
        <f>1/'Datu ievade'!$B$29</f>
        <v>0.1</v>
      </c>
      <c r="R90" s="434">
        <f>1/'Datu ievade'!$B$29</f>
        <v>0.1</v>
      </c>
      <c r="S90" s="434">
        <f>1/'Datu ievade'!$B$29</f>
        <v>0.1</v>
      </c>
      <c r="T90" s="434">
        <f>1/'Datu ievade'!$B$29</f>
        <v>0.1</v>
      </c>
      <c r="U90" s="434">
        <f>1/'Datu ievade'!$B$29</f>
        <v>0.1</v>
      </c>
      <c r="V90" s="434">
        <f>1/'Datu ievade'!$B$29</f>
        <v>0.1</v>
      </c>
      <c r="W90" s="434">
        <f>1/'Datu ievade'!$B$29</f>
        <v>0.1</v>
      </c>
      <c r="X90" s="434">
        <f>1/'Datu ievade'!$B$29</f>
        <v>0.1</v>
      </c>
      <c r="Y90" s="434">
        <f>1/'Datu ievade'!$B$29</f>
        <v>0.1</v>
      </c>
      <c r="Z90" s="434">
        <f>1/'Datu ievade'!$B$29</f>
        <v>0.1</v>
      </c>
      <c r="AA90" s="434">
        <f>1/'Datu ievade'!$B$29</f>
        <v>0.1</v>
      </c>
      <c r="AB90" s="434">
        <f>1/'Datu ievade'!$B$29</f>
        <v>0.1</v>
      </c>
      <c r="AC90" s="434">
        <f>1/'Datu ievade'!$B$29</f>
        <v>0.1</v>
      </c>
      <c r="AD90" s="434">
        <f>1/'Datu ievade'!$B$29</f>
        <v>0.1</v>
      </c>
      <c r="AE90" s="434">
        <f>1/'Datu ievade'!$B$29</f>
        <v>0.1</v>
      </c>
      <c r="AF90" s="434">
        <f>1/'Datu ievade'!$B$29</f>
        <v>0.1</v>
      </c>
      <c r="AG90" s="434">
        <f>1/'Datu ievade'!$B$29</f>
        <v>0.1</v>
      </c>
      <c r="AH90" s="434">
        <f>1/'Datu ievade'!$B$29</f>
        <v>0.1</v>
      </c>
      <c r="AI90" s="434"/>
      <c r="AM90" s="535"/>
      <c r="AO90" s="283"/>
      <c r="AP90" s="71"/>
      <c r="AQ90" s="283"/>
      <c r="AR90" s="71"/>
      <c r="AS90" s="283"/>
    </row>
    <row r="91" spans="1:45" s="419" customFormat="1" x14ac:dyDescent="0.2">
      <c r="A91" s="433" t="s">
        <v>144</v>
      </c>
      <c r="B91" s="435">
        <v>0</v>
      </c>
      <c r="C91" s="418">
        <f t="shared" ref="C91:AG91" si="47">IF(B93&gt;0,IF(C89-B89&gt;0,0,C90*C89),0)</f>
        <v>0</v>
      </c>
      <c r="D91" s="418">
        <f t="shared" si="47"/>
        <v>0</v>
      </c>
      <c r="E91" s="418">
        <f t="shared" si="47"/>
        <v>0</v>
      </c>
      <c r="F91" s="418">
        <f t="shared" si="47"/>
        <v>13803.400000000001</v>
      </c>
      <c r="G91" s="418">
        <f t="shared" si="47"/>
        <v>13803.400000000001</v>
      </c>
      <c r="H91" s="418">
        <f t="shared" si="47"/>
        <v>13803.400000000001</v>
      </c>
      <c r="I91" s="418">
        <f t="shared" si="47"/>
        <v>13803.400000000001</v>
      </c>
      <c r="J91" s="418">
        <f t="shared" si="47"/>
        <v>13803.400000000001</v>
      </c>
      <c r="K91" s="418">
        <f t="shared" si="47"/>
        <v>13803.400000000001</v>
      </c>
      <c r="L91" s="418">
        <f t="shared" si="47"/>
        <v>13803.400000000001</v>
      </c>
      <c r="M91" s="418">
        <f t="shared" si="47"/>
        <v>13803.400000000001</v>
      </c>
      <c r="N91" s="418">
        <f t="shared" si="47"/>
        <v>13803.400000000001</v>
      </c>
      <c r="O91" s="418">
        <f t="shared" si="47"/>
        <v>13803.400000000001</v>
      </c>
      <c r="P91" s="418">
        <f t="shared" si="47"/>
        <v>0</v>
      </c>
      <c r="Q91" s="418">
        <f t="shared" si="47"/>
        <v>0</v>
      </c>
      <c r="R91" s="418">
        <f t="shared" si="47"/>
        <v>0</v>
      </c>
      <c r="S91" s="418">
        <f t="shared" si="47"/>
        <v>0</v>
      </c>
      <c r="T91" s="418">
        <f t="shared" si="47"/>
        <v>0</v>
      </c>
      <c r="U91" s="418">
        <f t="shared" si="47"/>
        <v>0</v>
      </c>
      <c r="V91" s="418">
        <f t="shared" si="47"/>
        <v>0</v>
      </c>
      <c r="W91" s="418">
        <f t="shared" si="47"/>
        <v>0</v>
      </c>
      <c r="X91" s="418">
        <f t="shared" si="47"/>
        <v>0</v>
      </c>
      <c r="Y91" s="418">
        <f t="shared" si="47"/>
        <v>0</v>
      </c>
      <c r="Z91" s="418">
        <f t="shared" si="47"/>
        <v>0</v>
      </c>
      <c r="AA91" s="418">
        <f t="shared" si="47"/>
        <v>0</v>
      </c>
      <c r="AB91" s="418">
        <f t="shared" si="47"/>
        <v>0</v>
      </c>
      <c r="AC91" s="418">
        <f t="shared" si="47"/>
        <v>0</v>
      </c>
      <c r="AD91" s="418">
        <f t="shared" si="47"/>
        <v>0</v>
      </c>
      <c r="AE91" s="418">
        <f t="shared" si="47"/>
        <v>0</v>
      </c>
      <c r="AF91" s="418">
        <f t="shared" si="47"/>
        <v>0</v>
      </c>
      <c r="AG91" s="418">
        <f t="shared" si="47"/>
        <v>0</v>
      </c>
      <c r="AH91" s="418">
        <f>IF(AG93&gt;0,IF(AH89-AG89&gt;0,0,AH90*AH89),0)</f>
        <v>0</v>
      </c>
      <c r="AI91" s="418"/>
      <c r="AM91" s="535"/>
      <c r="AO91" s="283"/>
      <c r="AP91" s="71"/>
      <c r="AQ91" s="283"/>
      <c r="AR91" s="71"/>
      <c r="AS91" s="283"/>
    </row>
    <row r="92" spans="1:45" s="419" customFormat="1" x14ac:dyDescent="0.2">
      <c r="A92" s="433" t="s">
        <v>145</v>
      </c>
      <c r="B92" s="418">
        <f>B91</f>
        <v>0</v>
      </c>
      <c r="C92" s="418">
        <f t="shared" ref="C92:AG92" si="48">C91+B92</f>
        <v>0</v>
      </c>
      <c r="D92" s="418">
        <f t="shared" si="48"/>
        <v>0</v>
      </c>
      <c r="E92" s="418">
        <f t="shared" si="48"/>
        <v>0</v>
      </c>
      <c r="F92" s="418">
        <f t="shared" si="48"/>
        <v>13803.400000000001</v>
      </c>
      <c r="G92" s="418">
        <f t="shared" si="48"/>
        <v>27606.800000000003</v>
      </c>
      <c r="H92" s="418">
        <f t="shared" si="48"/>
        <v>41410.200000000004</v>
      </c>
      <c r="I92" s="418">
        <f t="shared" si="48"/>
        <v>55213.600000000006</v>
      </c>
      <c r="J92" s="418">
        <f t="shared" si="48"/>
        <v>69017</v>
      </c>
      <c r="K92" s="418">
        <f t="shared" si="48"/>
        <v>82820.399999999994</v>
      </c>
      <c r="L92" s="418">
        <f t="shared" si="48"/>
        <v>96623.799999999988</v>
      </c>
      <c r="M92" s="418">
        <f t="shared" si="48"/>
        <v>110427.19999999998</v>
      </c>
      <c r="N92" s="418">
        <f t="shared" si="48"/>
        <v>124230.59999999998</v>
      </c>
      <c r="O92" s="418">
        <f t="shared" si="48"/>
        <v>138033.99999999997</v>
      </c>
      <c r="P92" s="418">
        <f t="shared" si="48"/>
        <v>138033.99999999997</v>
      </c>
      <c r="Q92" s="418">
        <f t="shared" si="48"/>
        <v>138033.99999999997</v>
      </c>
      <c r="R92" s="418">
        <f t="shared" si="48"/>
        <v>138033.99999999997</v>
      </c>
      <c r="S92" s="418">
        <f t="shared" si="48"/>
        <v>138033.99999999997</v>
      </c>
      <c r="T92" s="418">
        <f t="shared" si="48"/>
        <v>138033.99999999997</v>
      </c>
      <c r="U92" s="418">
        <f t="shared" si="48"/>
        <v>138033.99999999997</v>
      </c>
      <c r="V92" s="418">
        <f t="shared" si="48"/>
        <v>138033.99999999997</v>
      </c>
      <c r="W92" s="418">
        <f t="shared" si="48"/>
        <v>138033.99999999997</v>
      </c>
      <c r="X92" s="418">
        <f t="shared" si="48"/>
        <v>138033.99999999997</v>
      </c>
      <c r="Y92" s="418">
        <f t="shared" si="48"/>
        <v>138033.99999999997</v>
      </c>
      <c r="Z92" s="418">
        <f t="shared" si="48"/>
        <v>138033.99999999997</v>
      </c>
      <c r="AA92" s="418">
        <f t="shared" si="48"/>
        <v>138033.99999999997</v>
      </c>
      <c r="AB92" s="418">
        <f t="shared" si="48"/>
        <v>138033.99999999997</v>
      </c>
      <c r="AC92" s="418">
        <f t="shared" si="48"/>
        <v>138033.99999999997</v>
      </c>
      <c r="AD92" s="418">
        <f t="shared" si="48"/>
        <v>138033.99999999997</v>
      </c>
      <c r="AE92" s="418">
        <f t="shared" si="48"/>
        <v>138033.99999999997</v>
      </c>
      <c r="AF92" s="418">
        <f t="shared" si="48"/>
        <v>138033.99999999997</v>
      </c>
      <c r="AG92" s="418">
        <f t="shared" si="48"/>
        <v>138033.99999999997</v>
      </c>
      <c r="AH92" s="418">
        <f>AH91+AG92</f>
        <v>138033.99999999997</v>
      </c>
      <c r="AI92" s="418"/>
      <c r="AM92" s="535"/>
      <c r="AO92" s="283"/>
      <c r="AP92" s="71"/>
      <c r="AQ92" s="283"/>
      <c r="AR92" s="71"/>
      <c r="AS92" s="283"/>
    </row>
    <row r="93" spans="1:45" s="419" customFormat="1" x14ac:dyDescent="0.2">
      <c r="A93" s="433" t="s">
        <v>146</v>
      </c>
      <c r="B93" s="418">
        <f t="shared" ref="B93:AG93" si="49">ROUND(IF(B89-B92&gt;0,B89-B92,0),0)</f>
        <v>0</v>
      </c>
      <c r="C93" s="418">
        <f t="shared" si="49"/>
        <v>0</v>
      </c>
      <c r="D93" s="418">
        <f t="shared" si="49"/>
        <v>75034</v>
      </c>
      <c r="E93" s="418">
        <f t="shared" si="49"/>
        <v>138034</v>
      </c>
      <c r="F93" s="418">
        <f t="shared" si="49"/>
        <v>124231</v>
      </c>
      <c r="G93" s="418">
        <f t="shared" si="49"/>
        <v>110427</v>
      </c>
      <c r="H93" s="418">
        <f t="shared" si="49"/>
        <v>96624</v>
      </c>
      <c r="I93" s="418">
        <f t="shared" si="49"/>
        <v>82820</v>
      </c>
      <c r="J93" s="418">
        <f t="shared" si="49"/>
        <v>69017</v>
      </c>
      <c r="K93" s="418">
        <f t="shared" si="49"/>
        <v>55214</v>
      </c>
      <c r="L93" s="418">
        <f t="shared" si="49"/>
        <v>41410</v>
      </c>
      <c r="M93" s="418">
        <f t="shared" si="49"/>
        <v>27607</v>
      </c>
      <c r="N93" s="418">
        <f t="shared" si="49"/>
        <v>13803</v>
      </c>
      <c r="O93" s="418">
        <f t="shared" si="49"/>
        <v>0</v>
      </c>
      <c r="P93" s="418">
        <f t="shared" si="49"/>
        <v>0</v>
      </c>
      <c r="Q93" s="418">
        <f t="shared" si="49"/>
        <v>0</v>
      </c>
      <c r="R93" s="418">
        <f t="shared" si="49"/>
        <v>0</v>
      </c>
      <c r="S93" s="418">
        <f t="shared" si="49"/>
        <v>0</v>
      </c>
      <c r="T93" s="418">
        <f t="shared" si="49"/>
        <v>0</v>
      </c>
      <c r="U93" s="418">
        <f t="shared" si="49"/>
        <v>0</v>
      </c>
      <c r="V93" s="418">
        <f t="shared" si="49"/>
        <v>0</v>
      </c>
      <c r="W93" s="418">
        <f t="shared" si="49"/>
        <v>0</v>
      </c>
      <c r="X93" s="418">
        <f t="shared" si="49"/>
        <v>0</v>
      </c>
      <c r="Y93" s="418">
        <f t="shared" si="49"/>
        <v>0</v>
      </c>
      <c r="Z93" s="418">
        <f t="shared" si="49"/>
        <v>0</v>
      </c>
      <c r="AA93" s="418">
        <f t="shared" si="49"/>
        <v>0</v>
      </c>
      <c r="AB93" s="418">
        <f t="shared" si="49"/>
        <v>0</v>
      </c>
      <c r="AC93" s="418">
        <f t="shared" si="49"/>
        <v>0</v>
      </c>
      <c r="AD93" s="418">
        <f t="shared" si="49"/>
        <v>0</v>
      </c>
      <c r="AE93" s="418">
        <f t="shared" si="49"/>
        <v>0</v>
      </c>
      <c r="AF93" s="418">
        <f t="shared" si="49"/>
        <v>0</v>
      </c>
      <c r="AG93" s="418">
        <f t="shared" si="49"/>
        <v>0</v>
      </c>
      <c r="AH93" s="418">
        <f>ROUND(IF(AH89-AH92&gt;0,AH89-AH92,0),0)</f>
        <v>0</v>
      </c>
      <c r="AI93" s="418"/>
      <c r="AM93" s="535"/>
      <c r="AO93" s="283"/>
      <c r="AP93" s="71"/>
      <c r="AQ93" s="283"/>
      <c r="AR93" s="71"/>
      <c r="AS93" s="283"/>
    </row>
    <row r="94" spans="1:45" s="419" customFormat="1" ht="17.25" customHeight="1" x14ac:dyDescent="0.2">
      <c r="A94" s="424" t="s">
        <v>148</v>
      </c>
      <c r="B94" s="445"/>
      <c r="C94" s="445"/>
      <c r="D94" s="445"/>
      <c r="E94" s="445"/>
      <c r="F94" s="445"/>
      <c r="G94" s="445"/>
      <c r="H94" s="445"/>
      <c r="I94" s="445"/>
      <c r="J94" s="445"/>
      <c r="K94" s="445"/>
      <c r="L94" s="445"/>
      <c r="M94" s="445"/>
      <c r="N94" s="445"/>
      <c r="O94" s="445"/>
      <c r="P94" s="445"/>
      <c r="Q94" s="445"/>
      <c r="R94" s="445"/>
      <c r="S94" s="445"/>
      <c r="T94" s="445"/>
      <c r="U94" s="445"/>
      <c r="V94" s="445"/>
      <c r="W94" s="445"/>
      <c r="X94" s="446"/>
      <c r="Y94" s="446"/>
      <c r="Z94" s="446"/>
      <c r="AA94" s="446"/>
      <c r="AB94" s="446"/>
      <c r="AC94" s="446"/>
      <c r="AD94" s="446"/>
      <c r="AE94" s="446"/>
      <c r="AF94" s="446"/>
      <c r="AG94" s="446"/>
      <c r="AH94" s="446"/>
      <c r="AI94" s="446"/>
      <c r="AM94" s="535"/>
      <c r="AO94" s="283"/>
      <c r="AP94" s="71"/>
      <c r="AQ94" s="283"/>
      <c r="AR94" s="71"/>
      <c r="AS94" s="283"/>
    </row>
    <row r="95" spans="1:45" s="419" customFormat="1" x14ac:dyDescent="0.2">
      <c r="A95" s="433" t="s">
        <v>149</v>
      </c>
      <c r="B95" s="447">
        <f>ROUND(SUM('Datu ievade'!B107:G107)/1.21,0)</f>
        <v>1628659</v>
      </c>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M95" s="535"/>
      <c r="AO95" s="283"/>
      <c r="AP95" s="71"/>
      <c r="AQ95" s="283"/>
      <c r="AR95" s="71"/>
      <c r="AS95" s="283"/>
    </row>
    <row r="96" spans="1:45" s="419" customFormat="1" x14ac:dyDescent="0.2">
      <c r="A96" s="433" t="s">
        <v>150</v>
      </c>
      <c r="B96" s="447">
        <f>NPV('Datu ievade'!B447,D110:G110)</f>
        <v>1435982.1213992639</v>
      </c>
      <c r="C96" s="448" t="s">
        <v>568</v>
      </c>
      <c r="D96" s="44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M96" s="535"/>
      <c r="AO96" s="283"/>
      <c r="AP96" s="71"/>
      <c r="AQ96" s="283"/>
      <c r="AR96" s="71"/>
      <c r="AS96" s="283"/>
    </row>
    <row r="97" spans="1:45" s="419" customFormat="1" x14ac:dyDescent="0.2">
      <c r="A97" s="433" t="s">
        <v>151</v>
      </c>
      <c r="B97" s="447">
        <f>SUM('Datu ievade'!C110:G110)</f>
        <v>1060503.75</v>
      </c>
      <c r="C97" s="448"/>
      <c r="D97" s="448"/>
      <c r="E97" s="448"/>
      <c r="F97" s="448"/>
      <c r="G97" s="448"/>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M97" s="535"/>
      <c r="AO97" s="283"/>
      <c r="AP97" s="71"/>
      <c r="AQ97" s="283"/>
      <c r="AR97" s="71"/>
      <c r="AS97" s="283"/>
    </row>
    <row r="98" spans="1:45" s="419" customFormat="1" x14ac:dyDescent="0.2">
      <c r="A98" s="433" t="s">
        <v>152</v>
      </c>
      <c r="B98" s="447">
        <f>NPV('Datu ievade'!B447,'Datu ievade'!D110:G110)</f>
        <v>934462.15365050628</v>
      </c>
      <c r="C98" s="448" t="s">
        <v>568</v>
      </c>
      <c r="D98" s="448"/>
      <c r="E98" s="448"/>
      <c r="F98" s="448"/>
      <c r="G98" s="448"/>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M98" s="535"/>
      <c r="AO98" s="283"/>
      <c r="AP98" s="71"/>
      <c r="AQ98" s="283"/>
      <c r="AR98" s="71"/>
      <c r="AS98" s="283"/>
    </row>
    <row r="99" spans="1:45" s="419" customFormat="1" x14ac:dyDescent="0.2">
      <c r="A99" s="433" t="s">
        <v>153</v>
      </c>
      <c r="B99" s="449">
        <f ca="1">NPV('Datu ievade'!B447,'Saimnieciskas pamatdarbibas NP'!D112:AG112)</f>
        <v>172892.45360512062</v>
      </c>
      <c r="C99" s="791" t="s">
        <v>563</v>
      </c>
      <c r="D99" s="789"/>
      <c r="E99" s="448"/>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M99" s="535"/>
      <c r="AO99" s="283"/>
      <c r="AP99" s="71"/>
      <c r="AQ99" s="283"/>
      <c r="AR99" s="71"/>
      <c r="AS99" s="283"/>
    </row>
    <row r="100" spans="1:45" s="419" customFormat="1" x14ac:dyDescent="0.2">
      <c r="A100" s="419" t="s">
        <v>154</v>
      </c>
      <c r="B100" s="449">
        <f ca="1">NPV('Datu ievade'!B447,'Saimnieciskas pamatdarbibas NP'!D111:AG111)</f>
        <v>907836.33924713626</v>
      </c>
      <c r="C100" s="791" t="s">
        <v>564</v>
      </c>
      <c r="D100" s="789"/>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M100" s="535"/>
      <c r="AO100" s="283"/>
      <c r="AP100" s="71"/>
      <c r="AQ100" s="283"/>
      <c r="AR100" s="71"/>
      <c r="AS100" s="283"/>
    </row>
    <row r="101" spans="1:45" s="419" customFormat="1" x14ac:dyDescent="0.2">
      <c r="A101" s="433" t="s">
        <v>155</v>
      </c>
      <c r="B101" s="449">
        <f>NPV('Datu ievade'!B447,'Saimnieciskas pamatdarbibas NP'!D102:AG102)</f>
        <v>734943.88564201538</v>
      </c>
      <c r="C101" s="791" t="s">
        <v>565</v>
      </c>
      <c r="D101" s="789"/>
      <c r="E101" s="448"/>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M101" s="535"/>
      <c r="AO101" s="283"/>
      <c r="AP101" s="71"/>
      <c r="AQ101" s="283"/>
      <c r="AR101" s="71"/>
      <c r="AS101" s="283"/>
    </row>
    <row r="102" spans="1:45" s="419" customFormat="1" x14ac:dyDescent="0.2">
      <c r="A102" s="419" t="s">
        <v>156</v>
      </c>
      <c r="B102" s="449">
        <f ca="1">NPV('Datu ievade'!B447,D184:AG184)</f>
        <v>950530.93526677659</v>
      </c>
      <c r="C102" s="791" t="s">
        <v>566</v>
      </c>
      <c r="D102" s="789"/>
      <c r="E102" s="448"/>
      <c r="F102" s="448"/>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M102" s="535"/>
      <c r="AO102" s="283"/>
      <c r="AP102" s="71"/>
      <c r="AQ102" s="283"/>
      <c r="AR102" s="71"/>
      <c r="AS102" s="283"/>
    </row>
    <row r="103" spans="1:45" s="419" customFormat="1" x14ac:dyDescent="0.2">
      <c r="A103" s="433" t="s">
        <v>157</v>
      </c>
      <c r="B103" s="449">
        <f>NPV('Datu ievade'!B447,D185:AG185)</f>
        <v>734943.88564201538</v>
      </c>
      <c r="C103" s="791" t="s">
        <v>567</v>
      </c>
      <c r="D103" s="789"/>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M103" s="535"/>
      <c r="AO103" s="283"/>
      <c r="AP103" s="71"/>
      <c r="AQ103" s="283"/>
      <c r="AR103" s="71"/>
      <c r="AS103" s="283"/>
    </row>
    <row r="104" spans="1:45" s="419" customFormat="1" x14ac:dyDescent="0.2">
      <c r="A104" s="433" t="s">
        <v>158</v>
      </c>
      <c r="B104" s="418">
        <f>IF('Datu ievade'!$B$35=Aprekini!B75,B81+B87+B93,0)</f>
        <v>0</v>
      </c>
      <c r="C104" s="418">
        <f>IF('Datu ievade'!$B$35=Aprekini!C75,C81+C87+C93,0)</f>
        <v>0</v>
      </c>
      <c r="D104" s="418">
        <f>IF('Datu ievade'!$B$35=Aprekini!D75,D81+D87+D93,0)</f>
        <v>0</v>
      </c>
      <c r="E104" s="418">
        <f>IF('Datu ievade'!$B$35=Aprekini!E75,E81+E87+E93,0)</f>
        <v>0</v>
      </c>
      <c r="F104" s="418">
        <f>IF('Datu ievade'!$B$35=Aprekini!F75,F81+F87+F93,0)</f>
        <v>0</v>
      </c>
      <c r="G104" s="418">
        <f>IF('Datu ievade'!$B$35=Aprekini!G75,G81+G87+G93,0)</f>
        <v>0</v>
      </c>
      <c r="H104" s="418">
        <f>IF('Datu ievade'!$B$35=Aprekini!H75,H81+H87+H93,0)</f>
        <v>0</v>
      </c>
      <c r="I104" s="418">
        <f>IF('Datu ievade'!$B$35=Aprekini!I75,I81+I87+I93,0)</f>
        <v>0</v>
      </c>
      <c r="J104" s="418">
        <f>IF('Datu ievade'!$B$35=Aprekini!J75,J81+J87+J93,0)</f>
        <v>0</v>
      </c>
      <c r="K104" s="418">
        <f>IF('Datu ievade'!$B$35=Aprekini!K75,K81+K87+K93,0)</f>
        <v>0</v>
      </c>
      <c r="L104" s="418">
        <f>IF('Datu ievade'!$B$35=Aprekini!L75,L81+L87+L93,0)</f>
        <v>0</v>
      </c>
      <c r="M104" s="418">
        <f>IF('Datu ievade'!$B$35=Aprekini!M75,M81+M87+M93,0)</f>
        <v>0</v>
      </c>
      <c r="N104" s="418">
        <f>IF('Datu ievade'!$B$35=Aprekini!N75,N81+N87+N93,0)</f>
        <v>0</v>
      </c>
      <c r="O104" s="418">
        <f>IF('Datu ievade'!$B$35=Aprekini!O75,O81+O87+O93,0)</f>
        <v>0</v>
      </c>
      <c r="P104" s="418">
        <f>IF('Datu ievade'!$B$35=Aprekini!P75,P81+P87+P93,0)</f>
        <v>0</v>
      </c>
      <c r="Q104" s="418">
        <f>IF('Datu ievade'!$B$35=Aprekini!Q75,Q81+Q87+Q93,0)</f>
        <v>0</v>
      </c>
      <c r="R104" s="418">
        <f>IF('Datu ievade'!$B$35=Aprekini!R75,R81+R87+R93,0)</f>
        <v>0</v>
      </c>
      <c r="S104" s="418">
        <f>IF('Datu ievade'!$B$35=Aprekini!S75,S81+S87+S93,0)</f>
        <v>0</v>
      </c>
      <c r="T104" s="418">
        <f>IF('Datu ievade'!$B$35=Aprekini!T75,T81+T87+T93,0)</f>
        <v>0</v>
      </c>
      <c r="U104" s="418">
        <f>IF('Datu ievade'!$B$35=Aprekini!U75,U81+U87+U93,0)</f>
        <v>0</v>
      </c>
      <c r="V104" s="418">
        <f>IF('Datu ievade'!$B$35=Aprekini!V75,V81+V87+V93,0)</f>
        <v>0</v>
      </c>
      <c r="W104" s="418">
        <f>IF('Datu ievade'!$B$35=Aprekini!W75,W81+W87+W93,0)</f>
        <v>0</v>
      </c>
      <c r="X104" s="418">
        <f>IF('Datu ievade'!$B$35=Aprekini!X75,X81+X87+X93,0)</f>
        <v>0</v>
      </c>
      <c r="Y104" s="418">
        <f>IF('Datu ievade'!$B$35=Aprekini!Y75,Y81+Y87+Y93,0)</f>
        <v>0</v>
      </c>
      <c r="Z104" s="418">
        <f>IF('Datu ievade'!$B$35=Aprekini!Z75,Z81+Z87+Z93,0)</f>
        <v>0</v>
      </c>
      <c r="AA104" s="418">
        <f>IF('Datu ievade'!$B$35=Aprekini!AA75,AA81+AA87+AA93,0)</f>
        <v>0</v>
      </c>
      <c r="AB104" s="418">
        <f>IF('Datu ievade'!$B$35=Aprekini!AB75,AB81+AB87+AB93,0)</f>
        <v>0</v>
      </c>
      <c r="AC104" s="418">
        <f>IF('Datu ievade'!$B$35=Aprekini!AC75,AC81+AC87+AC93,0)</f>
        <v>0</v>
      </c>
      <c r="AD104" s="418">
        <f>IF('Datu ievade'!$B$35=Aprekini!AD75,AD81+AD87+AD93,0)</f>
        <v>0</v>
      </c>
      <c r="AE104" s="418">
        <f>IF('Datu ievade'!$B$35=Aprekini!AE75,AE81+AE87+AE93,0)</f>
        <v>0</v>
      </c>
      <c r="AF104" s="418">
        <f>IF('Datu ievade'!$B$35=Aprekini!AF75,AF81+AF87+AF93,0)</f>
        <v>0</v>
      </c>
      <c r="AG104" s="418">
        <f>IF('Datu ievade'!$B$35=Aprekini!AG75,AG81+AG87+AG93,0)</f>
        <v>417846</v>
      </c>
      <c r="AH104" s="418">
        <f>IF('Datu ievade'!$B$35=Aprekini!AH75,AH81+AH87+AH93,0)</f>
        <v>0</v>
      </c>
      <c r="AI104" s="418"/>
      <c r="AM104" s="535"/>
      <c r="AO104" s="283"/>
      <c r="AP104" s="71"/>
      <c r="AQ104" s="283"/>
      <c r="AR104" s="71"/>
      <c r="AS104" s="283"/>
    </row>
    <row r="105" spans="1:45" s="419" customFormat="1" x14ac:dyDescent="0.2">
      <c r="A105" s="433" t="s">
        <v>158</v>
      </c>
      <c r="B105" s="449">
        <f>SUM(B104:AI104)</f>
        <v>417846</v>
      </c>
      <c r="C105" s="791" t="s">
        <v>567</v>
      </c>
      <c r="D105" s="789"/>
      <c r="E105" s="448"/>
      <c r="F105" s="448"/>
      <c r="G105" s="448"/>
      <c r="H105" s="448"/>
      <c r="I105" s="448"/>
      <c r="J105" s="448"/>
      <c r="K105" s="448"/>
      <c r="L105" s="448"/>
      <c r="M105" s="448"/>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M105" s="535"/>
      <c r="AO105" s="283"/>
      <c r="AP105" s="71"/>
      <c r="AQ105" s="283"/>
      <c r="AR105" s="71"/>
      <c r="AS105" s="283"/>
    </row>
    <row r="106" spans="1:45" s="419" customFormat="1" x14ac:dyDescent="0.2">
      <c r="A106" s="433" t="s">
        <v>159</v>
      </c>
      <c r="B106" s="449">
        <f>NPV('Datu ievade'!B447,Aprekini!D104:AG104)</f>
        <v>42694.596019640318</v>
      </c>
      <c r="C106" s="791" t="s">
        <v>567</v>
      </c>
      <c r="D106" s="789"/>
      <c r="E106" s="448"/>
      <c r="F106" s="448"/>
      <c r="G106" s="448"/>
      <c r="H106" s="448"/>
      <c r="I106" s="448"/>
      <c r="J106" s="448"/>
      <c r="K106" s="448"/>
      <c r="L106" s="448"/>
      <c r="M106" s="448"/>
      <c r="N106" s="448"/>
      <c r="O106" s="448"/>
      <c r="P106" s="448"/>
      <c r="Q106" s="448"/>
      <c r="R106" s="448"/>
      <c r="S106" s="448"/>
      <c r="T106" s="448"/>
      <c r="U106" s="448"/>
      <c r="V106" s="448"/>
      <c r="W106" s="448"/>
      <c r="X106" s="448"/>
      <c r="Y106" s="448"/>
      <c r="Z106" s="448"/>
      <c r="AA106" s="448"/>
      <c r="AB106" s="448"/>
      <c r="AC106" s="448"/>
      <c r="AD106" s="448"/>
      <c r="AE106" s="448"/>
      <c r="AF106" s="448"/>
      <c r="AG106" s="448"/>
      <c r="AH106" s="448"/>
      <c r="AI106" s="448"/>
      <c r="AM106" s="535"/>
      <c r="AO106" s="283"/>
      <c r="AP106" s="71"/>
      <c r="AQ106" s="283"/>
      <c r="AR106" s="71"/>
      <c r="AS106" s="283"/>
    </row>
    <row r="107" spans="1:45" s="419" customFormat="1" x14ac:dyDescent="0.2">
      <c r="A107" s="450" t="s">
        <v>160</v>
      </c>
      <c r="B107" s="451"/>
      <c r="C107" s="448"/>
      <c r="D107" s="448"/>
      <c r="E107" s="448"/>
      <c r="F107" s="448"/>
      <c r="G107" s="448"/>
      <c r="H107" s="448"/>
      <c r="I107" s="448"/>
      <c r="J107" s="448"/>
      <c r="K107" s="448"/>
      <c r="L107" s="448"/>
      <c r="M107" s="448"/>
      <c r="N107" s="448"/>
      <c r="O107" s="448"/>
      <c r="P107" s="448"/>
      <c r="Q107" s="448"/>
      <c r="R107" s="448"/>
      <c r="S107" s="448"/>
      <c r="T107" s="448"/>
      <c r="U107" s="448"/>
      <c r="V107" s="448"/>
      <c r="W107" s="448"/>
      <c r="X107" s="448"/>
      <c r="Y107" s="448"/>
      <c r="Z107" s="448"/>
      <c r="AA107" s="448"/>
      <c r="AB107" s="448"/>
      <c r="AC107" s="448"/>
      <c r="AD107" s="448"/>
      <c r="AE107" s="448"/>
      <c r="AF107" s="448"/>
      <c r="AG107" s="448"/>
      <c r="AH107" s="448"/>
      <c r="AI107" s="448"/>
      <c r="AM107" s="535"/>
      <c r="AO107" s="283"/>
      <c r="AP107" s="71"/>
      <c r="AQ107" s="283"/>
      <c r="AR107" s="71"/>
      <c r="AS107" s="283"/>
    </row>
    <row r="108" spans="1:45" s="419" customFormat="1" x14ac:dyDescent="0.2">
      <c r="A108" s="433" t="s">
        <v>161</v>
      </c>
      <c r="B108" s="452">
        <f>IF(SUM('Datu ievade'!B63:G69,'Datu ievade'!B71:G77)=0,0,SUM('Datu ievade'!B63:G69)/SUM('Datu ievade'!B63:G69,'Datu ievade'!B71:G77))</f>
        <v>0.32947535364984326</v>
      </c>
      <c r="AM108" s="535"/>
      <c r="AO108" s="283"/>
      <c r="AP108" s="71"/>
      <c r="AQ108" s="283"/>
      <c r="AR108" s="71"/>
      <c r="AS108" s="283"/>
    </row>
    <row r="109" spans="1:45" s="419" customFormat="1" x14ac:dyDescent="0.2">
      <c r="A109" s="433" t="s">
        <v>162</v>
      </c>
      <c r="B109" s="452">
        <f>IF(SUM('Datu ievade'!B63:G69,'Datu ievade'!B71:G77)=0,0,SUM('Datu ievade'!B71:G77)/SUM('Datu ievade'!B63:G69,'Datu ievade'!B71:G77))</f>
        <v>0.67052464635015685</v>
      </c>
      <c r="AM109" s="535"/>
      <c r="AO109" s="283"/>
      <c r="AP109" s="71"/>
      <c r="AQ109" s="283"/>
      <c r="AR109" s="71"/>
      <c r="AS109" s="283"/>
    </row>
    <row r="110" spans="1:45" s="419" customFormat="1" x14ac:dyDescent="0.2">
      <c r="A110" s="433" t="s">
        <v>149</v>
      </c>
      <c r="B110" s="418">
        <f>'Datu ievade'!B107/1.21</f>
        <v>0</v>
      </c>
      <c r="C110" s="418">
        <f>'Datu ievade'!C107/1.21</f>
        <v>0</v>
      </c>
      <c r="D110" s="418">
        <f>'Datu ievade'!D107/1.21</f>
        <v>546459</v>
      </c>
      <c r="E110" s="418">
        <f>'Datu ievade'!E107/1.21</f>
        <v>1082200</v>
      </c>
      <c r="F110" s="418">
        <f>'Datu ievade'!F107/1.21</f>
        <v>0</v>
      </c>
      <c r="G110" s="418">
        <f>'Datu ievade'!G107/1.21</f>
        <v>0</v>
      </c>
      <c r="H110" s="418">
        <v>0</v>
      </c>
      <c r="I110" s="418">
        <v>0</v>
      </c>
      <c r="J110" s="418">
        <v>0</v>
      </c>
      <c r="K110" s="418">
        <v>0</v>
      </c>
      <c r="L110" s="418">
        <v>0</v>
      </c>
      <c r="M110" s="418">
        <v>0</v>
      </c>
      <c r="N110" s="418">
        <v>0</v>
      </c>
      <c r="O110" s="418">
        <v>0</v>
      </c>
      <c r="P110" s="418">
        <v>0</v>
      </c>
      <c r="Q110" s="418">
        <v>0</v>
      </c>
      <c r="R110" s="418">
        <v>0</v>
      </c>
      <c r="S110" s="418">
        <v>0</v>
      </c>
      <c r="T110" s="418">
        <v>0</v>
      </c>
      <c r="U110" s="418">
        <f>'Datu ievade'!U107/1.21</f>
        <v>0</v>
      </c>
      <c r="V110" s="418">
        <f>'Datu ievade'!V107/1.21</f>
        <v>0</v>
      </c>
      <c r="W110" s="418">
        <f>'Datu ievade'!W107/1.21</f>
        <v>0</v>
      </c>
      <c r="X110" s="418">
        <f>'Datu ievade'!X107/1.21</f>
        <v>0</v>
      </c>
      <c r="Y110" s="418">
        <f>'Datu ievade'!Y107/1.21</f>
        <v>0</v>
      </c>
      <c r="Z110" s="418">
        <f>'Datu ievade'!Z107/1.21</f>
        <v>0</v>
      </c>
      <c r="AA110" s="418">
        <f>'Datu ievade'!AA107/1.21</f>
        <v>0</v>
      </c>
      <c r="AB110" s="418">
        <f>'Datu ievade'!AB107/1.21</f>
        <v>0</v>
      </c>
      <c r="AC110" s="418">
        <f>'Datu ievade'!AC107/1.21</f>
        <v>0</v>
      </c>
      <c r="AD110" s="418">
        <f>'Datu ievade'!AD107/1.21</f>
        <v>0</v>
      </c>
      <c r="AE110" s="418">
        <f>'Datu ievade'!AE107/1.21</f>
        <v>0</v>
      </c>
      <c r="AF110" s="418">
        <f>'Datu ievade'!AF107/1.21</f>
        <v>0</v>
      </c>
      <c r="AG110" s="418">
        <f>'Datu ievade'!AG107/1.21</f>
        <v>0</v>
      </c>
      <c r="AH110" s="418">
        <f>'Datu ievade'!AH107/1.21</f>
        <v>0</v>
      </c>
      <c r="AI110" s="418"/>
      <c r="AM110" s="535"/>
      <c r="AO110" s="283"/>
      <c r="AP110" s="71"/>
      <c r="AQ110" s="283"/>
      <c r="AR110" s="71"/>
      <c r="AS110" s="283"/>
    </row>
    <row r="111" spans="1:45" s="419" customFormat="1" x14ac:dyDescent="0.2">
      <c r="AM111" s="535"/>
      <c r="AO111" s="283"/>
      <c r="AP111" s="71"/>
      <c r="AQ111" s="283"/>
      <c r="AR111" s="71"/>
      <c r="AS111" s="283"/>
    </row>
    <row r="112" spans="1:45" s="419" customFormat="1" x14ac:dyDescent="0.2">
      <c r="AM112" s="535"/>
      <c r="AO112" s="283"/>
      <c r="AP112" s="71"/>
      <c r="AQ112" s="283"/>
      <c r="AR112" s="71"/>
      <c r="AS112" s="283"/>
    </row>
    <row r="113" spans="1:253" s="419" customFormat="1" ht="31.5" x14ac:dyDescent="0.2">
      <c r="A113" s="453" t="s">
        <v>454</v>
      </c>
      <c r="B113" s="454"/>
      <c r="C113" s="454"/>
      <c r="D113" s="454"/>
      <c r="E113" s="455"/>
      <c r="F113" s="455"/>
      <c r="G113" s="455"/>
      <c r="H113" s="455"/>
      <c r="I113" s="455"/>
      <c r="J113" s="455"/>
      <c r="K113" s="455"/>
      <c r="L113" s="455"/>
      <c r="M113" s="455"/>
      <c r="N113" s="455"/>
      <c r="O113" s="455"/>
      <c r="P113" s="455"/>
      <c r="Q113" s="455"/>
      <c r="R113" s="455"/>
      <c r="S113" s="456"/>
      <c r="T113" s="456"/>
      <c r="U113" s="456"/>
      <c r="V113" s="456"/>
      <c r="W113" s="456"/>
      <c r="X113" s="456"/>
      <c r="Y113" s="456"/>
      <c r="Z113" s="456"/>
      <c r="AA113" s="456"/>
      <c r="AB113" s="456"/>
      <c r="AC113" s="456"/>
      <c r="AD113" s="456"/>
      <c r="AE113" s="456"/>
      <c r="AF113" s="456"/>
      <c r="AG113" s="456"/>
      <c r="AH113" s="456"/>
      <c r="AI113" s="456"/>
      <c r="AJ113" s="260"/>
      <c r="AK113" s="260"/>
      <c r="AL113" s="260"/>
      <c r="AM113" s="535"/>
      <c r="AN113" s="260"/>
      <c r="AO113" s="283"/>
      <c r="AP113" s="71"/>
      <c r="AQ113" s="283"/>
      <c r="AR113" s="71"/>
      <c r="AS113" s="283"/>
      <c r="AT113" s="260"/>
      <c r="AU113" s="260"/>
      <c r="AV113" s="260"/>
      <c r="AW113" s="260"/>
      <c r="AX113" s="260"/>
      <c r="AY113" s="260"/>
      <c r="AZ113" s="260"/>
      <c r="BA113" s="260"/>
      <c r="BB113" s="260"/>
      <c r="BC113" s="260"/>
      <c r="BD113" s="260"/>
      <c r="BE113" s="260"/>
      <c r="BF113" s="260"/>
      <c r="BG113" s="260"/>
      <c r="BH113" s="260"/>
      <c r="BI113" s="260"/>
      <c r="BJ113" s="260"/>
      <c r="BK113" s="260"/>
      <c r="BL113" s="260"/>
      <c r="BM113" s="260"/>
      <c r="BN113" s="260"/>
      <c r="BO113" s="260"/>
      <c r="BP113" s="260"/>
      <c r="BQ113" s="260"/>
      <c r="BR113" s="260"/>
      <c r="BS113" s="260"/>
      <c r="BT113" s="260"/>
      <c r="BU113" s="260"/>
      <c r="BV113" s="260"/>
      <c r="BW113" s="260"/>
      <c r="BX113" s="260"/>
      <c r="BY113" s="260"/>
      <c r="BZ113" s="260"/>
      <c r="CA113" s="260"/>
      <c r="CB113" s="260"/>
      <c r="CC113" s="260"/>
      <c r="CD113" s="260"/>
      <c r="CE113" s="260"/>
      <c r="CF113" s="260"/>
      <c r="CG113" s="260"/>
      <c r="CH113" s="260"/>
      <c r="CI113" s="260"/>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0"/>
      <c r="DF113" s="260"/>
      <c r="DG113" s="260"/>
      <c r="DH113" s="260"/>
      <c r="DI113" s="260"/>
      <c r="DJ113" s="260"/>
      <c r="DK113" s="260"/>
      <c r="DL113" s="260"/>
      <c r="DM113" s="260"/>
      <c r="DN113" s="260"/>
      <c r="DO113" s="260"/>
      <c r="DP113" s="260"/>
      <c r="DQ113" s="260"/>
      <c r="DR113" s="260"/>
      <c r="DS113" s="260"/>
      <c r="DT113" s="260"/>
      <c r="DU113" s="260"/>
      <c r="DV113" s="260"/>
      <c r="DW113" s="260"/>
      <c r="DX113" s="260"/>
      <c r="DY113" s="260"/>
      <c r="DZ113" s="260"/>
      <c r="EA113" s="260"/>
      <c r="EB113" s="260"/>
      <c r="EC113" s="260"/>
      <c r="ED113" s="260"/>
      <c r="EE113" s="260"/>
      <c r="EF113" s="260"/>
      <c r="EG113" s="260"/>
      <c r="EH113" s="260"/>
      <c r="EI113" s="260"/>
      <c r="EJ113" s="260"/>
      <c r="EK113" s="260"/>
      <c r="EL113" s="260"/>
      <c r="EM113" s="260"/>
      <c r="EN113" s="260"/>
      <c r="EO113" s="260"/>
      <c r="EP113" s="260"/>
      <c r="EQ113" s="260"/>
      <c r="ER113" s="260"/>
      <c r="ES113" s="260"/>
      <c r="ET113" s="260"/>
      <c r="EU113" s="260"/>
      <c r="EV113" s="260"/>
      <c r="EW113" s="260"/>
      <c r="EX113" s="260"/>
      <c r="EY113" s="260"/>
      <c r="EZ113" s="260"/>
      <c r="FA113" s="260"/>
      <c r="FB113" s="260"/>
      <c r="FC113" s="260"/>
      <c r="FD113" s="260"/>
      <c r="FE113" s="260"/>
      <c r="FF113" s="260"/>
      <c r="FG113" s="260"/>
      <c r="FH113" s="260"/>
      <c r="FI113" s="260"/>
      <c r="FJ113" s="260"/>
      <c r="FK113" s="260"/>
      <c r="FL113" s="260"/>
      <c r="FM113" s="260"/>
      <c r="FN113" s="260"/>
      <c r="FO113" s="260"/>
      <c r="FP113" s="260"/>
      <c r="FQ113" s="260"/>
      <c r="FR113" s="260"/>
      <c r="FS113" s="260"/>
      <c r="FT113" s="260"/>
      <c r="FU113" s="260"/>
      <c r="FV113" s="260"/>
      <c r="FW113" s="260"/>
      <c r="FX113" s="260"/>
      <c r="FY113" s="260"/>
      <c r="FZ113" s="260"/>
      <c r="GA113" s="260"/>
      <c r="GB113" s="260"/>
      <c r="GC113" s="260"/>
      <c r="GD113" s="260"/>
      <c r="GE113" s="260"/>
      <c r="GF113" s="260"/>
      <c r="GG113" s="260"/>
      <c r="GH113" s="260"/>
      <c r="GI113" s="260"/>
      <c r="GJ113" s="260"/>
      <c r="GK113" s="260"/>
      <c r="GL113" s="260"/>
      <c r="GM113" s="260"/>
      <c r="GN113" s="260"/>
      <c r="GO113" s="260"/>
      <c r="GP113" s="260"/>
      <c r="GQ113" s="260"/>
      <c r="GR113" s="260"/>
      <c r="GS113" s="260"/>
      <c r="GT113" s="260"/>
      <c r="GU113" s="260"/>
      <c r="GV113" s="260"/>
      <c r="GW113" s="260"/>
      <c r="GX113" s="260"/>
      <c r="GY113" s="260"/>
      <c r="GZ113" s="260"/>
      <c r="HA113" s="260"/>
      <c r="HB113" s="260"/>
      <c r="HC113" s="260"/>
      <c r="HD113" s="260"/>
      <c r="HE113" s="260"/>
      <c r="HF113" s="260"/>
      <c r="HG113" s="260"/>
      <c r="HH113" s="260"/>
      <c r="HI113" s="260"/>
      <c r="HJ113" s="260"/>
      <c r="HK113" s="260"/>
      <c r="HL113" s="260"/>
      <c r="HM113" s="260"/>
      <c r="HN113" s="260"/>
      <c r="HO113" s="260"/>
      <c r="HP113" s="260"/>
      <c r="HQ113" s="260"/>
      <c r="HR113" s="260"/>
      <c r="HS113" s="260"/>
      <c r="HT113" s="260"/>
      <c r="HU113" s="260"/>
      <c r="HV113" s="260"/>
      <c r="HW113" s="260"/>
      <c r="HX113" s="260"/>
      <c r="HY113" s="260"/>
      <c r="HZ113" s="260"/>
      <c r="IA113" s="260"/>
      <c r="IB113" s="260"/>
      <c r="IC113" s="260"/>
      <c r="ID113" s="260"/>
      <c r="IE113" s="260"/>
      <c r="IF113" s="260"/>
      <c r="IG113" s="260"/>
      <c r="IH113" s="260"/>
      <c r="II113" s="260"/>
      <c r="IJ113" s="260"/>
      <c r="IK113" s="260"/>
      <c r="IL113" s="260"/>
      <c r="IM113" s="260"/>
      <c r="IN113" s="260"/>
      <c r="IO113" s="260"/>
      <c r="IP113" s="260"/>
      <c r="IQ113" s="260"/>
      <c r="IR113" s="260"/>
      <c r="IS113" s="260"/>
    </row>
    <row r="114" spans="1:253" s="419" customFormat="1" x14ac:dyDescent="0.2">
      <c r="A114" s="457"/>
      <c r="B114" s="423"/>
      <c r="C114" s="423"/>
      <c r="D114" s="423"/>
      <c r="E114" s="423"/>
      <c r="F114" s="423"/>
      <c r="G114" s="423"/>
      <c r="H114" s="423"/>
      <c r="I114" s="423"/>
      <c r="J114" s="423"/>
      <c r="K114" s="458" t="s">
        <v>21</v>
      </c>
      <c r="L114" s="423"/>
      <c r="M114" s="423"/>
      <c r="O114" s="423"/>
      <c r="P114" s="423"/>
      <c r="Q114" s="423"/>
      <c r="R114" s="423"/>
      <c r="S114" s="423"/>
      <c r="T114" s="423"/>
      <c r="U114" s="423"/>
      <c r="V114" s="423"/>
      <c r="W114" s="423"/>
      <c r="X114" s="423"/>
      <c r="Y114" s="423"/>
      <c r="Z114" s="423"/>
      <c r="AA114" s="423"/>
      <c r="AB114" s="423"/>
      <c r="AC114" s="423"/>
      <c r="AD114" s="423"/>
      <c r="AE114" s="423"/>
      <c r="AF114" s="423"/>
      <c r="AG114" s="423"/>
      <c r="AH114" s="423"/>
      <c r="AI114" s="423"/>
      <c r="AM114" s="535"/>
      <c r="AO114" s="283"/>
      <c r="AP114" s="71"/>
      <c r="AQ114" s="283"/>
      <c r="AR114" s="71"/>
      <c r="AS114" s="283"/>
    </row>
    <row r="115" spans="1:253" s="462" customFormat="1" x14ac:dyDescent="0.2">
      <c r="A115" s="459" t="s">
        <v>163</v>
      </c>
      <c r="B115" s="460">
        <f>Aprekini!B5</f>
        <v>2014</v>
      </c>
      <c r="C115" s="460">
        <f t="shared" ref="C115:AG115" si="50">B115+1</f>
        <v>2015</v>
      </c>
      <c r="D115" s="460">
        <f t="shared" si="50"/>
        <v>2016</v>
      </c>
      <c r="E115" s="460">
        <f t="shared" si="50"/>
        <v>2017</v>
      </c>
      <c r="F115" s="460">
        <f t="shared" si="50"/>
        <v>2018</v>
      </c>
      <c r="G115" s="460">
        <f t="shared" si="50"/>
        <v>2019</v>
      </c>
      <c r="H115" s="460">
        <f t="shared" si="50"/>
        <v>2020</v>
      </c>
      <c r="I115" s="460">
        <f t="shared" si="50"/>
        <v>2021</v>
      </c>
      <c r="J115" s="460">
        <f t="shared" si="50"/>
        <v>2022</v>
      </c>
      <c r="K115" s="460">
        <f t="shared" si="50"/>
        <v>2023</v>
      </c>
      <c r="L115" s="460">
        <f t="shared" si="50"/>
        <v>2024</v>
      </c>
      <c r="M115" s="460">
        <f t="shared" si="50"/>
        <v>2025</v>
      </c>
      <c r="N115" s="460">
        <f t="shared" si="50"/>
        <v>2026</v>
      </c>
      <c r="O115" s="460">
        <f t="shared" si="50"/>
        <v>2027</v>
      </c>
      <c r="P115" s="460">
        <f t="shared" si="50"/>
        <v>2028</v>
      </c>
      <c r="Q115" s="460">
        <f t="shared" si="50"/>
        <v>2029</v>
      </c>
      <c r="R115" s="460">
        <f t="shared" si="50"/>
        <v>2030</v>
      </c>
      <c r="S115" s="460">
        <f t="shared" si="50"/>
        <v>2031</v>
      </c>
      <c r="T115" s="460">
        <f t="shared" si="50"/>
        <v>2032</v>
      </c>
      <c r="U115" s="460">
        <f t="shared" si="50"/>
        <v>2033</v>
      </c>
      <c r="V115" s="461">
        <f t="shared" si="50"/>
        <v>2034</v>
      </c>
      <c r="W115" s="461">
        <f t="shared" si="50"/>
        <v>2035</v>
      </c>
      <c r="X115" s="461">
        <f t="shared" si="50"/>
        <v>2036</v>
      </c>
      <c r="Y115" s="461">
        <f t="shared" si="50"/>
        <v>2037</v>
      </c>
      <c r="Z115" s="461">
        <f t="shared" si="50"/>
        <v>2038</v>
      </c>
      <c r="AA115" s="461">
        <f t="shared" si="50"/>
        <v>2039</v>
      </c>
      <c r="AB115" s="461">
        <f t="shared" si="50"/>
        <v>2040</v>
      </c>
      <c r="AC115" s="461">
        <f t="shared" si="50"/>
        <v>2041</v>
      </c>
      <c r="AD115" s="461">
        <f t="shared" si="50"/>
        <v>2042</v>
      </c>
      <c r="AE115" s="461">
        <f t="shared" si="50"/>
        <v>2043</v>
      </c>
      <c r="AF115" s="461">
        <f t="shared" si="50"/>
        <v>2044</v>
      </c>
      <c r="AG115" s="461">
        <f t="shared" si="50"/>
        <v>2045</v>
      </c>
      <c r="AH115" s="461">
        <f>AG115+1</f>
        <v>2046</v>
      </c>
      <c r="AI115" s="461"/>
      <c r="AM115" s="535"/>
      <c r="AO115" s="283"/>
      <c r="AP115" s="71"/>
      <c r="AQ115" s="283"/>
      <c r="AR115" s="71"/>
      <c r="AS115" s="283"/>
    </row>
    <row r="116" spans="1:253" s="462" customFormat="1" x14ac:dyDescent="0.2">
      <c r="A116" s="433" t="s">
        <v>164</v>
      </c>
      <c r="B116" s="463">
        <f>'Datu ievade'!B63</f>
        <v>0</v>
      </c>
      <c r="C116" s="463">
        <f>'Datu ievade'!C63</f>
        <v>0</v>
      </c>
      <c r="D116" s="463">
        <f>'Datu ievade'!D63</f>
        <v>109000</v>
      </c>
      <c r="E116" s="463">
        <f>'Datu ievade'!E63</f>
        <v>224000</v>
      </c>
      <c r="F116" s="463">
        <f>'Datu ievade'!F63</f>
        <v>0</v>
      </c>
      <c r="G116" s="463">
        <f>'Datu ievade'!G63</f>
        <v>0</v>
      </c>
      <c r="H116" s="463">
        <f>'Datu ievade'!H63</f>
        <v>0</v>
      </c>
      <c r="I116" s="463">
        <f>'Datu ievade'!I63</f>
        <v>0</v>
      </c>
      <c r="J116" s="463">
        <f>'Datu ievade'!J63</f>
        <v>0</v>
      </c>
      <c r="K116" s="463">
        <f>'Datu ievade'!K63</f>
        <v>0</v>
      </c>
      <c r="L116" s="463">
        <f>'Datu ievade'!L63</f>
        <v>0</v>
      </c>
      <c r="M116" s="463">
        <f>'Datu ievade'!M63</f>
        <v>0</v>
      </c>
      <c r="N116" s="463">
        <f>'Datu ievade'!N63</f>
        <v>0</v>
      </c>
      <c r="O116" s="463">
        <f>'Datu ievade'!O63</f>
        <v>0</v>
      </c>
      <c r="P116" s="463">
        <f>'Datu ievade'!P63</f>
        <v>0</v>
      </c>
      <c r="Q116" s="463">
        <f>'Datu ievade'!Q63</f>
        <v>0</v>
      </c>
      <c r="R116" s="463">
        <f>'Datu ievade'!R63</f>
        <v>0</v>
      </c>
      <c r="S116" s="463">
        <f>'Datu ievade'!S63</f>
        <v>0</v>
      </c>
      <c r="T116" s="463">
        <f>'Datu ievade'!T63</f>
        <v>0</v>
      </c>
      <c r="U116" s="463">
        <f>'Datu ievade'!U63</f>
        <v>0</v>
      </c>
      <c r="V116" s="463">
        <f>'Datu ievade'!V63</f>
        <v>0</v>
      </c>
      <c r="W116" s="463">
        <f>'Datu ievade'!W63</f>
        <v>0</v>
      </c>
      <c r="X116" s="463">
        <f>'Datu ievade'!X63</f>
        <v>0</v>
      </c>
      <c r="Y116" s="463">
        <f>'Datu ievade'!Y63</f>
        <v>0</v>
      </c>
      <c r="Z116" s="463">
        <f>'Datu ievade'!Z63</f>
        <v>0</v>
      </c>
      <c r="AA116" s="463">
        <f>'Datu ievade'!AA63</f>
        <v>0</v>
      </c>
      <c r="AB116" s="463">
        <f>'Datu ievade'!AB63</f>
        <v>0</v>
      </c>
      <c r="AC116" s="463">
        <f>'Datu ievade'!AC63</f>
        <v>0</v>
      </c>
      <c r="AD116" s="463">
        <f>'Datu ievade'!AD63</f>
        <v>0</v>
      </c>
      <c r="AE116" s="463">
        <f>'Datu ievade'!AE63</f>
        <v>0</v>
      </c>
      <c r="AF116" s="463">
        <f>'Datu ievade'!AF63</f>
        <v>0</v>
      </c>
      <c r="AG116" s="463">
        <f>'Datu ievade'!AG63</f>
        <v>0</v>
      </c>
      <c r="AH116" s="463">
        <f>'Datu ievade'!AH63</f>
        <v>0</v>
      </c>
      <c r="AI116" s="463"/>
      <c r="AM116" s="535"/>
      <c r="AO116" s="283"/>
      <c r="AP116" s="71"/>
      <c r="AQ116" s="283"/>
      <c r="AR116" s="71"/>
      <c r="AS116" s="283"/>
    </row>
    <row r="117" spans="1:253" s="462" customFormat="1" x14ac:dyDescent="0.2">
      <c r="A117" s="433" t="s">
        <v>165</v>
      </c>
      <c r="B117" s="463">
        <f>'Datu ievade'!B64</f>
        <v>0</v>
      </c>
      <c r="C117" s="463">
        <f>'Datu ievade'!C64</f>
        <v>0</v>
      </c>
      <c r="D117" s="463">
        <f>'Datu ievade'!D64</f>
        <v>54500</v>
      </c>
      <c r="E117" s="463">
        <f>'Datu ievade'!E64</f>
        <v>112000</v>
      </c>
      <c r="F117" s="463">
        <f>'Datu ievade'!F64</f>
        <v>0</v>
      </c>
      <c r="G117" s="463">
        <f>'Datu ievade'!G64</f>
        <v>0</v>
      </c>
      <c r="H117" s="463">
        <f>'Datu ievade'!H64</f>
        <v>0</v>
      </c>
      <c r="I117" s="463">
        <f>'Datu ievade'!I64</f>
        <v>0</v>
      </c>
      <c r="J117" s="463">
        <f>'Datu ievade'!J64</f>
        <v>0</v>
      </c>
      <c r="K117" s="463">
        <f>'Datu ievade'!K64</f>
        <v>0</v>
      </c>
      <c r="L117" s="463">
        <f>'Datu ievade'!L64</f>
        <v>0</v>
      </c>
      <c r="M117" s="463">
        <f>'Datu ievade'!M64</f>
        <v>0</v>
      </c>
      <c r="N117" s="463">
        <f>'Datu ievade'!N64</f>
        <v>0</v>
      </c>
      <c r="O117" s="463">
        <f>'Datu ievade'!O64</f>
        <v>0</v>
      </c>
      <c r="P117" s="463">
        <f>'Datu ievade'!P64</f>
        <v>0</v>
      </c>
      <c r="Q117" s="463">
        <f>'Datu ievade'!Q64</f>
        <v>0</v>
      </c>
      <c r="R117" s="463">
        <f>'Datu ievade'!R64</f>
        <v>0</v>
      </c>
      <c r="S117" s="463">
        <f>'Datu ievade'!S64</f>
        <v>0</v>
      </c>
      <c r="T117" s="463">
        <f>'Datu ievade'!T64</f>
        <v>0</v>
      </c>
      <c r="U117" s="463">
        <f>'Datu ievade'!U64</f>
        <v>0</v>
      </c>
      <c r="V117" s="463">
        <f>'Datu ievade'!V64</f>
        <v>0</v>
      </c>
      <c r="W117" s="463">
        <f>'Datu ievade'!W64</f>
        <v>0</v>
      </c>
      <c r="X117" s="463">
        <f>'Datu ievade'!X64</f>
        <v>0</v>
      </c>
      <c r="Y117" s="463">
        <f>'Datu ievade'!Y64</f>
        <v>0</v>
      </c>
      <c r="Z117" s="463">
        <f>'Datu ievade'!Z64</f>
        <v>0</v>
      </c>
      <c r="AA117" s="463">
        <f>'Datu ievade'!AA64</f>
        <v>0</v>
      </c>
      <c r="AB117" s="463">
        <f>'Datu ievade'!AB64</f>
        <v>0</v>
      </c>
      <c r="AC117" s="463">
        <f>'Datu ievade'!AC64</f>
        <v>0</v>
      </c>
      <c r="AD117" s="463">
        <f>'Datu ievade'!AD64</f>
        <v>0</v>
      </c>
      <c r="AE117" s="463">
        <f>'Datu ievade'!AE64</f>
        <v>0</v>
      </c>
      <c r="AF117" s="463">
        <f>'Datu ievade'!AF64</f>
        <v>0</v>
      </c>
      <c r="AG117" s="463">
        <f>'Datu ievade'!AG64</f>
        <v>0</v>
      </c>
      <c r="AH117" s="463">
        <f>'Datu ievade'!AH64</f>
        <v>0</v>
      </c>
      <c r="AI117" s="463"/>
      <c r="AM117" s="535"/>
      <c r="AO117" s="283"/>
      <c r="AP117" s="71"/>
      <c r="AQ117" s="283"/>
      <c r="AR117" s="71"/>
      <c r="AS117" s="283"/>
    </row>
    <row r="118" spans="1:253" s="462" customFormat="1" x14ac:dyDescent="0.2">
      <c r="A118" s="464" t="s">
        <v>166</v>
      </c>
      <c r="B118" s="465">
        <f t="shared" ref="B118:AG118" si="51">B116+B117</f>
        <v>0</v>
      </c>
      <c r="C118" s="465">
        <f t="shared" si="51"/>
        <v>0</v>
      </c>
      <c r="D118" s="465">
        <f t="shared" si="51"/>
        <v>163500</v>
      </c>
      <c r="E118" s="465">
        <f t="shared" si="51"/>
        <v>336000</v>
      </c>
      <c r="F118" s="465">
        <f t="shared" si="51"/>
        <v>0</v>
      </c>
      <c r="G118" s="465">
        <f t="shared" si="51"/>
        <v>0</v>
      </c>
      <c r="H118" s="465">
        <f t="shared" si="51"/>
        <v>0</v>
      </c>
      <c r="I118" s="465">
        <f t="shared" si="51"/>
        <v>0</v>
      </c>
      <c r="J118" s="465">
        <f t="shared" si="51"/>
        <v>0</v>
      </c>
      <c r="K118" s="465">
        <f t="shared" si="51"/>
        <v>0</v>
      </c>
      <c r="L118" s="465">
        <f t="shared" si="51"/>
        <v>0</v>
      </c>
      <c r="M118" s="465">
        <f t="shared" si="51"/>
        <v>0</v>
      </c>
      <c r="N118" s="465">
        <f t="shared" si="51"/>
        <v>0</v>
      </c>
      <c r="O118" s="465">
        <f t="shared" si="51"/>
        <v>0</v>
      </c>
      <c r="P118" s="465">
        <f t="shared" si="51"/>
        <v>0</v>
      </c>
      <c r="Q118" s="465">
        <f t="shared" si="51"/>
        <v>0</v>
      </c>
      <c r="R118" s="465">
        <f t="shared" si="51"/>
        <v>0</v>
      </c>
      <c r="S118" s="465">
        <f t="shared" si="51"/>
        <v>0</v>
      </c>
      <c r="T118" s="465">
        <f t="shared" si="51"/>
        <v>0</v>
      </c>
      <c r="U118" s="465">
        <f t="shared" si="51"/>
        <v>0</v>
      </c>
      <c r="V118" s="465">
        <f t="shared" si="51"/>
        <v>0</v>
      </c>
      <c r="W118" s="465">
        <f t="shared" si="51"/>
        <v>0</v>
      </c>
      <c r="X118" s="465">
        <f t="shared" si="51"/>
        <v>0</v>
      </c>
      <c r="Y118" s="465">
        <f t="shared" si="51"/>
        <v>0</v>
      </c>
      <c r="Z118" s="465">
        <f t="shared" si="51"/>
        <v>0</v>
      </c>
      <c r="AA118" s="465">
        <f t="shared" si="51"/>
        <v>0</v>
      </c>
      <c r="AB118" s="465">
        <f t="shared" si="51"/>
        <v>0</v>
      </c>
      <c r="AC118" s="465">
        <f t="shared" si="51"/>
        <v>0</v>
      </c>
      <c r="AD118" s="465">
        <f t="shared" si="51"/>
        <v>0</v>
      </c>
      <c r="AE118" s="465">
        <f t="shared" si="51"/>
        <v>0</v>
      </c>
      <c r="AF118" s="465">
        <f t="shared" si="51"/>
        <v>0</v>
      </c>
      <c r="AG118" s="465">
        <f t="shared" si="51"/>
        <v>0</v>
      </c>
      <c r="AH118" s="465">
        <f>AH116+AH117</f>
        <v>0</v>
      </c>
      <c r="AI118" s="465"/>
      <c r="AM118" s="535"/>
      <c r="AO118" s="283"/>
      <c r="AP118" s="71"/>
      <c r="AQ118" s="283"/>
      <c r="AR118" s="71"/>
      <c r="AS118" s="283"/>
    </row>
    <row r="119" spans="1:253" s="462" customFormat="1" x14ac:dyDescent="0.2">
      <c r="A119" s="433" t="s">
        <v>167</v>
      </c>
      <c r="B119" s="463">
        <f>'Datu ievade'!B65+'Datu ievade'!B66+'Datu ievade'!B67</f>
        <v>0</v>
      </c>
      <c r="C119" s="463">
        <f>'Datu ievade'!C65+'Datu ievade'!C66+'Datu ievade'!C67</f>
        <v>0</v>
      </c>
      <c r="D119" s="463">
        <f>'Datu ievade'!D65+'Datu ievade'!D66+'Datu ievade'!D67</f>
        <v>25343</v>
      </c>
      <c r="E119" s="463">
        <f>'Datu ievade'!E65+'Datu ievade'!E66+'Datu ievade'!E67</f>
        <v>11760</v>
      </c>
      <c r="F119" s="463">
        <f>'Datu ievade'!F65+'Datu ievade'!F66+'Datu ievade'!F67</f>
        <v>0</v>
      </c>
      <c r="G119" s="463">
        <f>'Datu ievade'!G65+'Datu ievade'!G66+'Datu ievade'!G67</f>
        <v>0</v>
      </c>
      <c r="H119" s="463">
        <f>'Datu ievade'!H65+'Datu ievade'!H66+'Datu ievade'!H67</f>
        <v>0</v>
      </c>
      <c r="I119" s="463">
        <f>'Datu ievade'!I65+'Datu ievade'!I66+'Datu ievade'!I67</f>
        <v>0</v>
      </c>
      <c r="J119" s="463">
        <f>'Datu ievade'!J65+'Datu ievade'!J66+'Datu ievade'!J67</f>
        <v>0</v>
      </c>
      <c r="K119" s="463">
        <f>'Datu ievade'!K65+'Datu ievade'!K66+'Datu ievade'!K67</f>
        <v>0</v>
      </c>
      <c r="L119" s="463">
        <f>'Datu ievade'!L65+'Datu ievade'!L66+'Datu ievade'!L67</f>
        <v>0</v>
      </c>
      <c r="M119" s="463">
        <f>'Datu ievade'!M65+'Datu ievade'!M66+'Datu ievade'!M67</f>
        <v>0</v>
      </c>
      <c r="N119" s="463">
        <f>'Datu ievade'!N65+'Datu ievade'!N66+'Datu ievade'!N67</f>
        <v>0</v>
      </c>
      <c r="O119" s="463">
        <f>'Datu ievade'!O65+'Datu ievade'!O66+'Datu ievade'!O67</f>
        <v>0</v>
      </c>
      <c r="P119" s="463">
        <f>'Datu ievade'!P65+'Datu ievade'!P66+'Datu ievade'!P67</f>
        <v>0</v>
      </c>
      <c r="Q119" s="463">
        <f>'Datu ievade'!Q65+'Datu ievade'!Q66+'Datu ievade'!Q67</f>
        <v>0</v>
      </c>
      <c r="R119" s="463">
        <f>'Datu ievade'!R65+'Datu ievade'!R66+'Datu ievade'!R67</f>
        <v>0</v>
      </c>
      <c r="S119" s="463">
        <f>'Datu ievade'!S65+'Datu ievade'!S66+'Datu ievade'!S67</f>
        <v>0</v>
      </c>
      <c r="T119" s="463">
        <f>'Datu ievade'!T65+'Datu ievade'!T66+'Datu ievade'!T67</f>
        <v>0</v>
      </c>
      <c r="U119" s="463">
        <f>'Datu ievade'!U65+'Datu ievade'!U66+'Datu ievade'!U67</f>
        <v>0</v>
      </c>
      <c r="V119" s="463">
        <f>'Datu ievade'!V65+'Datu ievade'!V66+'Datu ievade'!V67</f>
        <v>0</v>
      </c>
      <c r="W119" s="463">
        <f>'Datu ievade'!W65+'Datu ievade'!W66+'Datu ievade'!W67</f>
        <v>0</v>
      </c>
      <c r="X119" s="463">
        <f>'Datu ievade'!X65+'Datu ievade'!X66+'Datu ievade'!X67</f>
        <v>0</v>
      </c>
      <c r="Y119" s="463">
        <f>'Datu ievade'!Y65+'Datu ievade'!Y66+'Datu ievade'!Y67</f>
        <v>0</v>
      </c>
      <c r="Z119" s="463">
        <f>'Datu ievade'!Z65+'Datu ievade'!Z66+'Datu ievade'!Z67</f>
        <v>0</v>
      </c>
      <c r="AA119" s="463">
        <f>'Datu ievade'!AA65+'Datu ievade'!AA66+'Datu ievade'!AA67</f>
        <v>0</v>
      </c>
      <c r="AB119" s="463">
        <f>'Datu ievade'!AB65+'Datu ievade'!AB66+'Datu ievade'!AB67</f>
        <v>0</v>
      </c>
      <c r="AC119" s="463">
        <f>'Datu ievade'!AC65+'Datu ievade'!AC66+'Datu ievade'!AC67</f>
        <v>0</v>
      </c>
      <c r="AD119" s="463">
        <f>'Datu ievade'!AD65+'Datu ievade'!AD66+'Datu ievade'!AD67</f>
        <v>0</v>
      </c>
      <c r="AE119" s="463">
        <f>'Datu ievade'!AE65+'Datu ievade'!AE66+'Datu ievade'!AE67</f>
        <v>0</v>
      </c>
      <c r="AF119" s="463">
        <f>'Datu ievade'!AF65+'Datu ievade'!AF66+'Datu ievade'!AF67</f>
        <v>0</v>
      </c>
      <c r="AG119" s="463">
        <f>'Datu ievade'!AG65+'Datu ievade'!AG66+'Datu ievade'!AG67</f>
        <v>0</v>
      </c>
      <c r="AH119" s="463">
        <f>'Datu ievade'!AH65+'Datu ievade'!AH66+'Datu ievade'!AH67</f>
        <v>0</v>
      </c>
      <c r="AI119" s="463"/>
      <c r="AM119" s="535"/>
      <c r="AO119" s="283"/>
      <c r="AP119" s="71"/>
      <c r="AQ119" s="283"/>
      <c r="AR119" s="71"/>
      <c r="AS119" s="283"/>
    </row>
    <row r="120" spans="1:253" s="462" customFormat="1" x14ac:dyDescent="0.2">
      <c r="A120" s="433" t="s">
        <v>168</v>
      </c>
      <c r="B120" s="463">
        <f>'Datu ievade'!B68</f>
        <v>0</v>
      </c>
      <c r="C120" s="463">
        <f>'Datu ievade'!C68</f>
        <v>0</v>
      </c>
      <c r="D120" s="463">
        <f>'Datu ievade'!D68</f>
        <v>0</v>
      </c>
      <c r="E120" s="463">
        <f>'Datu ievade'!E68</f>
        <v>0</v>
      </c>
      <c r="F120" s="463">
        <f>'Datu ievade'!F68</f>
        <v>0</v>
      </c>
      <c r="G120" s="463">
        <f>'Datu ievade'!G68</f>
        <v>0</v>
      </c>
      <c r="H120" s="463">
        <f>'Datu ievade'!H68</f>
        <v>0</v>
      </c>
      <c r="I120" s="463">
        <f>'Datu ievade'!I68</f>
        <v>0</v>
      </c>
      <c r="J120" s="463">
        <f>'Datu ievade'!J68</f>
        <v>0</v>
      </c>
      <c r="K120" s="463">
        <f>'Datu ievade'!K68</f>
        <v>0</v>
      </c>
      <c r="L120" s="463">
        <f>'Datu ievade'!L68</f>
        <v>0</v>
      </c>
      <c r="M120" s="463">
        <f>'Datu ievade'!M68</f>
        <v>0</v>
      </c>
      <c r="N120" s="463">
        <f>'Datu ievade'!N68</f>
        <v>0</v>
      </c>
      <c r="O120" s="463">
        <f>'Datu ievade'!O68</f>
        <v>0</v>
      </c>
      <c r="P120" s="463">
        <f>'Datu ievade'!P68</f>
        <v>0</v>
      </c>
      <c r="Q120" s="463">
        <f>'Datu ievade'!Q68</f>
        <v>0</v>
      </c>
      <c r="R120" s="463">
        <f>'Datu ievade'!R68</f>
        <v>0</v>
      </c>
      <c r="S120" s="463">
        <f>'Datu ievade'!S68</f>
        <v>0</v>
      </c>
      <c r="T120" s="463">
        <f>'Datu ievade'!T68</f>
        <v>0</v>
      </c>
      <c r="U120" s="463">
        <f>'Datu ievade'!U68</f>
        <v>0</v>
      </c>
      <c r="V120" s="463">
        <f>'Datu ievade'!V68</f>
        <v>0</v>
      </c>
      <c r="W120" s="463">
        <f>'Datu ievade'!W68</f>
        <v>0</v>
      </c>
      <c r="X120" s="463">
        <f>'Datu ievade'!X68</f>
        <v>0</v>
      </c>
      <c r="Y120" s="463">
        <f>'Datu ievade'!Y68</f>
        <v>0</v>
      </c>
      <c r="Z120" s="463">
        <f>'Datu ievade'!Z68</f>
        <v>0</v>
      </c>
      <c r="AA120" s="463">
        <f>'Datu ievade'!AA68</f>
        <v>0</v>
      </c>
      <c r="AB120" s="463">
        <f>'Datu ievade'!AB68</f>
        <v>0</v>
      </c>
      <c r="AC120" s="463">
        <f>'Datu ievade'!AC68</f>
        <v>0</v>
      </c>
      <c r="AD120" s="463">
        <f>'Datu ievade'!AD68</f>
        <v>0</v>
      </c>
      <c r="AE120" s="463">
        <f>'Datu ievade'!AE68</f>
        <v>0</v>
      </c>
      <c r="AF120" s="463">
        <f>'Datu ievade'!AF68</f>
        <v>0</v>
      </c>
      <c r="AG120" s="463">
        <f>'Datu ievade'!AG68</f>
        <v>0</v>
      </c>
      <c r="AH120" s="463">
        <f>'Datu ievade'!AH68</f>
        <v>0</v>
      </c>
      <c r="AI120" s="463"/>
      <c r="AM120" s="535"/>
      <c r="AO120" s="283"/>
      <c r="AP120" s="71"/>
      <c r="AQ120" s="283"/>
      <c r="AR120" s="71"/>
      <c r="AS120" s="283"/>
    </row>
    <row r="121" spans="1:253" s="462" customFormat="1" x14ac:dyDescent="0.2">
      <c r="A121" s="464" t="s">
        <v>169</v>
      </c>
      <c r="B121" s="465">
        <f t="shared" ref="B121:AG121" si="52">B120+B119</f>
        <v>0</v>
      </c>
      <c r="C121" s="465">
        <f t="shared" si="52"/>
        <v>0</v>
      </c>
      <c r="D121" s="465">
        <f t="shared" si="52"/>
        <v>25343</v>
      </c>
      <c r="E121" s="465">
        <f t="shared" si="52"/>
        <v>11760</v>
      </c>
      <c r="F121" s="465">
        <f t="shared" si="52"/>
        <v>0</v>
      </c>
      <c r="G121" s="465">
        <f t="shared" si="52"/>
        <v>0</v>
      </c>
      <c r="H121" s="465">
        <f t="shared" si="52"/>
        <v>0</v>
      </c>
      <c r="I121" s="465">
        <f t="shared" si="52"/>
        <v>0</v>
      </c>
      <c r="J121" s="465">
        <f t="shared" si="52"/>
        <v>0</v>
      </c>
      <c r="K121" s="465">
        <f t="shared" si="52"/>
        <v>0</v>
      </c>
      <c r="L121" s="465">
        <f t="shared" si="52"/>
        <v>0</v>
      </c>
      <c r="M121" s="465">
        <f t="shared" si="52"/>
        <v>0</v>
      </c>
      <c r="N121" s="465">
        <f t="shared" si="52"/>
        <v>0</v>
      </c>
      <c r="O121" s="465">
        <f t="shared" si="52"/>
        <v>0</v>
      </c>
      <c r="P121" s="465">
        <f t="shared" si="52"/>
        <v>0</v>
      </c>
      <c r="Q121" s="465">
        <f t="shared" si="52"/>
        <v>0</v>
      </c>
      <c r="R121" s="465">
        <f t="shared" si="52"/>
        <v>0</v>
      </c>
      <c r="S121" s="465">
        <f t="shared" si="52"/>
        <v>0</v>
      </c>
      <c r="T121" s="465">
        <f t="shared" si="52"/>
        <v>0</v>
      </c>
      <c r="U121" s="465">
        <f t="shared" si="52"/>
        <v>0</v>
      </c>
      <c r="V121" s="465">
        <f t="shared" si="52"/>
        <v>0</v>
      </c>
      <c r="W121" s="465">
        <f t="shared" si="52"/>
        <v>0</v>
      </c>
      <c r="X121" s="465">
        <f t="shared" si="52"/>
        <v>0</v>
      </c>
      <c r="Y121" s="465">
        <f t="shared" si="52"/>
        <v>0</v>
      </c>
      <c r="Z121" s="465">
        <f t="shared" si="52"/>
        <v>0</v>
      </c>
      <c r="AA121" s="465">
        <f t="shared" si="52"/>
        <v>0</v>
      </c>
      <c r="AB121" s="465">
        <f t="shared" si="52"/>
        <v>0</v>
      </c>
      <c r="AC121" s="465">
        <f t="shared" si="52"/>
        <v>0</v>
      </c>
      <c r="AD121" s="465">
        <f t="shared" si="52"/>
        <v>0</v>
      </c>
      <c r="AE121" s="465">
        <f t="shared" si="52"/>
        <v>0</v>
      </c>
      <c r="AF121" s="465">
        <f t="shared" si="52"/>
        <v>0</v>
      </c>
      <c r="AG121" s="465">
        <f t="shared" si="52"/>
        <v>0</v>
      </c>
      <c r="AH121" s="465">
        <f>AH120+AH119</f>
        <v>0</v>
      </c>
      <c r="AI121" s="465"/>
      <c r="AM121" s="535"/>
      <c r="AO121" s="283"/>
      <c r="AP121" s="71"/>
      <c r="AQ121" s="283"/>
      <c r="AR121" s="71"/>
      <c r="AS121" s="283"/>
    </row>
    <row r="122" spans="1:253" s="462" customFormat="1" x14ac:dyDescent="0.2">
      <c r="A122" s="464" t="s">
        <v>170</v>
      </c>
      <c r="B122" s="465">
        <f t="shared" ref="B122:AG122" si="53">B121+B118</f>
        <v>0</v>
      </c>
      <c r="C122" s="465">
        <f t="shared" si="53"/>
        <v>0</v>
      </c>
      <c r="D122" s="465">
        <f t="shared" si="53"/>
        <v>188843</v>
      </c>
      <c r="E122" s="465">
        <f t="shared" si="53"/>
        <v>347760</v>
      </c>
      <c r="F122" s="465">
        <f t="shared" si="53"/>
        <v>0</v>
      </c>
      <c r="G122" s="465">
        <f t="shared" si="53"/>
        <v>0</v>
      </c>
      <c r="H122" s="465">
        <f t="shared" si="53"/>
        <v>0</v>
      </c>
      <c r="I122" s="465">
        <f t="shared" si="53"/>
        <v>0</v>
      </c>
      <c r="J122" s="465">
        <f t="shared" si="53"/>
        <v>0</v>
      </c>
      <c r="K122" s="465">
        <f t="shared" si="53"/>
        <v>0</v>
      </c>
      <c r="L122" s="465">
        <f t="shared" si="53"/>
        <v>0</v>
      </c>
      <c r="M122" s="465">
        <f t="shared" si="53"/>
        <v>0</v>
      </c>
      <c r="N122" s="465">
        <f t="shared" si="53"/>
        <v>0</v>
      </c>
      <c r="O122" s="465">
        <f t="shared" si="53"/>
        <v>0</v>
      </c>
      <c r="P122" s="465">
        <f t="shared" si="53"/>
        <v>0</v>
      </c>
      <c r="Q122" s="465">
        <f t="shared" si="53"/>
        <v>0</v>
      </c>
      <c r="R122" s="465">
        <f t="shared" si="53"/>
        <v>0</v>
      </c>
      <c r="S122" s="465">
        <f t="shared" si="53"/>
        <v>0</v>
      </c>
      <c r="T122" s="465">
        <f t="shared" si="53"/>
        <v>0</v>
      </c>
      <c r="U122" s="465">
        <f t="shared" si="53"/>
        <v>0</v>
      </c>
      <c r="V122" s="465">
        <f t="shared" si="53"/>
        <v>0</v>
      </c>
      <c r="W122" s="465">
        <f t="shared" si="53"/>
        <v>0</v>
      </c>
      <c r="X122" s="465">
        <f t="shared" si="53"/>
        <v>0</v>
      </c>
      <c r="Y122" s="465">
        <f t="shared" si="53"/>
        <v>0</v>
      </c>
      <c r="Z122" s="465">
        <f t="shared" si="53"/>
        <v>0</v>
      </c>
      <c r="AA122" s="465">
        <f t="shared" si="53"/>
        <v>0</v>
      </c>
      <c r="AB122" s="465">
        <f t="shared" si="53"/>
        <v>0</v>
      </c>
      <c r="AC122" s="465">
        <f t="shared" si="53"/>
        <v>0</v>
      </c>
      <c r="AD122" s="465">
        <f t="shared" si="53"/>
        <v>0</v>
      </c>
      <c r="AE122" s="465">
        <f t="shared" si="53"/>
        <v>0</v>
      </c>
      <c r="AF122" s="465">
        <f t="shared" si="53"/>
        <v>0</v>
      </c>
      <c r="AG122" s="465">
        <f t="shared" si="53"/>
        <v>0</v>
      </c>
      <c r="AH122" s="465">
        <f>AH121+AH118</f>
        <v>0</v>
      </c>
      <c r="AI122" s="465"/>
      <c r="AM122" s="535"/>
      <c r="AO122" s="283"/>
      <c r="AP122" s="71"/>
      <c r="AQ122" s="283"/>
      <c r="AR122" s="71"/>
      <c r="AS122" s="283"/>
    </row>
    <row r="123" spans="1:253" s="462" customFormat="1" x14ac:dyDescent="0.2">
      <c r="A123" s="457"/>
      <c r="B123" s="423"/>
      <c r="C123" s="423"/>
      <c r="D123" s="423"/>
      <c r="E123" s="423"/>
      <c r="F123" s="423"/>
      <c r="G123" s="423"/>
      <c r="H123" s="423"/>
      <c r="I123" s="423"/>
      <c r="J123" s="423"/>
      <c r="K123" s="458"/>
      <c r="L123" s="423"/>
      <c r="M123" s="423"/>
      <c r="N123" s="419"/>
      <c r="O123" s="423"/>
      <c r="P123" s="423"/>
      <c r="Q123" s="423"/>
      <c r="R123" s="423"/>
      <c r="S123" s="423"/>
      <c r="T123" s="423"/>
      <c r="U123" s="445"/>
      <c r="V123" s="445"/>
      <c r="W123" s="423"/>
      <c r="X123" s="423"/>
      <c r="Y123" s="423"/>
      <c r="Z123" s="466"/>
      <c r="AA123" s="466"/>
      <c r="AB123" s="466"/>
      <c r="AC123" s="466"/>
      <c r="AD123" s="466"/>
      <c r="AE123" s="466"/>
      <c r="AF123" s="466"/>
      <c r="AG123" s="466"/>
      <c r="AH123" s="466"/>
      <c r="AI123" s="466"/>
      <c r="AM123" s="535"/>
      <c r="AO123" s="283"/>
      <c r="AP123" s="71"/>
      <c r="AQ123" s="283"/>
      <c r="AR123" s="71"/>
      <c r="AS123" s="283"/>
    </row>
    <row r="124" spans="1:253" s="462" customFormat="1" x14ac:dyDescent="0.2">
      <c r="A124" s="459" t="s">
        <v>171</v>
      </c>
      <c r="B124" s="467"/>
      <c r="C124" s="467"/>
      <c r="D124" s="467"/>
      <c r="E124" s="467"/>
      <c r="F124" s="467"/>
      <c r="G124" s="467"/>
      <c r="H124" s="467"/>
      <c r="I124" s="467"/>
      <c r="J124" s="467"/>
      <c r="K124" s="467"/>
      <c r="L124" s="467"/>
      <c r="M124" s="467"/>
      <c r="N124" s="467"/>
      <c r="O124" s="467"/>
      <c r="P124" s="467"/>
      <c r="Q124" s="467"/>
      <c r="R124" s="467"/>
      <c r="S124" s="467"/>
      <c r="T124" s="467"/>
      <c r="U124" s="467"/>
      <c r="V124" s="467"/>
      <c r="W124" s="467"/>
      <c r="X124" s="467"/>
      <c r="Y124" s="467"/>
      <c r="Z124" s="461"/>
      <c r="AA124" s="461"/>
      <c r="AB124" s="461"/>
      <c r="AC124" s="461"/>
      <c r="AD124" s="461"/>
      <c r="AE124" s="461"/>
      <c r="AF124" s="461"/>
      <c r="AG124" s="461"/>
      <c r="AH124" s="461"/>
      <c r="AI124" s="461"/>
      <c r="AM124" s="535"/>
      <c r="AO124" s="283"/>
      <c r="AP124" s="71"/>
      <c r="AQ124" s="283"/>
      <c r="AR124" s="71"/>
      <c r="AS124" s="283"/>
    </row>
    <row r="125" spans="1:253" s="462" customFormat="1" x14ac:dyDescent="0.2">
      <c r="A125" s="433" t="s">
        <v>164</v>
      </c>
      <c r="B125" s="463">
        <f>'Datu ievade'!B71</f>
        <v>0</v>
      </c>
      <c r="C125" s="463">
        <f>'Datu ievade'!C71</f>
        <v>0</v>
      </c>
      <c r="D125" s="463">
        <f>'Datu ievade'!D71</f>
        <v>179850</v>
      </c>
      <c r="E125" s="463">
        <f>'Datu ievade'!E71</f>
        <v>436800</v>
      </c>
      <c r="F125" s="463">
        <f>'Datu ievade'!F71</f>
        <v>0</v>
      </c>
      <c r="G125" s="463">
        <f>'Datu ievade'!G71</f>
        <v>0</v>
      </c>
      <c r="H125" s="463">
        <f>'Datu ievade'!H71</f>
        <v>0</v>
      </c>
      <c r="I125" s="463">
        <f>'Datu ievade'!I71</f>
        <v>0</v>
      </c>
      <c r="J125" s="463">
        <f>'Datu ievade'!J71</f>
        <v>0</v>
      </c>
      <c r="K125" s="463">
        <f>'Datu ievade'!K71</f>
        <v>0</v>
      </c>
      <c r="L125" s="463">
        <f>'Datu ievade'!L71</f>
        <v>0</v>
      </c>
      <c r="M125" s="463">
        <f>'Datu ievade'!M71</f>
        <v>0</v>
      </c>
      <c r="N125" s="463">
        <f>'Datu ievade'!N71</f>
        <v>0</v>
      </c>
      <c r="O125" s="463">
        <f>'Datu ievade'!O71</f>
        <v>0</v>
      </c>
      <c r="P125" s="463">
        <f>'Datu ievade'!P71</f>
        <v>0</v>
      </c>
      <c r="Q125" s="463">
        <f>'Datu ievade'!Q71</f>
        <v>0</v>
      </c>
      <c r="R125" s="463">
        <f>'Datu ievade'!R71</f>
        <v>0</v>
      </c>
      <c r="S125" s="463">
        <f>'Datu ievade'!S71</f>
        <v>0</v>
      </c>
      <c r="T125" s="463">
        <f>'Datu ievade'!T71</f>
        <v>0</v>
      </c>
      <c r="U125" s="463">
        <f>'Datu ievade'!U71</f>
        <v>0</v>
      </c>
      <c r="V125" s="463">
        <f>'Datu ievade'!V71</f>
        <v>0</v>
      </c>
      <c r="W125" s="463">
        <f>'Datu ievade'!W71</f>
        <v>0</v>
      </c>
      <c r="X125" s="463">
        <f>'Datu ievade'!X71</f>
        <v>0</v>
      </c>
      <c r="Y125" s="463">
        <f>'Datu ievade'!Y71</f>
        <v>0</v>
      </c>
      <c r="Z125" s="463">
        <f>'Datu ievade'!Z71</f>
        <v>0</v>
      </c>
      <c r="AA125" s="463">
        <f>'Datu ievade'!AA71</f>
        <v>0</v>
      </c>
      <c r="AB125" s="463">
        <f>'Datu ievade'!AB71</f>
        <v>0</v>
      </c>
      <c r="AC125" s="463">
        <f>'Datu ievade'!AC71</f>
        <v>0</v>
      </c>
      <c r="AD125" s="463">
        <f>'Datu ievade'!AD71</f>
        <v>0</v>
      </c>
      <c r="AE125" s="463">
        <f>'Datu ievade'!AE71</f>
        <v>0</v>
      </c>
      <c r="AF125" s="463">
        <f>'Datu ievade'!AF71</f>
        <v>0</v>
      </c>
      <c r="AG125" s="463">
        <f>'Datu ievade'!AG71</f>
        <v>0</v>
      </c>
      <c r="AH125" s="463">
        <f>'Datu ievade'!AH71</f>
        <v>0</v>
      </c>
      <c r="AI125" s="463"/>
      <c r="AM125" s="535"/>
      <c r="AO125" s="283"/>
      <c r="AP125" s="71"/>
      <c r="AQ125" s="283"/>
      <c r="AR125" s="71"/>
      <c r="AS125" s="283"/>
    </row>
    <row r="126" spans="1:253" s="462" customFormat="1" x14ac:dyDescent="0.2">
      <c r="A126" s="433" t="s">
        <v>165</v>
      </c>
      <c r="B126" s="463">
        <f>'Datu ievade'!B72</f>
        <v>0</v>
      </c>
      <c r="C126" s="463">
        <f>'Datu ievade'!C72</f>
        <v>0</v>
      </c>
      <c r="D126" s="463">
        <f>'Datu ievade'!D72</f>
        <v>128075</v>
      </c>
      <c r="E126" s="463">
        <f>'Datu ievade'!E72</f>
        <v>246400</v>
      </c>
      <c r="F126" s="463">
        <f>'Datu ievade'!F72</f>
        <v>0</v>
      </c>
      <c r="G126" s="463">
        <f>'Datu ievade'!G72</f>
        <v>0</v>
      </c>
      <c r="H126" s="463">
        <f>'Datu ievade'!H72</f>
        <v>0</v>
      </c>
      <c r="I126" s="463">
        <f>'Datu ievade'!I72</f>
        <v>0</v>
      </c>
      <c r="J126" s="463">
        <f>'Datu ievade'!J72</f>
        <v>0</v>
      </c>
      <c r="K126" s="463">
        <f>'Datu ievade'!K72</f>
        <v>0</v>
      </c>
      <c r="L126" s="463">
        <f>'Datu ievade'!L72</f>
        <v>0</v>
      </c>
      <c r="M126" s="463">
        <f>'Datu ievade'!M72</f>
        <v>0</v>
      </c>
      <c r="N126" s="463">
        <f>'Datu ievade'!N72</f>
        <v>0</v>
      </c>
      <c r="O126" s="463">
        <f>'Datu ievade'!O72</f>
        <v>0</v>
      </c>
      <c r="P126" s="463">
        <f>'Datu ievade'!P72</f>
        <v>0</v>
      </c>
      <c r="Q126" s="463">
        <f>'Datu ievade'!Q72</f>
        <v>0</v>
      </c>
      <c r="R126" s="463">
        <f>'Datu ievade'!R72</f>
        <v>0</v>
      </c>
      <c r="S126" s="463">
        <f>'Datu ievade'!S72</f>
        <v>0</v>
      </c>
      <c r="T126" s="463">
        <f>'Datu ievade'!T72</f>
        <v>0</v>
      </c>
      <c r="U126" s="463">
        <f>'Datu ievade'!U72</f>
        <v>0</v>
      </c>
      <c r="V126" s="463">
        <f>'Datu ievade'!V72</f>
        <v>0</v>
      </c>
      <c r="W126" s="463">
        <f>'Datu ievade'!W72</f>
        <v>0</v>
      </c>
      <c r="X126" s="463">
        <f>'Datu ievade'!X72</f>
        <v>0</v>
      </c>
      <c r="Y126" s="463">
        <f>'Datu ievade'!Y72</f>
        <v>0</v>
      </c>
      <c r="Z126" s="463">
        <f>'Datu ievade'!Z72</f>
        <v>0</v>
      </c>
      <c r="AA126" s="463">
        <f>'Datu ievade'!AA72</f>
        <v>0</v>
      </c>
      <c r="AB126" s="463">
        <f>'Datu ievade'!AB72</f>
        <v>0</v>
      </c>
      <c r="AC126" s="463">
        <f>'Datu ievade'!AC72</f>
        <v>0</v>
      </c>
      <c r="AD126" s="463">
        <f>'Datu ievade'!AD72</f>
        <v>0</v>
      </c>
      <c r="AE126" s="463">
        <f>'Datu ievade'!AE72</f>
        <v>0</v>
      </c>
      <c r="AF126" s="463">
        <f>'Datu ievade'!AF72</f>
        <v>0</v>
      </c>
      <c r="AG126" s="463">
        <f>'Datu ievade'!AG72</f>
        <v>0</v>
      </c>
      <c r="AH126" s="463">
        <f>'Datu ievade'!AH72</f>
        <v>0</v>
      </c>
      <c r="AI126" s="463"/>
      <c r="AM126" s="535"/>
      <c r="AO126" s="283"/>
      <c r="AP126" s="71"/>
      <c r="AQ126" s="283"/>
      <c r="AR126" s="71"/>
      <c r="AS126" s="283"/>
    </row>
    <row r="127" spans="1:253" s="462" customFormat="1" x14ac:dyDescent="0.2">
      <c r="A127" s="464" t="s">
        <v>166</v>
      </c>
      <c r="B127" s="465">
        <f t="shared" ref="B127:AG127" si="54">SUM(B125:B126)</f>
        <v>0</v>
      </c>
      <c r="C127" s="465">
        <f t="shared" si="54"/>
        <v>0</v>
      </c>
      <c r="D127" s="465">
        <f t="shared" si="54"/>
        <v>307925</v>
      </c>
      <c r="E127" s="465">
        <f t="shared" si="54"/>
        <v>683200</v>
      </c>
      <c r="F127" s="465">
        <f t="shared" si="54"/>
        <v>0</v>
      </c>
      <c r="G127" s="465">
        <f t="shared" si="54"/>
        <v>0</v>
      </c>
      <c r="H127" s="465">
        <f t="shared" si="54"/>
        <v>0</v>
      </c>
      <c r="I127" s="465">
        <f t="shared" si="54"/>
        <v>0</v>
      </c>
      <c r="J127" s="465">
        <f t="shared" si="54"/>
        <v>0</v>
      </c>
      <c r="K127" s="465">
        <f t="shared" si="54"/>
        <v>0</v>
      </c>
      <c r="L127" s="465">
        <f t="shared" si="54"/>
        <v>0</v>
      </c>
      <c r="M127" s="465">
        <f t="shared" si="54"/>
        <v>0</v>
      </c>
      <c r="N127" s="465">
        <f t="shared" si="54"/>
        <v>0</v>
      </c>
      <c r="O127" s="465">
        <f t="shared" si="54"/>
        <v>0</v>
      </c>
      <c r="P127" s="465">
        <f t="shared" si="54"/>
        <v>0</v>
      </c>
      <c r="Q127" s="465">
        <f t="shared" si="54"/>
        <v>0</v>
      </c>
      <c r="R127" s="465">
        <f t="shared" si="54"/>
        <v>0</v>
      </c>
      <c r="S127" s="465">
        <f t="shared" si="54"/>
        <v>0</v>
      </c>
      <c r="T127" s="465">
        <f t="shared" si="54"/>
        <v>0</v>
      </c>
      <c r="U127" s="465">
        <f t="shared" si="54"/>
        <v>0</v>
      </c>
      <c r="V127" s="465">
        <f t="shared" si="54"/>
        <v>0</v>
      </c>
      <c r="W127" s="465">
        <f t="shared" si="54"/>
        <v>0</v>
      </c>
      <c r="X127" s="465">
        <f t="shared" si="54"/>
        <v>0</v>
      </c>
      <c r="Y127" s="465">
        <f t="shared" si="54"/>
        <v>0</v>
      </c>
      <c r="Z127" s="465">
        <f t="shared" si="54"/>
        <v>0</v>
      </c>
      <c r="AA127" s="465">
        <f t="shared" si="54"/>
        <v>0</v>
      </c>
      <c r="AB127" s="465">
        <f t="shared" si="54"/>
        <v>0</v>
      </c>
      <c r="AC127" s="465">
        <f t="shared" si="54"/>
        <v>0</v>
      </c>
      <c r="AD127" s="465">
        <f t="shared" si="54"/>
        <v>0</v>
      </c>
      <c r="AE127" s="465">
        <f t="shared" si="54"/>
        <v>0</v>
      </c>
      <c r="AF127" s="465">
        <f t="shared" si="54"/>
        <v>0</v>
      </c>
      <c r="AG127" s="465">
        <f t="shared" si="54"/>
        <v>0</v>
      </c>
      <c r="AH127" s="465">
        <f>SUM(AH125:AH126)</f>
        <v>0</v>
      </c>
      <c r="AI127" s="465"/>
      <c r="AM127" s="535"/>
      <c r="AO127" s="283"/>
      <c r="AP127" s="71"/>
      <c r="AQ127" s="283"/>
      <c r="AR127" s="71"/>
      <c r="AS127" s="283"/>
    </row>
    <row r="128" spans="1:253" s="462" customFormat="1" x14ac:dyDescent="0.2">
      <c r="A128" s="433" t="s">
        <v>167</v>
      </c>
      <c r="B128" s="463">
        <f>'Datu ievade'!B73+'Datu ievade'!B74+'Datu ievade'!B75</f>
        <v>0</v>
      </c>
      <c r="C128" s="463">
        <f>'Datu ievade'!C73+'Datu ievade'!C74+'Datu ievade'!C75</f>
        <v>0</v>
      </c>
      <c r="D128" s="463">
        <f>'Datu ievade'!D73+'Datu ievade'!D74+'Datu ievade'!D75</f>
        <v>49691</v>
      </c>
      <c r="E128" s="463">
        <f>'Datu ievade'!E73+'Datu ievade'!E74+'Datu ievade'!E75</f>
        <v>51240</v>
      </c>
      <c r="F128" s="463">
        <f>'Datu ievade'!F73+'Datu ievade'!F74+'Datu ievade'!F75</f>
        <v>0</v>
      </c>
      <c r="G128" s="463">
        <f>'Datu ievade'!G73+'Datu ievade'!G74+'Datu ievade'!G75</f>
        <v>0</v>
      </c>
      <c r="H128" s="463">
        <f>'Datu ievade'!H73+'Datu ievade'!H74+'Datu ievade'!H75</f>
        <v>0</v>
      </c>
      <c r="I128" s="463">
        <f>'Datu ievade'!I73+'Datu ievade'!I74+'Datu ievade'!I75</f>
        <v>0</v>
      </c>
      <c r="J128" s="463">
        <f>'Datu ievade'!J73+'Datu ievade'!J74+'Datu ievade'!J75</f>
        <v>0</v>
      </c>
      <c r="K128" s="463">
        <f>'Datu ievade'!K73+'Datu ievade'!K74+'Datu ievade'!K75</f>
        <v>0</v>
      </c>
      <c r="L128" s="463">
        <f>'Datu ievade'!L73+'Datu ievade'!L74+'Datu ievade'!L75</f>
        <v>0</v>
      </c>
      <c r="M128" s="463">
        <f>'Datu ievade'!M73+'Datu ievade'!M74+'Datu ievade'!M75</f>
        <v>0</v>
      </c>
      <c r="N128" s="463">
        <f>'Datu ievade'!N73+'Datu ievade'!N74+'Datu ievade'!N75</f>
        <v>0</v>
      </c>
      <c r="O128" s="463">
        <f>'Datu ievade'!O73+'Datu ievade'!O74+'Datu ievade'!O75</f>
        <v>0</v>
      </c>
      <c r="P128" s="463">
        <f>'Datu ievade'!P73+'Datu ievade'!P74+'Datu ievade'!P75</f>
        <v>0</v>
      </c>
      <c r="Q128" s="463">
        <f>'Datu ievade'!Q73+'Datu ievade'!Q74+'Datu ievade'!Q75</f>
        <v>0</v>
      </c>
      <c r="R128" s="463">
        <f>'Datu ievade'!R73+'Datu ievade'!R74+'Datu ievade'!R75</f>
        <v>0</v>
      </c>
      <c r="S128" s="463">
        <f>'Datu ievade'!S73+'Datu ievade'!S74+'Datu ievade'!S75</f>
        <v>0</v>
      </c>
      <c r="T128" s="463">
        <f>'Datu ievade'!T73+'Datu ievade'!T74+'Datu ievade'!T75</f>
        <v>0</v>
      </c>
      <c r="U128" s="463">
        <f>'Datu ievade'!U73+'Datu ievade'!U74+'Datu ievade'!U75</f>
        <v>0</v>
      </c>
      <c r="V128" s="463">
        <f>'Datu ievade'!V73+'Datu ievade'!V74+'Datu ievade'!V75</f>
        <v>0</v>
      </c>
      <c r="W128" s="463">
        <f>'Datu ievade'!W73+'Datu ievade'!W74+'Datu ievade'!W75</f>
        <v>0</v>
      </c>
      <c r="X128" s="463">
        <f>'Datu ievade'!X73+'Datu ievade'!X74+'Datu ievade'!X75</f>
        <v>0</v>
      </c>
      <c r="Y128" s="463">
        <f>'Datu ievade'!Y73+'Datu ievade'!Y74+'Datu ievade'!Y75</f>
        <v>0</v>
      </c>
      <c r="Z128" s="463">
        <f>'Datu ievade'!Z73+'Datu ievade'!Z74+'Datu ievade'!Z75</f>
        <v>0</v>
      </c>
      <c r="AA128" s="463">
        <f>'Datu ievade'!AA73+'Datu ievade'!AA74+'Datu ievade'!AA75</f>
        <v>0</v>
      </c>
      <c r="AB128" s="463">
        <f>'Datu ievade'!AB73+'Datu ievade'!AB74+'Datu ievade'!AB75</f>
        <v>0</v>
      </c>
      <c r="AC128" s="463">
        <f>'Datu ievade'!AC73+'Datu ievade'!AC74+'Datu ievade'!AC75</f>
        <v>0</v>
      </c>
      <c r="AD128" s="463">
        <f>'Datu ievade'!AD73+'Datu ievade'!AD74+'Datu ievade'!AD75</f>
        <v>0</v>
      </c>
      <c r="AE128" s="463">
        <f>'Datu ievade'!AE73+'Datu ievade'!AE74+'Datu ievade'!AE75</f>
        <v>0</v>
      </c>
      <c r="AF128" s="463">
        <f>'Datu ievade'!AF73+'Datu ievade'!AF74+'Datu ievade'!AF75</f>
        <v>0</v>
      </c>
      <c r="AG128" s="463">
        <f>'Datu ievade'!AG73+'Datu ievade'!AG74+'Datu ievade'!AG75</f>
        <v>0</v>
      </c>
      <c r="AH128" s="463">
        <f>'Datu ievade'!AH73+'Datu ievade'!AH74+'Datu ievade'!AH75</f>
        <v>0</v>
      </c>
      <c r="AI128" s="463"/>
      <c r="AM128" s="535"/>
      <c r="AO128" s="283"/>
      <c r="AP128" s="71"/>
      <c r="AQ128" s="283"/>
      <c r="AR128" s="71"/>
      <c r="AS128" s="283"/>
    </row>
    <row r="129" spans="1:45" s="462" customFormat="1" x14ac:dyDescent="0.2">
      <c r="A129" s="433" t="s">
        <v>168</v>
      </c>
      <c r="B129" s="463">
        <f>'Datu ievade'!B76</f>
        <v>0</v>
      </c>
      <c r="C129" s="463">
        <f>'Datu ievade'!C76</f>
        <v>0</v>
      </c>
      <c r="D129" s="463">
        <f>'Datu ievade'!D76</f>
        <v>0</v>
      </c>
      <c r="E129" s="463">
        <f>'Datu ievade'!E76</f>
        <v>0</v>
      </c>
      <c r="F129" s="463">
        <f>'Datu ievade'!F76</f>
        <v>0</v>
      </c>
      <c r="G129" s="463">
        <f>'Datu ievade'!G76</f>
        <v>0</v>
      </c>
      <c r="H129" s="463">
        <f>'Datu ievade'!H76</f>
        <v>0</v>
      </c>
      <c r="I129" s="463">
        <f>'Datu ievade'!I76</f>
        <v>0</v>
      </c>
      <c r="J129" s="463">
        <f>'Datu ievade'!J76</f>
        <v>0</v>
      </c>
      <c r="K129" s="463">
        <f>'Datu ievade'!K76</f>
        <v>0</v>
      </c>
      <c r="L129" s="463">
        <f>'Datu ievade'!L76</f>
        <v>0</v>
      </c>
      <c r="M129" s="463">
        <f>'Datu ievade'!M76</f>
        <v>0</v>
      </c>
      <c r="N129" s="463">
        <f>'Datu ievade'!N76</f>
        <v>0</v>
      </c>
      <c r="O129" s="463">
        <f>'Datu ievade'!O76</f>
        <v>0</v>
      </c>
      <c r="P129" s="463">
        <f>'Datu ievade'!P76</f>
        <v>0</v>
      </c>
      <c r="Q129" s="463">
        <f>'Datu ievade'!Q76</f>
        <v>0</v>
      </c>
      <c r="R129" s="463">
        <f>'Datu ievade'!R76</f>
        <v>0</v>
      </c>
      <c r="S129" s="463">
        <f>'Datu ievade'!S76</f>
        <v>0</v>
      </c>
      <c r="T129" s="463">
        <f>'Datu ievade'!T76</f>
        <v>0</v>
      </c>
      <c r="U129" s="463">
        <f>'Datu ievade'!U76</f>
        <v>0</v>
      </c>
      <c r="V129" s="463">
        <f>'Datu ievade'!V76</f>
        <v>0</v>
      </c>
      <c r="W129" s="463">
        <f>'Datu ievade'!W76</f>
        <v>0</v>
      </c>
      <c r="X129" s="463">
        <f>'Datu ievade'!X76</f>
        <v>0</v>
      </c>
      <c r="Y129" s="463">
        <f>'Datu ievade'!Y76</f>
        <v>0</v>
      </c>
      <c r="Z129" s="463">
        <f>'Datu ievade'!Z76</f>
        <v>0</v>
      </c>
      <c r="AA129" s="463">
        <f>'Datu ievade'!AA76</f>
        <v>0</v>
      </c>
      <c r="AB129" s="463">
        <f>'Datu ievade'!AB76</f>
        <v>0</v>
      </c>
      <c r="AC129" s="463">
        <f>'Datu ievade'!AC76</f>
        <v>0</v>
      </c>
      <c r="AD129" s="463">
        <f>'Datu ievade'!AD76</f>
        <v>0</v>
      </c>
      <c r="AE129" s="463">
        <f>'Datu ievade'!AE76</f>
        <v>0</v>
      </c>
      <c r="AF129" s="463">
        <f>'Datu ievade'!AF76</f>
        <v>0</v>
      </c>
      <c r="AG129" s="463">
        <f>'Datu ievade'!AG76</f>
        <v>0</v>
      </c>
      <c r="AH129" s="463">
        <f>'Datu ievade'!AH76</f>
        <v>0</v>
      </c>
      <c r="AI129" s="463"/>
      <c r="AM129" s="535"/>
      <c r="AO129" s="283"/>
      <c r="AP129" s="71"/>
      <c r="AQ129" s="283"/>
      <c r="AR129" s="71"/>
      <c r="AS129" s="283"/>
    </row>
    <row r="130" spans="1:45" s="462" customFormat="1" x14ac:dyDescent="0.2">
      <c r="A130" s="464" t="s">
        <v>169</v>
      </c>
      <c r="B130" s="465">
        <f t="shared" ref="B130:AG130" si="55">SUM(B128:B129)</f>
        <v>0</v>
      </c>
      <c r="C130" s="465">
        <f t="shared" si="55"/>
        <v>0</v>
      </c>
      <c r="D130" s="465">
        <f t="shared" si="55"/>
        <v>49691</v>
      </c>
      <c r="E130" s="465">
        <f t="shared" si="55"/>
        <v>51240</v>
      </c>
      <c r="F130" s="465">
        <f t="shared" si="55"/>
        <v>0</v>
      </c>
      <c r="G130" s="465">
        <f t="shared" si="55"/>
        <v>0</v>
      </c>
      <c r="H130" s="465">
        <f t="shared" si="55"/>
        <v>0</v>
      </c>
      <c r="I130" s="465">
        <f t="shared" si="55"/>
        <v>0</v>
      </c>
      <c r="J130" s="465">
        <f t="shared" si="55"/>
        <v>0</v>
      </c>
      <c r="K130" s="465">
        <f t="shared" si="55"/>
        <v>0</v>
      </c>
      <c r="L130" s="465">
        <f t="shared" si="55"/>
        <v>0</v>
      </c>
      <c r="M130" s="465">
        <f t="shared" si="55"/>
        <v>0</v>
      </c>
      <c r="N130" s="465">
        <f t="shared" si="55"/>
        <v>0</v>
      </c>
      <c r="O130" s="465">
        <f t="shared" si="55"/>
        <v>0</v>
      </c>
      <c r="P130" s="465">
        <f t="shared" si="55"/>
        <v>0</v>
      </c>
      <c r="Q130" s="465">
        <f t="shared" si="55"/>
        <v>0</v>
      </c>
      <c r="R130" s="465">
        <f t="shared" si="55"/>
        <v>0</v>
      </c>
      <c r="S130" s="465">
        <f t="shared" si="55"/>
        <v>0</v>
      </c>
      <c r="T130" s="465">
        <f t="shared" si="55"/>
        <v>0</v>
      </c>
      <c r="U130" s="465">
        <f t="shared" si="55"/>
        <v>0</v>
      </c>
      <c r="V130" s="465">
        <f t="shared" si="55"/>
        <v>0</v>
      </c>
      <c r="W130" s="465">
        <f t="shared" si="55"/>
        <v>0</v>
      </c>
      <c r="X130" s="465">
        <f t="shared" si="55"/>
        <v>0</v>
      </c>
      <c r="Y130" s="465">
        <f t="shared" si="55"/>
        <v>0</v>
      </c>
      <c r="Z130" s="465">
        <f t="shared" si="55"/>
        <v>0</v>
      </c>
      <c r="AA130" s="465">
        <f t="shared" si="55"/>
        <v>0</v>
      </c>
      <c r="AB130" s="465">
        <f t="shared" si="55"/>
        <v>0</v>
      </c>
      <c r="AC130" s="465">
        <f t="shared" si="55"/>
        <v>0</v>
      </c>
      <c r="AD130" s="465">
        <f t="shared" si="55"/>
        <v>0</v>
      </c>
      <c r="AE130" s="465">
        <f t="shared" si="55"/>
        <v>0</v>
      </c>
      <c r="AF130" s="465">
        <f t="shared" si="55"/>
        <v>0</v>
      </c>
      <c r="AG130" s="465">
        <f t="shared" si="55"/>
        <v>0</v>
      </c>
      <c r="AH130" s="465">
        <f>SUM(AH128:AH129)</f>
        <v>0</v>
      </c>
      <c r="AI130" s="465"/>
      <c r="AM130" s="535"/>
      <c r="AO130" s="283"/>
      <c r="AP130" s="71"/>
      <c r="AQ130" s="283"/>
      <c r="AR130" s="71"/>
      <c r="AS130" s="283"/>
    </row>
    <row r="131" spans="1:45" s="462" customFormat="1" x14ac:dyDescent="0.2">
      <c r="A131" s="464" t="s">
        <v>170</v>
      </c>
      <c r="B131" s="465">
        <f t="shared" ref="B131:AG131" si="56">B127+B130</f>
        <v>0</v>
      </c>
      <c r="C131" s="465">
        <f t="shared" si="56"/>
        <v>0</v>
      </c>
      <c r="D131" s="465">
        <f t="shared" si="56"/>
        <v>357616</v>
      </c>
      <c r="E131" s="465">
        <f t="shared" si="56"/>
        <v>734440</v>
      </c>
      <c r="F131" s="465">
        <f t="shared" si="56"/>
        <v>0</v>
      </c>
      <c r="G131" s="465">
        <f t="shared" si="56"/>
        <v>0</v>
      </c>
      <c r="H131" s="465">
        <f t="shared" si="56"/>
        <v>0</v>
      </c>
      <c r="I131" s="465">
        <f t="shared" si="56"/>
        <v>0</v>
      </c>
      <c r="J131" s="465">
        <f t="shared" si="56"/>
        <v>0</v>
      </c>
      <c r="K131" s="465">
        <f t="shared" si="56"/>
        <v>0</v>
      </c>
      <c r="L131" s="465">
        <f t="shared" si="56"/>
        <v>0</v>
      </c>
      <c r="M131" s="465">
        <f t="shared" si="56"/>
        <v>0</v>
      </c>
      <c r="N131" s="465">
        <f t="shared" si="56"/>
        <v>0</v>
      </c>
      <c r="O131" s="465">
        <f t="shared" si="56"/>
        <v>0</v>
      </c>
      <c r="P131" s="465">
        <f t="shared" si="56"/>
        <v>0</v>
      </c>
      <c r="Q131" s="465">
        <f t="shared" si="56"/>
        <v>0</v>
      </c>
      <c r="R131" s="465">
        <f t="shared" si="56"/>
        <v>0</v>
      </c>
      <c r="S131" s="465">
        <f t="shared" si="56"/>
        <v>0</v>
      </c>
      <c r="T131" s="465">
        <f t="shared" si="56"/>
        <v>0</v>
      </c>
      <c r="U131" s="465">
        <f t="shared" si="56"/>
        <v>0</v>
      </c>
      <c r="V131" s="465">
        <f t="shared" si="56"/>
        <v>0</v>
      </c>
      <c r="W131" s="465">
        <f t="shared" si="56"/>
        <v>0</v>
      </c>
      <c r="X131" s="465">
        <f t="shared" si="56"/>
        <v>0</v>
      </c>
      <c r="Y131" s="465">
        <f t="shared" si="56"/>
        <v>0</v>
      </c>
      <c r="Z131" s="465">
        <f t="shared" si="56"/>
        <v>0</v>
      </c>
      <c r="AA131" s="465">
        <f t="shared" si="56"/>
        <v>0</v>
      </c>
      <c r="AB131" s="465">
        <f t="shared" si="56"/>
        <v>0</v>
      </c>
      <c r="AC131" s="465">
        <f t="shared" si="56"/>
        <v>0</v>
      </c>
      <c r="AD131" s="465">
        <f t="shared" si="56"/>
        <v>0</v>
      </c>
      <c r="AE131" s="465">
        <f t="shared" si="56"/>
        <v>0</v>
      </c>
      <c r="AF131" s="465">
        <f t="shared" si="56"/>
        <v>0</v>
      </c>
      <c r="AG131" s="465">
        <f t="shared" si="56"/>
        <v>0</v>
      </c>
      <c r="AH131" s="465">
        <f>AH127+AH130</f>
        <v>0</v>
      </c>
      <c r="AI131" s="465"/>
      <c r="AM131" s="535"/>
      <c r="AO131" s="283"/>
      <c r="AP131" s="71"/>
      <c r="AQ131" s="283"/>
      <c r="AR131" s="71"/>
      <c r="AS131" s="283"/>
    </row>
    <row r="132" spans="1:45" s="462" customFormat="1" x14ac:dyDescent="0.2">
      <c r="A132" s="457"/>
      <c r="B132" s="423"/>
      <c r="C132" s="423"/>
      <c r="D132" s="423"/>
      <c r="E132" s="423"/>
      <c r="F132" s="423"/>
      <c r="G132" s="423"/>
      <c r="H132" s="423"/>
      <c r="I132" s="423"/>
      <c r="J132" s="423"/>
      <c r="K132" s="458"/>
      <c r="L132" s="423"/>
      <c r="M132" s="423"/>
      <c r="N132" s="419"/>
      <c r="O132" s="423"/>
      <c r="P132" s="423"/>
      <c r="Q132" s="423"/>
      <c r="R132" s="423"/>
      <c r="S132" s="423"/>
      <c r="T132" s="423"/>
      <c r="U132" s="445"/>
      <c r="V132" s="445"/>
      <c r="W132" s="423"/>
      <c r="X132" s="423"/>
      <c r="Y132" s="423"/>
      <c r="Z132" s="466"/>
      <c r="AA132" s="466"/>
      <c r="AB132" s="466"/>
      <c r="AC132" s="466"/>
      <c r="AD132" s="466"/>
      <c r="AE132" s="466"/>
      <c r="AF132" s="466"/>
      <c r="AG132" s="466"/>
      <c r="AH132" s="466"/>
      <c r="AI132" s="466"/>
      <c r="AM132" s="535"/>
      <c r="AO132" s="283"/>
      <c r="AP132" s="71"/>
      <c r="AQ132" s="283"/>
      <c r="AR132" s="71"/>
      <c r="AS132" s="283"/>
    </row>
    <row r="133" spans="1:45" s="419" customFormat="1" x14ac:dyDescent="0.2">
      <c r="A133" s="459" t="s">
        <v>79</v>
      </c>
      <c r="B133" s="467"/>
      <c r="C133" s="467"/>
      <c r="D133" s="467"/>
      <c r="E133" s="467"/>
      <c r="F133" s="467"/>
      <c r="G133" s="467"/>
      <c r="H133" s="467"/>
      <c r="I133" s="467"/>
      <c r="J133" s="467"/>
      <c r="K133" s="467"/>
      <c r="L133" s="467"/>
      <c r="M133" s="467"/>
      <c r="N133" s="467"/>
      <c r="O133" s="467"/>
      <c r="P133" s="467"/>
      <c r="Q133" s="467"/>
      <c r="R133" s="467"/>
      <c r="S133" s="467"/>
      <c r="T133" s="467"/>
      <c r="U133" s="467"/>
      <c r="V133" s="467"/>
      <c r="W133" s="467"/>
      <c r="X133" s="467"/>
      <c r="Y133" s="467"/>
      <c r="Z133" s="461"/>
      <c r="AA133" s="461"/>
      <c r="AB133" s="461"/>
      <c r="AC133" s="461"/>
      <c r="AD133" s="461"/>
      <c r="AE133" s="461"/>
      <c r="AF133" s="461"/>
      <c r="AG133" s="461"/>
      <c r="AH133" s="461"/>
      <c r="AI133" s="461"/>
      <c r="AM133" s="535"/>
      <c r="AO133" s="283"/>
      <c r="AP133" s="71"/>
      <c r="AQ133" s="283"/>
      <c r="AR133" s="71"/>
      <c r="AS133" s="283"/>
    </row>
    <row r="134" spans="1:45" s="419" customFormat="1" x14ac:dyDescent="0.2">
      <c r="A134" s="433" t="s">
        <v>164</v>
      </c>
      <c r="B134" s="463">
        <f t="shared" ref="B134:AG134" si="57">B116+B125</f>
        <v>0</v>
      </c>
      <c r="C134" s="463">
        <f t="shared" si="57"/>
        <v>0</v>
      </c>
      <c r="D134" s="463">
        <f t="shared" si="57"/>
        <v>288850</v>
      </c>
      <c r="E134" s="463">
        <f t="shared" si="57"/>
        <v>660800</v>
      </c>
      <c r="F134" s="463">
        <f t="shared" si="57"/>
        <v>0</v>
      </c>
      <c r="G134" s="463">
        <f t="shared" si="57"/>
        <v>0</v>
      </c>
      <c r="H134" s="463">
        <f t="shared" si="57"/>
        <v>0</v>
      </c>
      <c r="I134" s="463">
        <f t="shared" si="57"/>
        <v>0</v>
      </c>
      <c r="J134" s="463">
        <f t="shared" si="57"/>
        <v>0</v>
      </c>
      <c r="K134" s="463">
        <f t="shared" si="57"/>
        <v>0</v>
      </c>
      <c r="L134" s="463">
        <f t="shared" si="57"/>
        <v>0</v>
      </c>
      <c r="M134" s="463">
        <f t="shared" si="57"/>
        <v>0</v>
      </c>
      <c r="N134" s="463">
        <f t="shared" si="57"/>
        <v>0</v>
      </c>
      <c r="O134" s="463">
        <f t="shared" si="57"/>
        <v>0</v>
      </c>
      <c r="P134" s="463">
        <f t="shared" si="57"/>
        <v>0</v>
      </c>
      <c r="Q134" s="463">
        <f t="shared" si="57"/>
        <v>0</v>
      </c>
      <c r="R134" s="463">
        <f t="shared" si="57"/>
        <v>0</v>
      </c>
      <c r="S134" s="463">
        <f t="shared" si="57"/>
        <v>0</v>
      </c>
      <c r="T134" s="463">
        <f t="shared" si="57"/>
        <v>0</v>
      </c>
      <c r="U134" s="463">
        <f t="shared" si="57"/>
        <v>0</v>
      </c>
      <c r="V134" s="463">
        <f t="shared" si="57"/>
        <v>0</v>
      </c>
      <c r="W134" s="463">
        <f t="shared" si="57"/>
        <v>0</v>
      </c>
      <c r="X134" s="463">
        <f t="shared" si="57"/>
        <v>0</v>
      </c>
      <c r="Y134" s="463">
        <f t="shared" si="57"/>
        <v>0</v>
      </c>
      <c r="Z134" s="463">
        <f t="shared" si="57"/>
        <v>0</v>
      </c>
      <c r="AA134" s="463">
        <f t="shared" si="57"/>
        <v>0</v>
      </c>
      <c r="AB134" s="463">
        <f t="shared" si="57"/>
        <v>0</v>
      </c>
      <c r="AC134" s="463">
        <f t="shared" si="57"/>
        <v>0</v>
      </c>
      <c r="AD134" s="463">
        <f t="shared" si="57"/>
        <v>0</v>
      </c>
      <c r="AE134" s="463">
        <f t="shared" si="57"/>
        <v>0</v>
      </c>
      <c r="AF134" s="463">
        <f t="shared" si="57"/>
        <v>0</v>
      </c>
      <c r="AG134" s="463">
        <f t="shared" si="57"/>
        <v>0</v>
      </c>
      <c r="AH134" s="463">
        <f>AH116+AH125</f>
        <v>0</v>
      </c>
      <c r="AI134" s="463"/>
      <c r="AM134" s="535"/>
      <c r="AO134" s="283"/>
      <c r="AP134" s="71"/>
      <c r="AQ134" s="283"/>
      <c r="AR134" s="71"/>
      <c r="AS134" s="283"/>
    </row>
    <row r="135" spans="1:45" s="419" customFormat="1" x14ac:dyDescent="0.2">
      <c r="A135" s="433" t="s">
        <v>165</v>
      </c>
      <c r="B135" s="463">
        <f t="shared" ref="B135:AG135" si="58">B117+B126</f>
        <v>0</v>
      </c>
      <c r="C135" s="463">
        <f t="shared" si="58"/>
        <v>0</v>
      </c>
      <c r="D135" s="463">
        <f t="shared" si="58"/>
        <v>182575</v>
      </c>
      <c r="E135" s="463">
        <f t="shared" si="58"/>
        <v>358400</v>
      </c>
      <c r="F135" s="463">
        <f t="shared" si="58"/>
        <v>0</v>
      </c>
      <c r="G135" s="463">
        <f t="shared" si="58"/>
        <v>0</v>
      </c>
      <c r="H135" s="463">
        <f t="shared" si="58"/>
        <v>0</v>
      </c>
      <c r="I135" s="463">
        <f t="shared" si="58"/>
        <v>0</v>
      </c>
      <c r="J135" s="463">
        <f t="shared" si="58"/>
        <v>0</v>
      </c>
      <c r="K135" s="463">
        <f t="shared" si="58"/>
        <v>0</v>
      </c>
      <c r="L135" s="463">
        <f t="shared" si="58"/>
        <v>0</v>
      </c>
      <c r="M135" s="463">
        <f t="shared" si="58"/>
        <v>0</v>
      </c>
      <c r="N135" s="463">
        <f t="shared" si="58"/>
        <v>0</v>
      </c>
      <c r="O135" s="463">
        <f t="shared" si="58"/>
        <v>0</v>
      </c>
      <c r="P135" s="463">
        <f t="shared" si="58"/>
        <v>0</v>
      </c>
      <c r="Q135" s="463">
        <f t="shared" si="58"/>
        <v>0</v>
      </c>
      <c r="R135" s="463">
        <f t="shared" si="58"/>
        <v>0</v>
      </c>
      <c r="S135" s="463">
        <f t="shared" si="58"/>
        <v>0</v>
      </c>
      <c r="T135" s="463">
        <f t="shared" si="58"/>
        <v>0</v>
      </c>
      <c r="U135" s="463">
        <f t="shared" si="58"/>
        <v>0</v>
      </c>
      <c r="V135" s="463">
        <f t="shared" si="58"/>
        <v>0</v>
      </c>
      <c r="W135" s="463">
        <f t="shared" si="58"/>
        <v>0</v>
      </c>
      <c r="X135" s="463">
        <f t="shared" si="58"/>
        <v>0</v>
      </c>
      <c r="Y135" s="463">
        <f t="shared" si="58"/>
        <v>0</v>
      </c>
      <c r="Z135" s="463">
        <f t="shared" si="58"/>
        <v>0</v>
      </c>
      <c r="AA135" s="463">
        <f t="shared" si="58"/>
        <v>0</v>
      </c>
      <c r="AB135" s="463">
        <f t="shared" si="58"/>
        <v>0</v>
      </c>
      <c r="AC135" s="463">
        <f t="shared" si="58"/>
        <v>0</v>
      </c>
      <c r="AD135" s="463">
        <f t="shared" si="58"/>
        <v>0</v>
      </c>
      <c r="AE135" s="463">
        <f t="shared" si="58"/>
        <v>0</v>
      </c>
      <c r="AF135" s="463">
        <f t="shared" si="58"/>
        <v>0</v>
      </c>
      <c r="AG135" s="463">
        <f t="shared" si="58"/>
        <v>0</v>
      </c>
      <c r="AH135" s="463">
        <f>AH117+AH126</f>
        <v>0</v>
      </c>
      <c r="AI135" s="463"/>
      <c r="AM135" s="535"/>
      <c r="AO135" s="283"/>
      <c r="AP135" s="71"/>
      <c r="AQ135" s="283"/>
      <c r="AR135" s="71"/>
      <c r="AS135" s="283"/>
    </row>
    <row r="136" spans="1:45" s="419" customFormat="1" x14ac:dyDescent="0.2">
      <c r="A136" s="464" t="s">
        <v>166</v>
      </c>
      <c r="B136" s="465">
        <f t="shared" ref="B136:AG136" si="59">SUM(B134:B135)</f>
        <v>0</v>
      </c>
      <c r="C136" s="465">
        <f t="shared" si="59"/>
        <v>0</v>
      </c>
      <c r="D136" s="465">
        <f t="shared" si="59"/>
        <v>471425</v>
      </c>
      <c r="E136" s="465">
        <f t="shared" si="59"/>
        <v>1019200</v>
      </c>
      <c r="F136" s="465">
        <f t="shared" si="59"/>
        <v>0</v>
      </c>
      <c r="G136" s="465">
        <f t="shared" si="59"/>
        <v>0</v>
      </c>
      <c r="H136" s="465">
        <f t="shared" si="59"/>
        <v>0</v>
      </c>
      <c r="I136" s="465">
        <f t="shared" si="59"/>
        <v>0</v>
      </c>
      <c r="J136" s="465">
        <f t="shared" si="59"/>
        <v>0</v>
      </c>
      <c r="K136" s="465">
        <f t="shared" si="59"/>
        <v>0</v>
      </c>
      <c r="L136" s="465">
        <f t="shared" si="59"/>
        <v>0</v>
      </c>
      <c r="M136" s="465">
        <f t="shared" si="59"/>
        <v>0</v>
      </c>
      <c r="N136" s="465">
        <f t="shared" si="59"/>
        <v>0</v>
      </c>
      <c r="O136" s="465">
        <f t="shared" si="59"/>
        <v>0</v>
      </c>
      <c r="P136" s="465">
        <f t="shared" si="59"/>
        <v>0</v>
      </c>
      <c r="Q136" s="465">
        <f t="shared" si="59"/>
        <v>0</v>
      </c>
      <c r="R136" s="465">
        <f t="shared" si="59"/>
        <v>0</v>
      </c>
      <c r="S136" s="465">
        <f t="shared" si="59"/>
        <v>0</v>
      </c>
      <c r="T136" s="465">
        <f t="shared" si="59"/>
        <v>0</v>
      </c>
      <c r="U136" s="465">
        <f t="shared" si="59"/>
        <v>0</v>
      </c>
      <c r="V136" s="465">
        <f t="shared" si="59"/>
        <v>0</v>
      </c>
      <c r="W136" s="465">
        <f t="shared" si="59"/>
        <v>0</v>
      </c>
      <c r="X136" s="465">
        <f t="shared" si="59"/>
        <v>0</v>
      </c>
      <c r="Y136" s="465">
        <f t="shared" si="59"/>
        <v>0</v>
      </c>
      <c r="Z136" s="465">
        <f t="shared" si="59"/>
        <v>0</v>
      </c>
      <c r="AA136" s="465">
        <f t="shared" si="59"/>
        <v>0</v>
      </c>
      <c r="AB136" s="465">
        <f t="shared" si="59"/>
        <v>0</v>
      </c>
      <c r="AC136" s="465">
        <f t="shared" si="59"/>
        <v>0</v>
      </c>
      <c r="AD136" s="465">
        <f t="shared" si="59"/>
        <v>0</v>
      </c>
      <c r="AE136" s="465">
        <f t="shared" si="59"/>
        <v>0</v>
      </c>
      <c r="AF136" s="465">
        <f t="shared" si="59"/>
        <v>0</v>
      </c>
      <c r="AG136" s="465">
        <f t="shared" si="59"/>
        <v>0</v>
      </c>
      <c r="AH136" s="465">
        <f>SUM(AH134:AH135)</f>
        <v>0</v>
      </c>
      <c r="AI136" s="465"/>
      <c r="AM136" s="535"/>
      <c r="AO136" s="283"/>
      <c r="AP136" s="71"/>
      <c r="AQ136" s="283"/>
      <c r="AR136" s="71"/>
      <c r="AS136" s="283"/>
    </row>
    <row r="137" spans="1:45" s="419" customFormat="1" x14ac:dyDescent="0.2">
      <c r="A137" s="433" t="s">
        <v>167</v>
      </c>
      <c r="B137" s="463">
        <f t="shared" ref="B137:AG137" si="60">B119+B128</f>
        <v>0</v>
      </c>
      <c r="C137" s="463">
        <f t="shared" si="60"/>
        <v>0</v>
      </c>
      <c r="D137" s="463">
        <f t="shared" si="60"/>
        <v>75034</v>
      </c>
      <c r="E137" s="463">
        <f t="shared" si="60"/>
        <v>63000</v>
      </c>
      <c r="F137" s="463">
        <f t="shared" si="60"/>
        <v>0</v>
      </c>
      <c r="G137" s="463">
        <f t="shared" si="60"/>
        <v>0</v>
      </c>
      <c r="H137" s="463">
        <f t="shared" si="60"/>
        <v>0</v>
      </c>
      <c r="I137" s="463">
        <f t="shared" si="60"/>
        <v>0</v>
      </c>
      <c r="J137" s="463">
        <f t="shared" si="60"/>
        <v>0</v>
      </c>
      <c r="K137" s="463">
        <f t="shared" si="60"/>
        <v>0</v>
      </c>
      <c r="L137" s="463">
        <f t="shared" si="60"/>
        <v>0</v>
      </c>
      <c r="M137" s="463">
        <f t="shared" si="60"/>
        <v>0</v>
      </c>
      <c r="N137" s="463">
        <f t="shared" si="60"/>
        <v>0</v>
      </c>
      <c r="O137" s="463">
        <f t="shared" si="60"/>
        <v>0</v>
      </c>
      <c r="P137" s="463">
        <f t="shared" si="60"/>
        <v>0</v>
      </c>
      <c r="Q137" s="463">
        <f t="shared" si="60"/>
        <v>0</v>
      </c>
      <c r="R137" s="463">
        <f t="shared" si="60"/>
        <v>0</v>
      </c>
      <c r="S137" s="463">
        <f t="shared" si="60"/>
        <v>0</v>
      </c>
      <c r="T137" s="463">
        <f t="shared" si="60"/>
        <v>0</v>
      </c>
      <c r="U137" s="463">
        <f t="shared" si="60"/>
        <v>0</v>
      </c>
      <c r="V137" s="463">
        <f t="shared" si="60"/>
        <v>0</v>
      </c>
      <c r="W137" s="463">
        <f t="shared" si="60"/>
        <v>0</v>
      </c>
      <c r="X137" s="463">
        <f t="shared" si="60"/>
        <v>0</v>
      </c>
      <c r="Y137" s="463">
        <f t="shared" si="60"/>
        <v>0</v>
      </c>
      <c r="Z137" s="463">
        <f t="shared" si="60"/>
        <v>0</v>
      </c>
      <c r="AA137" s="463">
        <f t="shared" si="60"/>
        <v>0</v>
      </c>
      <c r="AB137" s="463">
        <f t="shared" si="60"/>
        <v>0</v>
      </c>
      <c r="AC137" s="463">
        <f t="shared" si="60"/>
        <v>0</v>
      </c>
      <c r="AD137" s="463">
        <f t="shared" si="60"/>
        <v>0</v>
      </c>
      <c r="AE137" s="463">
        <f t="shared" si="60"/>
        <v>0</v>
      </c>
      <c r="AF137" s="463">
        <f t="shared" si="60"/>
        <v>0</v>
      </c>
      <c r="AG137" s="463">
        <f t="shared" si="60"/>
        <v>0</v>
      </c>
      <c r="AH137" s="463">
        <f>AH119+AH128</f>
        <v>0</v>
      </c>
      <c r="AI137" s="463"/>
      <c r="AM137" s="535"/>
      <c r="AO137" s="283"/>
      <c r="AP137" s="71"/>
      <c r="AQ137" s="283"/>
      <c r="AR137" s="71"/>
      <c r="AS137" s="283"/>
    </row>
    <row r="138" spans="1:45" s="419" customFormat="1" x14ac:dyDescent="0.2">
      <c r="A138" s="433" t="s">
        <v>168</v>
      </c>
      <c r="B138" s="463">
        <f t="shared" ref="B138:AG138" si="61">B120+B129</f>
        <v>0</v>
      </c>
      <c r="C138" s="463">
        <f t="shared" si="61"/>
        <v>0</v>
      </c>
      <c r="D138" s="463">
        <f t="shared" si="61"/>
        <v>0</v>
      </c>
      <c r="E138" s="463">
        <f t="shared" si="61"/>
        <v>0</v>
      </c>
      <c r="F138" s="463">
        <f t="shared" si="61"/>
        <v>0</v>
      </c>
      <c r="G138" s="463">
        <f t="shared" si="61"/>
        <v>0</v>
      </c>
      <c r="H138" s="463">
        <f t="shared" si="61"/>
        <v>0</v>
      </c>
      <c r="I138" s="463">
        <f t="shared" si="61"/>
        <v>0</v>
      </c>
      <c r="J138" s="463">
        <f t="shared" si="61"/>
        <v>0</v>
      </c>
      <c r="K138" s="463">
        <f t="shared" si="61"/>
        <v>0</v>
      </c>
      <c r="L138" s="463">
        <f t="shared" si="61"/>
        <v>0</v>
      </c>
      <c r="M138" s="463">
        <f t="shared" si="61"/>
        <v>0</v>
      </c>
      <c r="N138" s="463">
        <f t="shared" si="61"/>
        <v>0</v>
      </c>
      <c r="O138" s="463">
        <f t="shared" si="61"/>
        <v>0</v>
      </c>
      <c r="P138" s="463">
        <f t="shared" si="61"/>
        <v>0</v>
      </c>
      <c r="Q138" s="463">
        <f t="shared" si="61"/>
        <v>0</v>
      </c>
      <c r="R138" s="463">
        <f t="shared" si="61"/>
        <v>0</v>
      </c>
      <c r="S138" s="463">
        <f t="shared" si="61"/>
        <v>0</v>
      </c>
      <c r="T138" s="463">
        <f t="shared" si="61"/>
        <v>0</v>
      </c>
      <c r="U138" s="463">
        <f t="shared" si="61"/>
        <v>0</v>
      </c>
      <c r="V138" s="463">
        <f t="shared" si="61"/>
        <v>0</v>
      </c>
      <c r="W138" s="463">
        <f t="shared" si="61"/>
        <v>0</v>
      </c>
      <c r="X138" s="463">
        <f t="shared" si="61"/>
        <v>0</v>
      </c>
      <c r="Y138" s="463">
        <f t="shared" si="61"/>
        <v>0</v>
      </c>
      <c r="Z138" s="463">
        <f t="shared" si="61"/>
        <v>0</v>
      </c>
      <c r="AA138" s="463">
        <f t="shared" si="61"/>
        <v>0</v>
      </c>
      <c r="AB138" s="463">
        <f t="shared" si="61"/>
        <v>0</v>
      </c>
      <c r="AC138" s="463">
        <f t="shared" si="61"/>
        <v>0</v>
      </c>
      <c r="AD138" s="463">
        <f t="shared" si="61"/>
        <v>0</v>
      </c>
      <c r="AE138" s="463">
        <f t="shared" si="61"/>
        <v>0</v>
      </c>
      <c r="AF138" s="463">
        <f t="shared" si="61"/>
        <v>0</v>
      </c>
      <c r="AG138" s="463">
        <f t="shared" si="61"/>
        <v>0</v>
      </c>
      <c r="AH138" s="463">
        <f>AH120+AH129</f>
        <v>0</v>
      </c>
      <c r="AI138" s="463"/>
      <c r="AM138" s="535"/>
      <c r="AO138" s="283"/>
      <c r="AP138" s="71"/>
      <c r="AQ138" s="283"/>
      <c r="AR138" s="71"/>
      <c r="AS138" s="283"/>
    </row>
    <row r="139" spans="1:45" s="419" customFormat="1" x14ac:dyDescent="0.2">
      <c r="A139" s="464" t="s">
        <v>169</v>
      </c>
      <c r="B139" s="465">
        <f t="shared" ref="B139:AG139" si="62">SUM(B137:B138)</f>
        <v>0</v>
      </c>
      <c r="C139" s="465">
        <f t="shared" si="62"/>
        <v>0</v>
      </c>
      <c r="D139" s="465">
        <f t="shared" si="62"/>
        <v>75034</v>
      </c>
      <c r="E139" s="465">
        <f t="shared" si="62"/>
        <v>63000</v>
      </c>
      <c r="F139" s="465">
        <f t="shared" si="62"/>
        <v>0</v>
      </c>
      <c r="G139" s="465">
        <f t="shared" si="62"/>
        <v>0</v>
      </c>
      <c r="H139" s="465">
        <f t="shared" si="62"/>
        <v>0</v>
      </c>
      <c r="I139" s="465">
        <f t="shared" si="62"/>
        <v>0</v>
      </c>
      <c r="J139" s="465">
        <f t="shared" si="62"/>
        <v>0</v>
      </c>
      <c r="K139" s="465">
        <f t="shared" si="62"/>
        <v>0</v>
      </c>
      <c r="L139" s="465">
        <f t="shared" si="62"/>
        <v>0</v>
      </c>
      <c r="M139" s="465">
        <f t="shared" si="62"/>
        <v>0</v>
      </c>
      <c r="N139" s="465">
        <f t="shared" si="62"/>
        <v>0</v>
      </c>
      <c r="O139" s="465">
        <f t="shared" si="62"/>
        <v>0</v>
      </c>
      <c r="P139" s="465">
        <f t="shared" si="62"/>
        <v>0</v>
      </c>
      <c r="Q139" s="465">
        <f t="shared" si="62"/>
        <v>0</v>
      </c>
      <c r="R139" s="465">
        <f t="shared" si="62"/>
        <v>0</v>
      </c>
      <c r="S139" s="465">
        <f t="shared" si="62"/>
        <v>0</v>
      </c>
      <c r="T139" s="465">
        <f t="shared" si="62"/>
        <v>0</v>
      </c>
      <c r="U139" s="465">
        <f t="shared" si="62"/>
        <v>0</v>
      </c>
      <c r="V139" s="465">
        <f t="shared" si="62"/>
        <v>0</v>
      </c>
      <c r="W139" s="465">
        <f t="shared" si="62"/>
        <v>0</v>
      </c>
      <c r="X139" s="465">
        <f t="shared" si="62"/>
        <v>0</v>
      </c>
      <c r="Y139" s="465">
        <f t="shared" si="62"/>
        <v>0</v>
      </c>
      <c r="Z139" s="465">
        <f t="shared" si="62"/>
        <v>0</v>
      </c>
      <c r="AA139" s="465">
        <f t="shared" si="62"/>
        <v>0</v>
      </c>
      <c r="AB139" s="465">
        <f t="shared" si="62"/>
        <v>0</v>
      </c>
      <c r="AC139" s="465">
        <f t="shared" si="62"/>
        <v>0</v>
      </c>
      <c r="AD139" s="465">
        <f t="shared" si="62"/>
        <v>0</v>
      </c>
      <c r="AE139" s="465">
        <f t="shared" si="62"/>
        <v>0</v>
      </c>
      <c r="AF139" s="465">
        <f t="shared" si="62"/>
        <v>0</v>
      </c>
      <c r="AG139" s="465">
        <f t="shared" si="62"/>
        <v>0</v>
      </c>
      <c r="AH139" s="465">
        <f>SUM(AH137:AH138)</f>
        <v>0</v>
      </c>
      <c r="AI139" s="465"/>
      <c r="AM139" s="535"/>
      <c r="AO139" s="283"/>
      <c r="AP139" s="71"/>
      <c r="AQ139" s="283"/>
      <c r="AR139" s="71"/>
      <c r="AS139" s="283"/>
    </row>
    <row r="140" spans="1:45" s="419" customFormat="1" x14ac:dyDescent="0.2">
      <c r="A140" s="464" t="s">
        <v>170</v>
      </c>
      <c r="B140" s="465">
        <f t="shared" ref="B140:AG140" si="63">B136+B139</f>
        <v>0</v>
      </c>
      <c r="C140" s="465">
        <f t="shared" si="63"/>
        <v>0</v>
      </c>
      <c r="D140" s="465">
        <f t="shared" si="63"/>
        <v>546459</v>
      </c>
      <c r="E140" s="465">
        <f t="shared" si="63"/>
        <v>1082200</v>
      </c>
      <c r="F140" s="465">
        <f t="shared" si="63"/>
        <v>0</v>
      </c>
      <c r="G140" s="465">
        <f t="shared" si="63"/>
        <v>0</v>
      </c>
      <c r="H140" s="465">
        <f t="shared" si="63"/>
        <v>0</v>
      </c>
      <c r="I140" s="465">
        <f t="shared" si="63"/>
        <v>0</v>
      </c>
      <c r="J140" s="465">
        <f t="shared" si="63"/>
        <v>0</v>
      </c>
      <c r="K140" s="465">
        <f t="shared" si="63"/>
        <v>0</v>
      </c>
      <c r="L140" s="465">
        <f t="shared" si="63"/>
        <v>0</v>
      </c>
      <c r="M140" s="465">
        <f t="shared" si="63"/>
        <v>0</v>
      </c>
      <c r="N140" s="465">
        <f t="shared" si="63"/>
        <v>0</v>
      </c>
      <c r="O140" s="465">
        <f t="shared" si="63"/>
        <v>0</v>
      </c>
      <c r="P140" s="465">
        <f t="shared" si="63"/>
        <v>0</v>
      </c>
      <c r="Q140" s="465">
        <f t="shared" si="63"/>
        <v>0</v>
      </c>
      <c r="R140" s="465">
        <f t="shared" si="63"/>
        <v>0</v>
      </c>
      <c r="S140" s="465">
        <f t="shared" si="63"/>
        <v>0</v>
      </c>
      <c r="T140" s="465">
        <f t="shared" si="63"/>
        <v>0</v>
      </c>
      <c r="U140" s="465">
        <f t="shared" si="63"/>
        <v>0</v>
      </c>
      <c r="V140" s="465">
        <f t="shared" si="63"/>
        <v>0</v>
      </c>
      <c r="W140" s="465">
        <f t="shared" si="63"/>
        <v>0</v>
      </c>
      <c r="X140" s="465">
        <f t="shared" si="63"/>
        <v>0</v>
      </c>
      <c r="Y140" s="465">
        <f t="shared" si="63"/>
        <v>0</v>
      </c>
      <c r="Z140" s="465">
        <f t="shared" si="63"/>
        <v>0</v>
      </c>
      <c r="AA140" s="465">
        <f t="shared" si="63"/>
        <v>0</v>
      </c>
      <c r="AB140" s="465">
        <f t="shared" si="63"/>
        <v>0</v>
      </c>
      <c r="AC140" s="465">
        <f t="shared" si="63"/>
        <v>0</v>
      </c>
      <c r="AD140" s="465">
        <f t="shared" si="63"/>
        <v>0</v>
      </c>
      <c r="AE140" s="465">
        <f t="shared" si="63"/>
        <v>0</v>
      </c>
      <c r="AF140" s="465">
        <f t="shared" si="63"/>
        <v>0</v>
      </c>
      <c r="AG140" s="465">
        <f t="shared" si="63"/>
        <v>0</v>
      </c>
      <c r="AH140" s="465">
        <f>AH136+AH139</f>
        <v>0</v>
      </c>
      <c r="AI140" s="465"/>
      <c r="AM140" s="535"/>
      <c r="AO140" s="283"/>
      <c r="AP140" s="71"/>
      <c r="AQ140" s="283"/>
      <c r="AR140" s="71"/>
      <c r="AS140" s="283"/>
    </row>
    <row r="141" spans="1:45" s="419" customFormat="1" x14ac:dyDescent="0.2">
      <c r="A141" s="424"/>
      <c r="B141" s="514"/>
      <c r="C141" s="514"/>
      <c r="D141" s="514"/>
      <c r="E141" s="514"/>
      <c r="F141" s="514"/>
      <c r="G141" s="514"/>
      <c r="H141" s="514"/>
      <c r="I141" s="514"/>
      <c r="J141" s="514"/>
      <c r="K141" s="514"/>
      <c r="L141" s="514"/>
      <c r="M141" s="514"/>
      <c r="N141" s="514"/>
      <c r="O141" s="514"/>
      <c r="P141" s="514"/>
      <c r="Q141" s="514"/>
      <c r="R141" s="514"/>
      <c r="S141" s="514"/>
      <c r="T141" s="514"/>
      <c r="U141" s="514"/>
      <c r="V141" s="514"/>
      <c r="W141" s="514"/>
      <c r="X141" s="514"/>
      <c r="Y141" s="514"/>
      <c r="Z141" s="514"/>
      <c r="AA141" s="514"/>
      <c r="AB141" s="514"/>
      <c r="AC141" s="514"/>
      <c r="AD141" s="514"/>
      <c r="AE141" s="514"/>
      <c r="AF141" s="514"/>
      <c r="AG141" s="514"/>
      <c r="AH141" s="514"/>
      <c r="AI141" s="514"/>
      <c r="AM141" s="535"/>
      <c r="AO141" s="283"/>
      <c r="AP141" s="71"/>
      <c r="AQ141" s="283"/>
      <c r="AR141" s="71"/>
      <c r="AS141" s="283"/>
    </row>
    <row r="142" spans="1:45" s="62" customFormat="1" ht="15.75" x14ac:dyDescent="0.2">
      <c r="A142" s="468" t="s">
        <v>455</v>
      </c>
      <c r="B142" s="469"/>
      <c r="C142" s="470"/>
      <c r="D142" s="470"/>
      <c r="E142" s="470"/>
      <c r="F142" s="445"/>
      <c r="G142" s="470"/>
      <c r="H142" s="470"/>
      <c r="I142" s="470"/>
      <c r="J142" s="470"/>
      <c r="K142" s="470"/>
      <c r="L142" s="470"/>
      <c r="M142" s="470"/>
      <c r="N142" s="470"/>
      <c r="O142" s="470"/>
      <c r="P142" s="470"/>
      <c r="Q142" s="470"/>
      <c r="R142" s="470"/>
      <c r="S142" s="470"/>
      <c r="T142" s="470"/>
      <c r="U142" s="470"/>
      <c r="V142" s="470"/>
      <c r="W142" s="470"/>
      <c r="X142" s="470"/>
      <c r="Y142" s="470"/>
      <c r="Z142" s="470"/>
      <c r="AA142" s="470"/>
      <c r="AB142" s="470"/>
      <c r="AC142" s="470"/>
      <c r="AD142" s="470"/>
      <c r="AE142" s="470"/>
      <c r="AF142" s="470"/>
      <c r="AG142" s="470"/>
      <c r="AH142" s="470"/>
      <c r="AI142" s="470"/>
      <c r="AM142" s="535"/>
      <c r="AO142" s="283"/>
      <c r="AP142" s="71"/>
      <c r="AQ142" s="283"/>
      <c r="AR142" s="71"/>
      <c r="AS142" s="283"/>
    </row>
    <row r="143" spans="1:45" s="62" customFormat="1" x14ac:dyDescent="0.2">
      <c r="A143" s="471"/>
      <c r="B143" s="275"/>
      <c r="C143" s="275"/>
      <c r="D143" s="275"/>
      <c r="E143" s="275"/>
      <c r="F143" s="437"/>
      <c r="G143" s="275"/>
      <c r="H143" s="275"/>
      <c r="I143" s="275"/>
      <c r="J143" s="275"/>
      <c r="K143" s="275"/>
      <c r="L143" s="275"/>
      <c r="M143" s="275" t="s">
        <v>21</v>
      </c>
      <c r="N143" s="275"/>
      <c r="O143" s="275"/>
      <c r="P143" s="275"/>
      <c r="Q143" s="275"/>
      <c r="R143" s="275"/>
      <c r="S143" s="275"/>
      <c r="T143" s="275"/>
      <c r="U143" s="422"/>
      <c r="V143" s="422"/>
      <c r="W143" s="422"/>
      <c r="X143" s="422"/>
      <c r="Y143" s="422"/>
      <c r="Z143" s="422"/>
      <c r="AA143" s="422"/>
      <c r="AB143" s="422"/>
      <c r="AC143" s="422"/>
      <c r="AD143" s="422"/>
      <c r="AE143" s="422"/>
      <c r="AF143" s="422"/>
      <c r="AG143" s="422"/>
      <c r="AH143" s="422"/>
      <c r="AI143" s="422"/>
      <c r="AM143" s="535"/>
      <c r="AO143" s="283"/>
      <c r="AP143" s="71"/>
      <c r="AQ143" s="283"/>
      <c r="AR143" s="71"/>
      <c r="AS143" s="283"/>
    </row>
    <row r="144" spans="1:45" s="62" customFormat="1" x14ac:dyDescent="0.2">
      <c r="A144" s="472"/>
      <c r="B144" s="473">
        <f>Aprekini!B5</f>
        <v>2014</v>
      </c>
      <c r="C144" s="473">
        <f t="shared" ref="C144:AG144" si="64">B144+1</f>
        <v>2015</v>
      </c>
      <c r="D144" s="473">
        <f t="shared" si="64"/>
        <v>2016</v>
      </c>
      <c r="E144" s="473">
        <f t="shared" si="64"/>
        <v>2017</v>
      </c>
      <c r="F144" s="460">
        <f t="shared" si="64"/>
        <v>2018</v>
      </c>
      <c r="G144" s="473">
        <f t="shared" si="64"/>
        <v>2019</v>
      </c>
      <c r="H144" s="473">
        <f t="shared" si="64"/>
        <v>2020</v>
      </c>
      <c r="I144" s="473">
        <f t="shared" si="64"/>
        <v>2021</v>
      </c>
      <c r="J144" s="473">
        <f t="shared" si="64"/>
        <v>2022</v>
      </c>
      <c r="K144" s="473">
        <f t="shared" si="64"/>
        <v>2023</v>
      </c>
      <c r="L144" s="473">
        <f t="shared" si="64"/>
        <v>2024</v>
      </c>
      <c r="M144" s="473">
        <f t="shared" si="64"/>
        <v>2025</v>
      </c>
      <c r="N144" s="473">
        <f t="shared" si="64"/>
        <v>2026</v>
      </c>
      <c r="O144" s="473">
        <f t="shared" si="64"/>
        <v>2027</v>
      </c>
      <c r="P144" s="473">
        <f t="shared" si="64"/>
        <v>2028</v>
      </c>
      <c r="Q144" s="473">
        <f t="shared" si="64"/>
        <v>2029</v>
      </c>
      <c r="R144" s="473">
        <f t="shared" si="64"/>
        <v>2030</v>
      </c>
      <c r="S144" s="473">
        <f t="shared" si="64"/>
        <v>2031</v>
      </c>
      <c r="T144" s="473">
        <f t="shared" si="64"/>
        <v>2032</v>
      </c>
      <c r="U144" s="473">
        <f t="shared" si="64"/>
        <v>2033</v>
      </c>
      <c r="V144" s="473">
        <f t="shared" si="64"/>
        <v>2034</v>
      </c>
      <c r="W144" s="473">
        <f t="shared" si="64"/>
        <v>2035</v>
      </c>
      <c r="X144" s="473">
        <f t="shared" si="64"/>
        <v>2036</v>
      </c>
      <c r="Y144" s="473">
        <f t="shared" si="64"/>
        <v>2037</v>
      </c>
      <c r="Z144" s="473">
        <f t="shared" si="64"/>
        <v>2038</v>
      </c>
      <c r="AA144" s="473">
        <f t="shared" si="64"/>
        <v>2039</v>
      </c>
      <c r="AB144" s="473">
        <f t="shared" si="64"/>
        <v>2040</v>
      </c>
      <c r="AC144" s="473">
        <f t="shared" si="64"/>
        <v>2041</v>
      </c>
      <c r="AD144" s="473">
        <f t="shared" si="64"/>
        <v>2042</v>
      </c>
      <c r="AE144" s="473">
        <f t="shared" si="64"/>
        <v>2043</v>
      </c>
      <c r="AF144" s="473">
        <f t="shared" si="64"/>
        <v>2044</v>
      </c>
      <c r="AG144" s="473">
        <f t="shared" si="64"/>
        <v>2045</v>
      </c>
      <c r="AH144" s="473">
        <f>AG144+1</f>
        <v>2046</v>
      </c>
      <c r="AI144" s="473"/>
      <c r="AM144" s="535"/>
      <c r="AO144" s="283"/>
      <c r="AP144" s="71"/>
      <c r="AQ144" s="283"/>
      <c r="AR144" s="71"/>
      <c r="AS144" s="283"/>
    </row>
    <row r="145" spans="1:45" s="62" customFormat="1" x14ac:dyDescent="0.2">
      <c r="A145" s="474" t="s">
        <v>172</v>
      </c>
      <c r="B145" s="780">
        <f ca="1">'Datu ievade'!B111</f>
        <v>0</v>
      </c>
      <c r="C145" s="780">
        <f ca="1">'Datu ievade'!C111</f>
        <v>0</v>
      </c>
      <c r="D145" s="780">
        <f ca="1">'Datu ievade'!D111</f>
        <v>289413.52</v>
      </c>
      <c r="E145" s="780">
        <f ca="1">'Datu ievade'!E111</f>
        <v>573150.62</v>
      </c>
      <c r="F145" s="780">
        <f ca="1">'Datu ievade'!F111</f>
        <v>0</v>
      </c>
      <c r="G145" s="780">
        <f ca="1">'Datu ievade'!G111</f>
        <v>0</v>
      </c>
      <c r="H145" s="780">
        <f>'Datu ievade'!H111</f>
        <v>0</v>
      </c>
      <c r="I145" s="780">
        <f>'Datu ievade'!I111</f>
        <v>0</v>
      </c>
      <c r="J145" s="780">
        <f>'Datu ievade'!J111</f>
        <v>0</v>
      </c>
      <c r="K145" s="780">
        <f>'Datu ievade'!K111</f>
        <v>0</v>
      </c>
      <c r="L145" s="780">
        <f>'Datu ievade'!L111</f>
        <v>0</v>
      </c>
      <c r="M145" s="780">
        <f>'Datu ievade'!M111</f>
        <v>0</v>
      </c>
      <c r="N145" s="780">
        <f>'Datu ievade'!N111</f>
        <v>0</v>
      </c>
      <c r="O145" s="780">
        <f>'Datu ievade'!O111</f>
        <v>0</v>
      </c>
      <c r="P145" s="780">
        <f>'Datu ievade'!P111</f>
        <v>0</v>
      </c>
      <c r="Q145" s="780">
        <f>'Datu ievade'!Q111</f>
        <v>0</v>
      </c>
      <c r="R145" s="780">
        <f>'Datu ievade'!R111</f>
        <v>0</v>
      </c>
      <c r="S145" s="780">
        <f>'Datu ievade'!S111</f>
        <v>0</v>
      </c>
      <c r="T145" s="780">
        <f>'Datu ievade'!T111</f>
        <v>0</v>
      </c>
      <c r="U145" s="780">
        <f>'Datu ievade'!U111</f>
        <v>0</v>
      </c>
      <c r="V145" s="780">
        <f>'Datu ievade'!V111</f>
        <v>0</v>
      </c>
      <c r="W145" s="780">
        <f>'Datu ievade'!W111</f>
        <v>0</v>
      </c>
      <c r="X145" s="780">
        <f>'Datu ievade'!X111</f>
        <v>0</v>
      </c>
      <c r="Y145" s="780">
        <f>'Datu ievade'!Y111</f>
        <v>0</v>
      </c>
      <c r="Z145" s="780">
        <f>'Datu ievade'!Z111</f>
        <v>0</v>
      </c>
      <c r="AA145" s="780">
        <f>'Datu ievade'!AA111</f>
        <v>0</v>
      </c>
      <c r="AB145" s="780">
        <f>'Datu ievade'!AB111</f>
        <v>0</v>
      </c>
      <c r="AC145" s="780">
        <f>'Datu ievade'!AC111</f>
        <v>0</v>
      </c>
      <c r="AD145" s="780">
        <f>'Datu ievade'!AD111</f>
        <v>0</v>
      </c>
      <c r="AE145" s="780">
        <f>'Datu ievade'!AE111</f>
        <v>0</v>
      </c>
      <c r="AF145" s="780">
        <f>'Datu ievade'!AF111</f>
        <v>0</v>
      </c>
      <c r="AG145" s="780">
        <f>'Datu ievade'!AG111</f>
        <v>0</v>
      </c>
      <c r="AH145" s="780">
        <f>'Datu ievade'!AH111</f>
        <v>0</v>
      </c>
      <c r="AI145" s="255"/>
      <c r="AM145" s="535"/>
      <c r="AO145" s="283"/>
      <c r="AP145" s="71"/>
      <c r="AQ145" s="283"/>
      <c r="AR145" s="71"/>
      <c r="AS145" s="283"/>
    </row>
    <row r="146" spans="1:45" s="62" customFormat="1" x14ac:dyDescent="0.2">
      <c r="A146" s="474" t="s">
        <v>173</v>
      </c>
      <c r="B146" s="475">
        <f>'Datu ievade'!B113</f>
        <v>0</v>
      </c>
      <c r="C146" s="475">
        <f>'Datu ievade'!C113</f>
        <v>0</v>
      </c>
      <c r="D146" s="475">
        <f>'Datu ievade'!D113</f>
        <v>0</v>
      </c>
      <c r="E146" s="475">
        <f>'Datu ievade'!E113</f>
        <v>0</v>
      </c>
      <c r="F146" s="475">
        <f>'Datu ievade'!F113</f>
        <v>0</v>
      </c>
      <c r="G146" s="475">
        <f>'Datu ievade'!G113</f>
        <v>0</v>
      </c>
      <c r="H146" s="475">
        <f>'Datu ievade'!H113</f>
        <v>0</v>
      </c>
      <c r="I146" s="475">
        <f>'Datu ievade'!I113</f>
        <v>0</v>
      </c>
      <c r="J146" s="475">
        <f>'Datu ievade'!J113</f>
        <v>0</v>
      </c>
      <c r="K146" s="475">
        <f>'Datu ievade'!K113</f>
        <v>0</v>
      </c>
      <c r="L146" s="475">
        <f>'Datu ievade'!L113</f>
        <v>0</v>
      </c>
      <c r="M146" s="475">
        <f>'Datu ievade'!M113</f>
        <v>0</v>
      </c>
      <c r="N146" s="475">
        <f>'Datu ievade'!N113</f>
        <v>0</v>
      </c>
      <c r="O146" s="475">
        <f>'Datu ievade'!O113</f>
        <v>0</v>
      </c>
      <c r="P146" s="475">
        <f>'Datu ievade'!P113</f>
        <v>0</v>
      </c>
      <c r="Q146" s="475">
        <f>'Datu ievade'!Q113</f>
        <v>0</v>
      </c>
      <c r="R146" s="475">
        <f>'Datu ievade'!R113</f>
        <v>0</v>
      </c>
      <c r="S146" s="475">
        <f>'Datu ievade'!S113</f>
        <v>0</v>
      </c>
      <c r="T146" s="475">
        <f>'Datu ievade'!T113</f>
        <v>0</v>
      </c>
      <c r="U146" s="475">
        <f>'Datu ievade'!U113</f>
        <v>0</v>
      </c>
      <c r="V146" s="475">
        <f>'Datu ievade'!V113</f>
        <v>0</v>
      </c>
      <c r="W146" s="475">
        <f>'Datu ievade'!W113</f>
        <v>0</v>
      </c>
      <c r="X146" s="475">
        <f>'Datu ievade'!X113</f>
        <v>0</v>
      </c>
      <c r="Y146" s="475">
        <f>'Datu ievade'!Y113</f>
        <v>0</v>
      </c>
      <c r="Z146" s="475">
        <f>'Datu ievade'!Z113</f>
        <v>0</v>
      </c>
      <c r="AA146" s="475">
        <f>'Datu ievade'!AA113</f>
        <v>0</v>
      </c>
      <c r="AB146" s="475">
        <f>'Datu ievade'!AB113</f>
        <v>0</v>
      </c>
      <c r="AC146" s="475">
        <f>'Datu ievade'!AC113</f>
        <v>0</v>
      </c>
      <c r="AD146" s="475">
        <f>'Datu ievade'!AD113</f>
        <v>0</v>
      </c>
      <c r="AE146" s="475">
        <f>'Datu ievade'!AE113</f>
        <v>0</v>
      </c>
      <c r="AF146" s="475">
        <f>'Datu ievade'!AF113</f>
        <v>0</v>
      </c>
      <c r="AG146" s="475">
        <f>'Datu ievade'!AG113</f>
        <v>0</v>
      </c>
      <c r="AH146" s="475">
        <f>'Datu ievade'!AH113</f>
        <v>0</v>
      </c>
      <c r="AI146" s="475"/>
      <c r="AM146" s="535"/>
      <c r="AO146" s="283"/>
      <c r="AP146" s="71"/>
      <c r="AQ146" s="283"/>
      <c r="AR146" s="71"/>
      <c r="AS146" s="283"/>
    </row>
    <row r="147" spans="1:45" s="62" customFormat="1" x14ac:dyDescent="0.2">
      <c r="A147" s="474" t="s">
        <v>174</v>
      </c>
      <c r="B147" s="475">
        <f>'Datu ievade'!B115</f>
        <v>0</v>
      </c>
      <c r="C147" s="475">
        <f>'Datu ievade'!C115</f>
        <v>0</v>
      </c>
      <c r="D147" s="475">
        <f>'Datu ievade'!D115</f>
        <v>0</v>
      </c>
      <c r="E147" s="475">
        <f>'Datu ievade'!E115</f>
        <v>0</v>
      </c>
      <c r="F147" s="475">
        <f>'Datu ievade'!F115</f>
        <v>0</v>
      </c>
      <c r="G147" s="475">
        <f>'Datu ievade'!G115</f>
        <v>0</v>
      </c>
      <c r="H147" s="475">
        <f>'Datu ievade'!H115</f>
        <v>0</v>
      </c>
      <c r="I147" s="475">
        <f>'Datu ievade'!I115</f>
        <v>0</v>
      </c>
      <c r="J147" s="475">
        <f>'Datu ievade'!J115</f>
        <v>0</v>
      </c>
      <c r="K147" s="475">
        <f>'Datu ievade'!K115</f>
        <v>0</v>
      </c>
      <c r="L147" s="475">
        <f>'Datu ievade'!L115</f>
        <v>0</v>
      </c>
      <c r="M147" s="475">
        <f>'Datu ievade'!M115</f>
        <v>0</v>
      </c>
      <c r="N147" s="475">
        <f>'Datu ievade'!N115</f>
        <v>0</v>
      </c>
      <c r="O147" s="475">
        <f>'Datu ievade'!O115</f>
        <v>0</v>
      </c>
      <c r="P147" s="475">
        <f>'Datu ievade'!P115</f>
        <v>0</v>
      </c>
      <c r="Q147" s="475">
        <f>'Datu ievade'!Q115</f>
        <v>0</v>
      </c>
      <c r="R147" s="475">
        <f>'Datu ievade'!R115</f>
        <v>0</v>
      </c>
      <c r="S147" s="475">
        <f>'Datu ievade'!S115</f>
        <v>0</v>
      </c>
      <c r="T147" s="475">
        <f>'Datu ievade'!T115</f>
        <v>0</v>
      </c>
      <c r="U147" s="475">
        <f>'Datu ievade'!U115</f>
        <v>0</v>
      </c>
      <c r="V147" s="475">
        <f>'Datu ievade'!V115</f>
        <v>0</v>
      </c>
      <c r="W147" s="475">
        <f>'Datu ievade'!W115</f>
        <v>0</v>
      </c>
      <c r="X147" s="475">
        <f>'Datu ievade'!X115</f>
        <v>0</v>
      </c>
      <c r="Y147" s="475">
        <f>'Datu ievade'!Y115</f>
        <v>0</v>
      </c>
      <c r="Z147" s="475">
        <f>'Datu ievade'!Z115</f>
        <v>0</v>
      </c>
      <c r="AA147" s="475">
        <f>'Datu ievade'!AA115</f>
        <v>0</v>
      </c>
      <c r="AB147" s="475">
        <f>'Datu ievade'!AB115</f>
        <v>0</v>
      </c>
      <c r="AC147" s="475">
        <f>'Datu ievade'!AC115</f>
        <v>0</v>
      </c>
      <c r="AD147" s="475">
        <f>'Datu ievade'!AD115</f>
        <v>0</v>
      </c>
      <c r="AE147" s="475">
        <f>'Datu ievade'!AE115</f>
        <v>0</v>
      </c>
      <c r="AF147" s="475">
        <f>'Datu ievade'!AF115</f>
        <v>0</v>
      </c>
      <c r="AG147" s="475">
        <f>'Datu ievade'!AG115</f>
        <v>0</v>
      </c>
      <c r="AH147" s="475">
        <f>'Datu ievade'!AH115</f>
        <v>0</v>
      </c>
      <c r="AI147" s="475"/>
      <c r="AM147" s="535"/>
      <c r="AO147" s="283"/>
      <c r="AP147" s="71"/>
      <c r="AQ147" s="283"/>
      <c r="AR147" s="71"/>
      <c r="AS147" s="283"/>
    </row>
    <row r="148" spans="1:45" s="62" customFormat="1" x14ac:dyDescent="0.2">
      <c r="A148" s="474" t="s">
        <v>175</v>
      </c>
      <c r="B148" s="475">
        <f>'Datu ievade'!B117</f>
        <v>0</v>
      </c>
      <c r="C148" s="475">
        <f>'Datu ievade'!C117</f>
        <v>0</v>
      </c>
      <c r="D148" s="475">
        <f>'Datu ievade'!D117</f>
        <v>0</v>
      </c>
      <c r="E148" s="475">
        <f>'Datu ievade'!E117</f>
        <v>0</v>
      </c>
      <c r="F148" s="475">
        <f>'Datu ievade'!F117</f>
        <v>0</v>
      </c>
      <c r="G148" s="475">
        <f>'Datu ievade'!G117</f>
        <v>0</v>
      </c>
      <c r="H148" s="475">
        <f>'Datu ievade'!H117</f>
        <v>0</v>
      </c>
      <c r="I148" s="475">
        <f>'Datu ievade'!I117</f>
        <v>0</v>
      </c>
      <c r="J148" s="475">
        <f>'Datu ievade'!J117</f>
        <v>0</v>
      </c>
      <c r="K148" s="475">
        <f>'Datu ievade'!K117</f>
        <v>0</v>
      </c>
      <c r="L148" s="475">
        <f>'Datu ievade'!L117</f>
        <v>0</v>
      </c>
      <c r="M148" s="475">
        <f>'Datu ievade'!M117</f>
        <v>0</v>
      </c>
      <c r="N148" s="475">
        <f>'Datu ievade'!N117</f>
        <v>0</v>
      </c>
      <c r="O148" s="475">
        <f>'Datu ievade'!O117</f>
        <v>0</v>
      </c>
      <c r="P148" s="475">
        <f>'Datu ievade'!P117</f>
        <v>0</v>
      </c>
      <c r="Q148" s="475">
        <f>'Datu ievade'!Q117</f>
        <v>0</v>
      </c>
      <c r="R148" s="475">
        <f>'Datu ievade'!R117</f>
        <v>0</v>
      </c>
      <c r="S148" s="475">
        <f>'Datu ievade'!S117</f>
        <v>0</v>
      </c>
      <c r="T148" s="475">
        <f>'Datu ievade'!T117</f>
        <v>0</v>
      </c>
      <c r="U148" s="475">
        <f>'Datu ievade'!U117</f>
        <v>0</v>
      </c>
      <c r="V148" s="475">
        <f>'Datu ievade'!V117</f>
        <v>0</v>
      </c>
      <c r="W148" s="475">
        <f>'Datu ievade'!W117</f>
        <v>0</v>
      </c>
      <c r="X148" s="475">
        <f>'Datu ievade'!X117</f>
        <v>0</v>
      </c>
      <c r="Y148" s="475">
        <f>'Datu ievade'!Y117</f>
        <v>0</v>
      </c>
      <c r="Z148" s="475">
        <f>'Datu ievade'!Z117</f>
        <v>0</v>
      </c>
      <c r="AA148" s="475">
        <f>'Datu ievade'!AA117</f>
        <v>0</v>
      </c>
      <c r="AB148" s="475">
        <f>'Datu ievade'!AB117</f>
        <v>0</v>
      </c>
      <c r="AC148" s="475">
        <f>'Datu ievade'!AC117</f>
        <v>0</v>
      </c>
      <c r="AD148" s="475">
        <f>'Datu ievade'!AD117</f>
        <v>0</v>
      </c>
      <c r="AE148" s="475">
        <f>'Datu ievade'!AE117</f>
        <v>0</v>
      </c>
      <c r="AF148" s="475">
        <f>'Datu ievade'!AF117</f>
        <v>0</v>
      </c>
      <c r="AG148" s="475">
        <f>'Datu ievade'!AG117</f>
        <v>0</v>
      </c>
      <c r="AH148" s="475">
        <f>'Datu ievade'!AH117</f>
        <v>0</v>
      </c>
      <c r="AI148" s="475"/>
      <c r="AM148" s="535"/>
      <c r="AO148" s="283"/>
      <c r="AP148" s="71"/>
      <c r="AQ148" s="283"/>
      <c r="AR148" s="71"/>
      <c r="AS148" s="283"/>
    </row>
    <row r="149" spans="1:45" s="62" customFormat="1" x14ac:dyDescent="0.2">
      <c r="A149" s="474" t="s">
        <v>176</v>
      </c>
      <c r="B149" s="475">
        <f ca="1">'Datu ievade'!B136</f>
        <v>0</v>
      </c>
      <c r="C149" s="475">
        <f ca="1">'Datu ievade'!C136</f>
        <v>0</v>
      </c>
      <c r="D149" s="475">
        <f ca="1">'Datu ievade'!D136</f>
        <v>0</v>
      </c>
      <c r="E149" s="475">
        <f ca="1">'Datu ievade'!E136</f>
        <v>0</v>
      </c>
      <c r="F149" s="463">
        <f ca="1">'Datu ievade'!F136</f>
        <v>0</v>
      </c>
      <c r="G149" s="475">
        <f ca="1">'Datu ievade'!G136</f>
        <v>0</v>
      </c>
      <c r="H149" s="475">
        <v>0</v>
      </c>
      <c r="I149" s="475">
        <f>'Datu ievade'!I136</f>
        <v>0</v>
      </c>
      <c r="J149" s="475">
        <f>'Datu ievade'!J136</f>
        <v>0</v>
      </c>
      <c r="K149" s="475">
        <f>'Datu ievade'!K136</f>
        <v>0</v>
      </c>
      <c r="L149" s="475">
        <f>'Datu ievade'!L136</f>
        <v>0</v>
      </c>
      <c r="M149" s="475">
        <f>'Datu ievade'!M136</f>
        <v>0</v>
      </c>
      <c r="N149" s="475">
        <f>'Datu ievade'!N136</f>
        <v>0</v>
      </c>
      <c r="O149" s="475">
        <f>'Datu ievade'!O136</f>
        <v>0</v>
      </c>
      <c r="P149" s="475">
        <f>'Datu ievade'!P136</f>
        <v>0</v>
      </c>
      <c r="Q149" s="475">
        <f>'Datu ievade'!Q136</f>
        <v>0</v>
      </c>
      <c r="R149" s="475">
        <f>'Datu ievade'!R136</f>
        <v>0</v>
      </c>
      <c r="S149" s="475">
        <f>'Datu ievade'!S136</f>
        <v>0</v>
      </c>
      <c r="T149" s="475">
        <f>'Datu ievade'!T136</f>
        <v>0</v>
      </c>
      <c r="U149" s="475">
        <f>'Datu ievade'!U136</f>
        <v>0</v>
      </c>
      <c r="V149" s="475">
        <f>'Datu ievade'!V136</f>
        <v>0</v>
      </c>
      <c r="W149" s="475">
        <f>'Datu ievade'!W136</f>
        <v>0</v>
      </c>
      <c r="X149" s="475">
        <f>'Datu ievade'!X136</f>
        <v>0</v>
      </c>
      <c r="Y149" s="475">
        <f>'Datu ievade'!Y136</f>
        <v>0</v>
      </c>
      <c r="Z149" s="475">
        <f>'Datu ievade'!Z136</f>
        <v>0</v>
      </c>
      <c r="AA149" s="475">
        <f>'Datu ievade'!AA136</f>
        <v>0</v>
      </c>
      <c r="AB149" s="475">
        <f>'Datu ievade'!AB136</f>
        <v>0</v>
      </c>
      <c r="AC149" s="475">
        <f>'Datu ievade'!AC136</f>
        <v>0</v>
      </c>
      <c r="AD149" s="475">
        <f>'Datu ievade'!AD136</f>
        <v>0</v>
      </c>
      <c r="AE149" s="475">
        <f>'Datu ievade'!AE136</f>
        <v>0</v>
      </c>
      <c r="AF149" s="475">
        <f>'Datu ievade'!AF136</f>
        <v>0</v>
      </c>
      <c r="AG149" s="475">
        <f>'Datu ievade'!AG136</f>
        <v>0</v>
      </c>
      <c r="AH149" s="475">
        <f>'Datu ievade'!AH136</f>
        <v>0</v>
      </c>
      <c r="AI149" s="475"/>
      <c r="AM149" s="535"/>
      <c r="AO149" s="283"/>
      <c r="AP149" s="71"/>
      <c r="AQ149" s="283"/>
      <c r="AR149" s="71"/>
      <c r="AS149" s="283"/>
    </row>
    <row r="150" spans="1:45" s="62" customFormat="1" x14ac:dyDescent="0.2">
      <c r="A150" s="474" t="s">
        <v>177</v>
      </c>
      <c r="B150" s="475">
        <f>'Datu ievade'!B120</f>
        <v>0</v>
      </c>
      <c r="C150" s="475">
        <f>'Datu ievade'!C120</f>
        <v>0</v>
      </c>
      <c r="D150" s="475">
        <f>'Datu ievade'!D120</f>
        <v>0</v>
      </c>
      <c r="E150" s="475">
        <f>'Datu ievade'!E120</f>
        <v>0</v>
      </c>
      <c r="F150" s="475">
        <f>'Datu ievade'!F120</f>
        <v>0</v>
      </c>
      <c r="G150" s="475">
        <f>'Datu ievade'!G120</f>
        <v>0</v>
      </c>
      <c r="H150" s="475">
        <f>'Datu ievade'!H120</f>
        <v>0</v>
      </c>
      <c r="I150" s="475">
        <f>'Datu ievade'!I120</f>
        <v>0</v>
      </c>
      <c r="J150" s="475">
        <f>'Datu ievade'!J120</f>
        <v>0</v>
      </c>
      <c r="K150" s="475">
        <f>'Datu ievade'!K120</f>
        <v>0</v>
      </c>
      <c r="L150" s="475">
        <f>'Datu ievade'!L120</f>
        <v>0</v>
      </c>
      <c r="M150" s="475">
        <f>'Datu ievade'!M120</f>
        <v>0</v>
      </c>
      <c r="N150" s="475">
        <f>'Datu ievade'!N120</f>
        <v>0</v>
      </c>
      <c r="O150" s="475">
        <f>'Datu ievade'!O120</f>
        <v>0</v>
      </c>
      <c r="P150" s="475">
        <f>'Datu ievade'!P120</f>
        <v>0</v>
      </c>
      <c r="Q150" s="475">
        <f>'Datu ievade'!Q120</f>
        <v>0</v>
      </c>
      <c r="R150" s="475">
        <f>'Datu ievade'!R120</f>
        <v>0</v>
      </c>
      <c r="S150" s="475">
        <f>'Datu ievade'!S120</f>
        <v>0</v>
      </c>
      <c r="T150" s="475">
        <f>'Datu ievade'!T120</f>
        <v>0</v>
      </c>
      <c r="U150" s="475">
        <f>'Datu ievade'!U120</f>
        <v>0</v>
      </c>
      <c r="V150" s="475">
        <f>'Datu ievade'!V120</f>
        <v>0</v>
      </c>
      <c r="W150" s="475">
        <f>'Datu ievade'!W120</f>
        <v>0</v>
      </c>
      <c r="X150" s="475">
        <f>'Datu ievade'!X120</f>
        <v>0</v>
      </c>
      <c r="Y150" s="475">
        <f>'Datu ievade'!Y120</f>
        <v>0</v>
      </c>
      <c r="Z150" s="475">
        <f>'Datu ievade'!Z120</f>
        <v>0</v>
      </c>
      <c r="AA150" s="475">
        <f>'Datu ievade'!AA120</f>
        <v>0</v>
      </c>
      <c r="AB150" s="475">
        <f>'Datu ievade'!AB120</f>
        <v>0</v>
      </c>
      <c r="AC150" s="475">
        <f>'Datu ievade'!AC120</f>
        <v>0</v>
      </c>
      <c r="AD150" s="475">
        <f>'Datu ievade'!AD120</f>
        <v>0</v>
      </c>
      <c r="AE150" s="475">
        <f>'Datu ievade'!AE120</f>
        <v>0</v>
      </c>
      <c r="AF150" s="475">
        <f>'Datu ievade'!AF120</f>
        <v>0</v>
      </c>
      <c r="AG150" s="475">
        <f>'Datu ievade'!AG120</f>
        <v>0</v>
      </c>
      <c r="AH150" s="475">
        <f>'Datu ievade'!AH120</f>
        <v>0</v>
      </c>
      <c r="AI150" s="475"/>
      <c r="AM150" s="535"/>
      <c r="AO150" s="283"/>
      <c r="AP150" s="71"/>
      <c r="AQ150" s="283"/>
      <c r="AR150" s="71"/>
      <c r="AS150" s="283"/>
    </row>
    <row r="151" spans="1:45" s="62" customFormat="1" x14ac:dyDescent="0.2">
      <c r="A151" s="476" t="s">
        <v>178</v>
      </c>
      <c r="B151" s="477">
        <f t="shared" ref="B151:AG151" ca="1" si="65">SUM(B145:B150)</f>
        <v>0</v>
      </c>
      <c r="C151" s="477">
        <f t="shared" ca="1" si="65"/>
        <v>0</v>
      </c>
      <c r="D151" s="477">
        <f t="shared" ca="1" si="65"/>
        <v>289413.52</v>
      </c>
      <c r="E151" s="477">
        <f t="shared" ca="1" si="65"/>
        <v>573150.62</v>
      </c>
      <c r="F151" s="465">
        <f t="shared" ca="1" si="65"/>
        <v>0</v>
      </c>
      <c r="G151" s="477">
        <f t="shared" ca="1" si="65"/>
        <v>0</v>
      </c>
      <c r="H151" s="477">
        <v>0</v>
      </c>
      <c r="I151" s="477">
        <f t="shared" si="65"/>
        <v>0</v>
      </c>
      <c r="J151" s="477">
        <f t="shared" si="65"/>
        <v>0</v>
      </c>
      <c r="K151" s="477">
        <f t="shared" si="65"/>
        <v>0</v>
      </c>
      <c r="L151" s="477">
        <f t="shared" si="65"/>
        <v>0</v>
      </c>
      <c r="M151" s="477">
        <f t="shared" si="65"/>
        <v>0</v>
      </c>
      <c r="N151" s="477">
        <f t="shared" si="65"/>
        <v>0</v>
      </c>
      <c r="O151" s="477">
        <f t="shared" si="65"/>
        <v>0</v>
      </c>
      <c r="P151" s="477">
        <f t="shared" si="65"/>
        <v>0</v>
      </c>
      <c r="Q151" s="477">
        <f t="shared" si="65"/>
        <v>0</v>
      </c>
      <c r="R151" s="477">
        <f t="shared" si="65"/>
        <v>0</v>
      </c>
      <c r="S151" s="477">
        <f t="shared" si="65"/>
        <v>0</v>
      </c>
      <c r="T151" s="477">
        <f t="shared" si="65"/>
        <v>0</v>
      </c>
      <c r="U151" s="477">
        <f t="shared" si="65"/>
        <v>0</v>
      </c>
      <c r="V151" s="477">
        <f t="shared" si="65"/>
        <v>0</v>
      </c>
      <c r="W151" s="477">
        <f t="shared" si="65"/>
        <v>0</v>
      </c>
      <c r="X151" s="477">
        <f t="shared" si="65"/>
        <v>0</v>
      </c>
      <c r="Y151" s="477">
        <f t="shared" si="65"/>
        <v>0</v>
      </c>
      <c r="Z151" s="477">
        <f t="shared" si="65"/>
        <v>0</v>
      </c>
      <c r="AA151" s="477">
        <f t="shared" si="65"/>
        <v>0</v>
      </c>
      <c r="AB151" s="477">
        <f t="shared" si="65"/>
        <v>0</v>
      </c>
      <c r="AC151" s="477">
        <f t="shared" si="65"/>
        <v>0</v>
      </c>
      <c r="AD151" s="477">
        <f t="shared" si="65"/>
        <v>0</v>
      </c>
      <c r="AE151" s="477">
        <f t="shared" si="65"/>
        <v>0</v>
      </c>
      <c r="AF151" s="477">
        <f t="shared" si="65"/>
        <v>0</v>
      </c>
      <c r="AG151" s="477">
        <f t="shared" si="65"/>
        <v>0</v>
      </c>
      <c r="AH151" s="477">
        <f>SUM(AH145:AH150)</f>
        <v>0</v>
      </c>
      <c r="AI151" s="477"/>
      <c r="AM151" s="535"/>
      <c r="AO151" s="283"/>
      <c r="AP151" s="71"/>
      <c r="AQ151" s="283"/>
      <c r="AR151" s="71"/>
      <c r="AS151" s="283"/>
    </row>
    <row r="152" spans="1:45" s="62" customFormat="1" x14ac:dyDescent="0.2">
      <c r="A152" s="476" t="s">
        <v>179</v>
      </c>
      <c r="B152" s="477">
        <f ca="1">B145+B147+B149+B150</f>
        <v>0</v>
      </c>
      <c r="C152" s="477">
        <f t="shared" ref="C152:AG152" ca="1" si="66">C145+C147+C149+C150</f>
        <v>0</v>
      </c>
      <c r="D152" s="477">
        <f t="shared" ca="1" si="66"/>
        <v>289413.52</v>
      </c>
      <c r="E152" s="477">
        <f t="shared" ca="1" si="66"/>
        <v>573150.62</v>
      </c>
      <c r="F152" s="465">
        <f t="shared" ca="1" si="66"/>
        <v>0</v>
      </c>
      <c r="G152" s="477">
        <f t="shared" ca="1" si="66"/>
        <v>0</v>
      </c>
      <c r="H152" s="477">
        <v>0</v>
      </c>
      <c r="I152" s="477">
        <f t="shared" si="66"/>
        <v>0</v>
      </c>
      <c r="J152" s="477">
        <f t="shared" si="66"/>
        <v>0</v>
      </c>
      <c r="K152" s="477">
        <f t="shared" si="66"/>
        <v>0</v>
      </c>
      <c r="L152" s="477">
        <f t="shared" si="66"/>
        <v>0</v>
      </c>
      <c r="M152" s="477">
        <f t="shared" si="66"/>
        <v>0</v>
      </c>
      <c r="N152" s="477">
        <f t="shared" si="66"/>
        <v>0</v>
      </c>
      <c r="O152" s="477">
        <f t="shared" si="66"/>
        <v>0</v>
      </c>
      <c r="P152" s="477">
        <f t="shared" si="66"/>
        <v>0</v>
      </c>
      <c r="Q152" s="477">
        <f t="shared" si="66"/>
        <v>0</v>
      </c>
      <c r="R152" s="477">
        <f t="shared" si="66"/>
        <v>0</v>
      </c>
      <c r="S152" s="477">
        <f t="shared" si="66"/>
        <v>0</v>
      </c>
      <c r="T152" s="477">
        <f t="shared" si="66"/>
        <v>0</v>
      </c>
      <c r="U152" s="477">
        <f t="shared" si="66"/>
        <v>0</v>
      </c>
      <c r="V152" s="477">
        <f t="shared" si="66"/>
        <v>0</v>
      </c>
      <c r="W152" s="477">
        <f t="shared" si="66"/>
        <v>0</v>
      </c>
      <c r="X152" s="477">
        <f t="shared" si="66"/>
        <v>0</v>
      </c>
      <c r="Y152" s="477">
        <f t="shared" si="66"/>
        <v>0</v>
      </c>
      <c r="Z152" s="477">
        <f t="shared" si="66"/>
        <v>0</v>
      </c>
      <c r="AA152" s="477">
        <f t="shared" si="66"/>
        <v>0</v>
      </c>
      <c r="AB152" s="477">
        <f t="shared" si="66"/>
        <v>0</v>
      </c>
      <c r="AC152" s="477">
        <f t="shared" si="66"/>
        <v>0</v>
      </c>
      <c r="AD152" s="477">
        <f t="shared" si="66"/>
        <v>0</v>
      </c>
      <c r="AE152" s="477">
        <f t="shared" si="66"/>
        <v>0</v>
      </c>
      <c r="AF152" s="477">
        <f t="shared" si="66"/>
        <v>0</v>
      </c>
      <c r="AG152" s="477">
        <f t="shared" si="66"/>
        <v>0</v>
      </c>
      <c r="AH152" s="477">
        <f>AH145+AH147+AH149+AH150</f>
        <v>0</v>
      </c>
      <c r="AI152" s="477"/>
      <c r="AM152" s="535"/>
      <c r="AO152" s="283"/>
      <c r="AP152" s="71"/>
      <c r="AQ152" s="283"/>
      <c r="AR152" s="71"/>
      <c r="AS152" s="283"/>
    </row>
    <row r="153" spans="1:45" s="62" customFormat="1" x14ac:dyDescent="0.2">
      <c r="A153" s="474" t="s">
        <v>369</v>
      </c>
      <c r="B153" s="475">
        <f ca="1">'Datu ievade'!B138</f>
        <v>0</v>
      </c>
      <c r="C153" s="475">
        <f ca="1">'Datu ievade'!C138</f>
        <v>0</v>
      </c>
      <c r="D153" s="463">
        <f ca="1">'Datu ievade'!D138</f>
        <v>250873.37754615597</v>
      </c>
      <c r="E153" s="463">
        <f ca="1">'Datu ievade'!E138</f>
        <v>515221.47612242959</v>
      </c>
      <c r="F153" s="463">
        <f ca="1">'Datu ievade'!F138</f>
        <v>0</v>
      </c>
      <c r="G153" s="463">
        <f ca="1">'Datu ievade'!G138</f>
        <v>0</v>
      </c>
      <c r="H153" s="475">
        <v>0</v>
      </c>
      <c r="I153" s="475">
        <f>'Datu ievade'!I138</f>
        <v>0</v>
      </c>
      <c r="J153" s="475">
        <f>'Datu ievade'!J138</f>
        <v>0</v>
      </c>
      <c r="K153" s="475">
        <f>'Datu ievade'!K138</f>
        <v>0</v>
      </c>
      <c r="L153" s="475">
        <f>'Datu ievade'!L138</f>
        <v>0</v>
      </c>
      <c r="M153" s="475">
        <f>'Datu ievade'!M138</f>
        <v>0</v>
      </c>
      <c r="N153" s="475">
        <f>'Datu ievade'!N138</f>
        <v>0</v>
      </c>
      <c r="O153" s="475">
        <f>'Datu ievade'!O138</f>
        <v>0</v>
      </c>
      <c r="P153" s="475">
        <f>'Datu ievade'!P138</f>
        <v>0</v>
      </c>
      <c r="Q153" s="475">
        <f>'Datu ievade'!Q138</f>
        <v>0</v>
      </c>
      <c r="R153" s="475">
        <f>'Datu ievade'!R138</f>
        <v>0</v>
      </c>
      <c r="S153" s="475">
        <f>'Datu ievade'!S138</f>
        <v>0</v>
      </c>
      <c r="T153" s="475">
        <f>'Datu ievade'!T138</f>
        <v>0</v>
      </c>
      <c r="U153" s="475">
        <f>'Datu ievade'!U138</f>
        <v>0</v>
      </c>
      <c r="V153" s="475">
        <f>'Datu ievade'!V138</f>
        <v>0</v>
      </c>
      <c r="W153" s="475">
        <f>'Datu ievade'!W138</f>
        <v>0</v>
      </c>
      <c r="X153" s="475">
        <f>'Datu ievade'!X138</f>
        <v>0</v>
      </c>
      <c r="Y153" s="475">
        <f>'Datu ievade'!Y138</f>
        <v>0</v>
      </c>
      <c r="Z153" s="475">
        <f>'Datu ievade'!Z138</f>
        <v>0</v>
      </c>
      <c r="AA153" s="475">
        <f>'Datu ievade'!AA138</f>
        <v>0</v>
      </c>
      <c r="AB153" s="475">
        <f>'Datu ievade'!AB138</f>
        <v>0</v>
      </c>
      <c r="AC153" s="475">
        <f>'Datu ievade'!AC138</f>
        <v>0</v>
      </c>
      <c r="AD153" s="475">
        <f>'Datu ievade'!AD138</f>
        <v>0</v>
      </c>
      <c r="AE153" s="475">
        <f>'Datu ievade'!AE138</f>
        <v>0</v>
      </c>
      <c r="AF153" s="475">
        <f>'Datu ievade'!AF138</f>
        <v>0</v>
      </c>
      <c r="AG153" s="475">
        <f>'Datu ievade'!AG138</f>
        <v>0</v>
      </c>
      <c r="AH153" s="475">
        <f>'Datu ievade'!AH138</f>
        <v>0</v>
      </c>
      <c r="AI153" s="475"/>
      <c r="AM153" s="535"/>
      <c r="AO153" s="283"/>
      <c r="AP153" s="71"/>
      <c r="AQ153" s="283"/>
      <c r="AR153" s="71"/>
      <c r="AS153" s="283"/>
    </row>
    <row r="154" spans="1:45" s="62" customFormat="1" x14ac:dyDescent="0.2">
      <c r="A154" s="476" t="s">
        <v>180</v>
      </c>
      <c r="B154" s="477">
        <f t="shared" ref="B154:AG154" ca="1" si="67">B151+B153</f>
        <v>0</v>
      </c>
      <c r="C154" s="465">
        <f t="shared" ca="1" si="67"/>
        <v>0</v>
      </c>
      <c r="D154" s="465">
        <f t="shared" ca="1" si="67"/>
        <v>540286.89754615596</v>
      </c>
      <c r="E154" s="465">
        <f t="shared" ca="1" si="67"/>
        <v>1088372.0961224297</v>
      </c>
      <c r="F154" s="465">
        <f t="shared" ca="1" si="67"/>
        <v>0</v>
      </c>
      <c r="G154" s="465">
        <f t="shared" ca="1" si="67"/>
        <v>0</v>
      </c>
      <c r="H154" s="477">
        <v>0</v>
      </c>
      <c r="I154" s="477">
        <f t="shared" si="67"/>
        <v>0</v>
      </c>
      <c r="J154" s="477">
        <f t="shared" si="67"/>
        <v>0</v>
      </c>
      <c r="K154" s="477">
        <f t="shared" si="67"/>
        <v>0</v>
      </c>
      <c r="L154" s="477">
        <f t="shared" si="67"/>
        <v>0</v>
      </c>
      <c r="M154" s="477">
        <f t="shared" si="67"/>
        <v>0</v>
      </c>
      <c r="N154" s="477">
        <f t="shared" si="67"/>
        <v>0</v>
      </c>
      <c r="O154" s="477">
        <f t="shared" si="67"/>
        <v>0</v>
      </c>
      <c r="P154" s="477">
        <f t="shared" si="67"/>
        <v>0</v>
      </c>
      <c r="Q154" s="477">
        <f t="shared" si="67"/>
        <v>0</v>
      </c>
      <c r="R154" s="477">
        <f t="shared" si="67"/>
        <v>0</v>
      </c>
      <c r="S154" s="477">
        <f t="shared" si="67"/>
        <v>0</v>
      </c>
      <c r="T154" s="477">
        <f t="shared" si="67"/>
        <v>0</v>
      </c>
      <c r="U154" s="477">
        <f t="shared" si="67"/>
        <v>0</v>
      </c>
      <c r="V154" s="477">
        <f t="shared" si="67"/>
        <v>0</v>
      </c>
      <c r="W154" s="477">
        <f t="shared" si="67"/>
        <v>0</v>
      </c>
      <c r="X154" s="477">
        <f t="shared" si="67"/>
        <v>0</v>
      </c>
      <c r="Y154" s="477">
        <f t="shared" si="67"/>
        <v>0</v>
      </c>
      <c r="Z154" s="477">
        <f t="shared" si="67"/>
        <v>0</v>
      </c>
      <c r="AA154" s="477">
        <f t="shared" si="67"/>
        <v>0</v>
      </c>
      <c r="AB154" s="477">
        <f t="shared" si="67"/>
        <v>0</v>
      </c>
      <c r="AC154" s="477">
        <f t="shared" si="67"/>
        <v>0</v>
      </c>
      <c r="AD154" s="477">
        <f t="shared" si="67"/>
        <v>0</v>
      </c>
      <c r="AE154" s="477">
        <f t="shared" si="67"/>
        <v>0</v>
      </c>
      <c r="AF154" s="477">
        <f t="shared" si="67"/>
        <v>0</v>
      </c>
      <c r="AG154" s="477">
        <f t="shared" si="67"/>
        <v>0</v>
      </c>
      <c r="AH154" s="477">
        <f>AH151+AH153</f>
        <v>0</v>
      </c>
      <c r="AI154" s="477"/>
      <c r="AM154" s="535"/>
      <c r="AO154" s="283"/>
      <c r="AP154" s="71"/>
      <c r="AQ154" s="283"/>
      <c r="AR154" s="71"/>
      <c r="AS154" s="283"/>
    </row>
    <row r="155" spans="1:45" s="419" customFormat="1" x14ac:dyDescent="0.2">
      <c r="AM155" s="535"/>
      <c r="AO155" s="283"/>
      <c r="AP155" s="71"/>
      <c r="AQ155" s="283"/>
      <c r="AR155" s="71"/>
      <c r="AS155" s="283"/>
    </row>
    <row r="156" spans="1:45" s="419" customFormat="1" hidden="1" outlineLevel="1" x14ac:dyDescent="0.2">
      <c r="A156" s="419" t="s">
        <v>181</v>
      </c>
      <c r="B156" s="478">
        <f ca="1">IF('Datu ievade'!$B$365='Datu ievade'!$B$367,1,SUM(B153:F153)/SUM(B154:F154))</f>
        <v>0.47038382905616249</v>
      </c>
      <c r="D156" s="479"/>
      <c r="AM156" s="535"/>
      <c r="AO156" s="283"/>
      <c r="AP156" s="71"/>
      <c r="AQ156" s="283"/>
      <c r="AR156" s="71"/>
      <c r="AS156" s="283"/>
    </row>
    <row r="157" spans="1:45" s="419" customFormat="1" hidden="1" outlineLevel="1" x14ac:dyDescent="0.2">
      <c r="A157" s="419" t="s">
        <v>182</v>
      </c>
      <c r="B157" s="478">
        <f ca="1">IF('Datu ievade'!$B$365='Datu ievade'!$B$367,1,SUM(B149:F149)/SUM(B154:F154))</f>
        <v>0</v>
      </c>
      <c r="AM157" s="535"/>
      <c r="AO157" s="283"/>
      <c r="AP157" s="71"/>
      <c r="AQ157" s="283"/>
      <c r="AR157" s="71"/>
      <c r="AS157" s="283"/>
    </row>
    <row r="158" spans="1:45" s="419" customFormat="1" hidden="1" outlineLevel="1" x14ac:dyDescent="0.2">
      <c r="A158" s="419" t="s">
        <v>183</v>
      </c>
      <c r="B158" s="480">
        <f ca="1">B157+B156</f>
        <v>0.47038382905616249</v>
      </c>
      <c r="AM158" s="535"/>
      <c r="AO158" s="283"/>
      <c r="AP158" s="71"/>
      <c r="AQ158" s="283"/>
      <c r="AR158" s="71"/>
      <c r="AS158" s="283"/>
    </row>
    <row r="159" spans="1:45" s="419" customFormat="1" collapsed="1" x14ac:dyDescent="0.2">
      <c r="AM159" s="535"/>
      <c r="AO159" s="283"/>
      <c r="AP159" s="71"/>
      <c r="AQ159" s="283"/>
      <c r="AR159" s="71"/>
      <c r="AS159" s="283"/>
    </row>
    <row r="160" spans="1:45" s="419" customFormat="1" x14ac:dyDescent="0.2">
      <c r="AM160" s="535"/>
      <c r="AO160" s="283"/>
      <c r="AP160" s="71"/>
      <c r="AQ160" s="283"/>
      <c r="AR160" s="71"/>
      <c r="AS160" s="283"/>
    </row>
    <row r="161" spans="1:253" s="419" customFormat="1" ht="31.5" x14ac:dyDescent="0.2">
      <c r="A161" s="453" t="s">
        <v>456</v>
      </c>
      <c r="B161" s="455"/>
      <c r="C161" s="455"/>
      <c r="D161" s="455"/>
      <c r="E161" s="455"/>
      <c r="F161" s="455"/>
      <c r="G161" s="455"/>
      <c r="H161" s="455"/>
      <c r="I161" s="455"/>
      <c r="J161" s="455"/>
      <c r="K161" s="455"/>
      <c r="L161" s="455"/>
      <c r="M161" s="455"/>
      <c r="N161" s="455"/>
      <c r="O161" s="455"/>
      <c r="P161" s="456"/>
      <c r="Q161" s="456"/>
      <c r="R161" s="456"/>
      <c r="S161" s="456"/>
      <c r="T161" s="456"/>
      <c r="U161" s="456"/>
      <c r="V161" s="456"/>
      <c r="W161" s="456"/>
      <c r="X161" s="456"/>
      <c r="Y161" s="456"/>
      <c r="Z161" s="456"/>
      <c r="AA161" s="456"/>
      <c r="AB161" s="456"/>
      <c r="AC161" s="456"/>
      <c r="AD161" s="456"/>
      <c r="AE161" s="456"/>
      <c r="AF161" s="456"/>
      <c r="AG161" s="456"/>
      <c r="AH161" s="456"/>
      <c r="AI161" s="456"/>
      <c r="AJ161" s="260"/>
      <c r="AK161" s="260"/>
      <c r="AL161" s="260"/>
      <c r="AM161" s="535"/>
      <c r="AN161" s="260"/>
      <c r="AO161" s="283"/>
      <c r="AP161" s="71"/>
      <c r="AQ161" s="283"/>
      <c r="AR161" s="71"/>
      <c r="AS161" s="283"/>
      <c r="AT161" s="260"/>
      <c r="AU161" s="260"/>
      <c r="AV161" s="260"/>
      <c r="AW161" s="260"/>
      <c r="AX161" s="260"/>
      <c r="AY161" s="260"/>
      <c r="AZ161" s="260"/>
      <c r="BA161" s="260"/>
      <c r="BB161" s="260"/>
      <c r="BC161" s="260"/>
      <c r="BD161" s="260"/>
      <c r="BE161" s="260"/>
      <c r="BF161" s="260"/>
      <c r="BG161" s="260"/>
      <c r="BH161" s="260"/>
      <c r="BI161" s="260"/>
      <c r="BJ161" s="260"/>
      <c r="BK161" s="260"/>
      <c r="BL161" s="260"/>
      <c r="BM161" s="260"/>
      <c r="BN161" s="260"/>
      <c r="BO161" s="260"/>
      <c r="BP161" s="260"/>
      <c r="BQ161" s="260"/>
      <c r="BR161" s="260"/>
      <c r="BS161" s="260"/>
      <c r="BT161" s="260"/>
      <c r="BU161" s="260"/>
      <c r="BV161" s="260"/>
      <c r="BW161" s="260"/>
      <c r="BX161" s="260"/>
      <c r="BY161" s="260"/>
      <c r="BZ161" s="260"/>
      <c r="CA161" s="260"/>
      <c r="CB161" s="260"/>
      <c r="CC161" s="260"/>
      <c r="CD161" s="260"/>
      <c r="CE161" s="260"/>
      <c r="CF161" s="260"/>
      <c r="CG161" s="260"/>
      <c r="CH161" s="260"/>
      <c r="CI161" s="260"/>
      <c r="CJ161" s="260"/>
      <c r="CK161" s="260"/>
      <c r="CL161" s="260"/>
      <c r="CM161" s="260"/>
      <c r="CN161" s="260"/>
      <c r="CO161" s="260"/>
      <c r="CP161" s="260"/>
      <c r="CQ161" s="260"/>
      <c r="CR161" s="260"/>
      <c r="CS161" s="260"/>
      <c r="CT161" s="260"/>
      <c r="CU161" s="260"/>
      <c r="CV161" s="260"/>
      <c r="CW161" s="260"/>
      <c r="CX161" s="260"/>
      <c r="CY161" s="260"/>
      <c r="CZ161" s="260"/>
      <c r="DA161" s="260"/>
      <c r="DB161" s="260"/>
      <c r="DC161" s="260"/>
      <c r="DD161" s="260"/>
      <c r="DE161" s="260"/>
      <c r="DF161" s="260"/>
      <c r="DG161" s="260"/>
      <c r="DH161" s="260"/>
      <c r="DI161" s="260"/>
      <c r="DJ161" s="260"/>
      <c r="DK161" s="260"/>
      <c r="DL161" s="260"/>
      <c r="DM161" s="260"/>
      <c r="DN161" s="260"/>
      <c r="DO161" s="260"/>
      <c r="DP161" s="260"/>
      <c r="DQ161" s="260"/>
      <c r="DR161" s="260"/>
      <c r="DS161" s="260"/>
      <c r="DT161" s="260"/>
      <c r="DU161" s="260"/>
      <c r="DV161" s="260"/>
      <c r="DW161" s="260"/>
      <c r="DX161" s="260"/>
      <c r="DY161" s="260"/>
      <c r="DZ161" s="260"/>
      <c r="EA161" s="260"/>
      <c r="EB161" s="260"/>
      <c r="EC161" s="260"/>
      <c r="ED161" s="260"/>
      <c r="EE161" s="260"/>
      <c r="EF161" s="260"/>
      <c r="EG161" s="260"/>
      <c r="EH161" s="260"/>
      <c r="EI161" s="260"/>
      <c r="EJ161" s="260"/>
      <c r="EK161" s="260"/>
      <c r="EL161" s="260"/>
      <c r="EM161" s="260"/>
      <c r="EN161" s="260"/>
      <c r="EO161" s="260"/>
      <c r="EP161" s="260"/>
      <c r="EQ161" s="260"/>
      <c r="ER161" s="260"/>
      <c r="ES161" s="260"/>
      <c r="ET161" s="260"/>
      <c r="EU161" s="260"/>
      <c r="EV161" s="260"/>
      <c r="EW161" s="260"/>
      <c r="EX161" s="260"/>
      <c r="EY161" s="260"/>
      <c r="EZ161" s="260"/>
      <c r="FA161" s="260"/>
      <c r="FB161" s="260"/>
      <c r="FC161" s="260"/>
      <c r="FD161" s="260"/>
      <c r="FE161" s="260"/>
      <c r="FF161" s="260"/>
      <c r="FG161" s="260"/>
      <c r="FH161" s="260"/>
      <c r="FI161" s="260"/>
      <c r="FJ161" s="260"/>
      <c r="FK161" s="260"/>
      <c r="FL161" s="260"/>
      <c r="FM161" s="260"/>
      <c r="FN161" s="260"/>
      <c r="FO161" s="260"/>
      <c r="FP161" s="260"/>
      <c r="FQ161" s="260"/>
      <c r="FR161" s="260"/>
      <c r="FS161" s="260"/>
      <c r="FT161" s="260"/>
      <c r="FU161" s="260"/>
      <c r="FV161" s="260"/>
      <c r="FW161" s="260"/>
      <c r="FX161" s="260"/>
      <c r="FY161" s="260"/>
      <c r="FZ161" s="260"/>
      <c r="GA161" s="260"/>
      <c r="GB161" s="260"/>
      <c r="GC161" s="260"/>
      <c r="GD161" s="260"/>
      <c r="GE161" s="260"/>
      <c r="GF161" s="260"/>
      <c r="GG161" s="260"/>
      <c r="GH161" s="260"/>
      <c r="GI161" s="260"/>
      <c r="GJ161" s="260"/>
      <c r="GK161" s="260"/>
      <c r="GL161" s="260"/>
      <c r="GM161" s="260"/>
      <c r="GN161" s="260"/>
      <c r="GO161" s="260"/>
      <c r="GP161" s="260"/>
      <c r="GQ161" s="260"/>
      <c r="GR161" s="260"/>
      <c r="GS161" s="260"/>
      <c r="GT161" s="260"/>
      <c r="GU161" s="260"/>
      <c r="GV161" s="260"/>
      <c r="GW161" s="260"/>
      <c r="GX161" s="260"/>
      <c r="GY161" s="260"/>
      <c r="GZ161" s="260"/>
      <c r="HA161" s="260"/>
      <c r="HB161" s="260"/>
      <c r="HC161" s="260"/>
      <c r="HD161" s="260"/>
      <c r="HE161" s="260"/>
      <c r="HF161" s="260"/>
      <c r="HG161" s="260"/>
      <c r="HH161" s="260"/>
      <c r="HI161" s="260"/>
      <c r="HJ161" s="260"/>
      <c r="HK161" s="260"/>
      <c r="HL161" s="260"/>
      <c r="HM161" s="260"/>
      <c r="HN161" s="260"/>
      <c r="HO161" s="260"/>
      <c r="HP161" s="260"/>
      <c r="HQ161" s="260"/>
      <c r="HR161" s="260"/>
      <c r="HS161" s="260"/>
      <c r="HT161" s="260"/>
      <c r="HU161" s="260"/>
      <c r="HV161" s="260"/>
      <c r="HW161" s="260"/>
      <c r="HX161" s="260"/>
      <c r="HY161" s="260"/>
      <c r="HZ161" s="260"/>
      <c r="IA161" s="260"/>
      <c r="IB161" s="260"/>
      <c r="IC161" s="260"/>
      <c r="ID161" s="260"/>
      <c r="IE161" s="260"/>
      <c r="IF161" s="260"/>
      <c r="IG161" s="260"/>
      <c r="IH161" s="260"/>
      <c r="II161" s="260"/>
      <c r="IJ161" s="260"/>
      <c r="IK161" s="260"/>
      <c r="IL161" s="260"/>
      <c r="IM161" s="260"/>
      <c r="IN161" s="260"/>
      <c r="IO161" s="260"/>
      <c r="IP161" s="260"/>
      <c r="IQ161" s="260"/>
      <c r="IR161" s="260"/>
      <c r="IS161" s="260"/>
    </row>
    <row r="162" spans="1:253" s="419" customFormat="1" x14ac:dyDescent="0.2">
      <c r="A162" s="417"/>
      <c r="B162" s="445"/>
      <c r="C162" s="445"/>
      <c r="D162" s="445"/>
      <c r="E162" s="445"/>
      <c r="G162" s="445" t="s">
        <v>21</v>
      </c>
      <c r="H162" s="445"/>
      <c r="I162" s="445"/>
      <c r="J162" s="445"/>
      <c r="K162" s="445"/>
      <c r="L162" s="445"/>
      <c r="M162" s="445"/>
      <c r="N162" s="445"/>
      <c r="O162" s="445"/>
      <c r="P162" s="445"/>
      <c r="Q162" s="445"/>
      <c r="R162" s="445"/>
      <c r="S162" s="445"/>
      <c r="T162" s="445"/>
      <c r="U162" s="445"/>
      <c r="V162" s="445"/>
      <c r="W162" s="445"/>
      <c r="X162" s="445"/>
      <c r="Y162" s="445"/>
      <c r="Z162" s="445"/>
      <c r="AA162" s="445"/>
      <c r="AB162" s="445"/>
      <c r="AC162" s="445"/>
      <c r="AD162" s="445"/>
      <c r="AE162" s="445"/>
      <c r="AF162" s="445"/>
      <c r="AG162" s="445"/>
      <c r="AH162" s="445"/>
      <c r="AI162" s="445"/>
      <c r="AM162" s="535"/>
      <c r="AO162" s="283"/>
      <c r="AP162" s="71"/>
      <c r="AQ162" s="283"/>
      <c r="AR162" s="71"/>
      <c r="AS162" s="283"/>
    </row>
    <row r="163" spans="1:253" s="419" customFormat="1" x14ac:dyDescent="0.2">
      <c r="A163" s="417"/>
      <c r="B163" s="467">
        <f>Aprekini!B5</f>
        <v>2014</v>
      </c>
      <c r="C163" s="467">
        <f t="shared" ref="C163:AG163" si="68">B163+1</f>
        <v>2015</v>
      </c>
      <c r="D163" s="467">
        <f t="shared" si="68"/>
        <v>2016</v>
      </c>
      <c r="E163" s="467">
        <f t="shared" si="68"/>
        <v>2017</v>
      </c>
      <c r="F163" s="467">
        <f t="shared" si="68"/>
        <v>2018</v>
      </c>
      <c r="G163" s="467">
        <f t="shared" si="68"/>
        <v>2019</v>
      </c>
      <c r="H163" s="467">
        <f t="shared" si="68"/>
        <v>2020</v>
      </c>
      <c r="I163" s="467">
        <f t="shared" si="68"/>
        <v>2021</v>
      </c>
      <c r="J163" s="467">
        <f t="shared" si="68"/>
        <v>2022</v>
      </c>
      <c r="K163" s="467">
        <f t="shared" si="68"/>
        <v>2023</v>
      </c>
      <c r="L163" s="467">
        <f t="shared" si="68"/>
        <v>2024</v>
      </c>
      <c r="M163" s="467">
        <f t="shared" si="68"/>
        <v>2025</v>
      </c>
      <c r="N163" s="467">
        <f t="shared" si="68"/>
        <v>2026</v>
      </c>
      <c r="O163" s="467">
        <f t="shared" si="68"/>
        <v>2027</v>
      </c>
      <c r="P163" s="467">
        <f t="shared" si="68"/>
        <v>2028</v>
      </c>
      <c r="Q163" s="467">
        <f t="shared" si="68"/>
        <v>2029</v>
      </c>
      <c r="R163" s="467">
        <f t="shared" si="68"/>
        <v>2030</v>
      </c>
      <c r="S163" s="467">
        <f t="shared" si="68"/>
        <v>2031</v>
      </c>
      <c r="T163" s="467">
        <f t="shared" si="68"/>
        <v>2032</v>
      </c>
      <c r="U163" s="461">
        <f t="shared" si="68"/>
        <v>2033</v>
      </c>
      <c r="V163" s="461">
        <f t="shared" si="68"/>
        <v>2034</v>
      </c>
      <c r="W163" s="461">
        <f t="shared" si="68"/>
        <v>2035</v>
      </c>
      <c r="X163" s="461">
        <f t="shared" si="68"/>
        <v>2036</v>
      </c>
      <c r="Y163" s="461">
        <f t="shared" si="68"/>
        <v>2037</v>
      </c>
      <c r="Z163" s="461">
        <f t="shared" si="68"/>
        <v>2038</v>
      </c>
      <c r="AA163" s="461">
        <f t="shared" si="68"/>
        <v>2039</v>
      </c>
      <c r="AB163" s="461">
        <f t="shared" si="68"/>
        <v>2040</v>
      </c>
      <c r="AC163" s="461">
        <f t="shared" si="68"/>
        <v>2041</v>
      </c>
      <c r="AD163" s="461">
        <f t="shared" si="68"/>
        <v>2042</v>
      </c>
      <c r="AE163" s="461">
        <f t="shared" si="68"/>
        <v>2043</v>
      </c>
      <c r="AF163" s="461">
        <f t="shared" si="68"/>
        <v>2044</v>
      </c>
      <c r="AG163" s="461">
        <f t="shared" si="68"/>
        <v>2045</v>
      </c>
      <c r="AH163" s="461">
        <f>AG163+1</f>
        <v>2046</v>
      </c>
      <c r="AI163" s="461"/>
      <c r="AM163" s="535"/>
      <c r="AO163" s="283"/>
      <c r="AP163" s="71"/>
      <c r="AQ163" s="283"/>
      <c r="AR163" s="71"/>
      <c r="AS163" s="283"/>
    </row>
    <row r="164" spans="1:253" s="419" customFormat="1" x14ac:dyDescent="0.2">
      <c r="A164" s="481" t="s">
        <v>99</v>
      </c>
      <c r="B164" s="482">
        <f ca="1">Aprekini!B154</f>
        <v>0</v>
      </c>
      <c r="C164" s="482">
        <f ca="1">Aprekini!C154</f>
        <v>0</v>
      </c>
      <c r="D164" s="482">
        <f ca="1">Aprekini!D154</f>
        <v>540286.89754615596</v>
      </c>
      <c r="E164" s="482">
        <f ca="1">Aprekini!E154</f>
        <v>1088372.0961224297</v>
      </c>
      <c r="F164" s="482">
        <f ca="1">Aprekini!F154</f>
        <v>0</v>
      </c>
      <c r="G164" s="482">
        <f ca="1">Aprekini!G154</f>
        <v>0</v>
      </c>
      <c r="H164" s="482">
        <v>0</v>
      </c>
      <c r="I164" s="482">
        <f>Aprekini!I154</f>
        <v>0</v>
      </c>
      <c r="J164" s="482">
        <f>Aprekini!J154</f>
        <v>0</v>
      </c>
      <c r="K164" s="482">
        <f>Aprekini!K154</f>
        <v>0</v>
      </c>
      <c r="L164" s="482">
        <f>Aprekini!L154</f>
        <v>0</v>
      </c>
      <c r="M164" s="482">
        <f>Aprekini!M154</f>
        <v>0</v>
      </c>
      <c r="N164" s="482">
        <f>Aprekini!N154</f>
        <v>0</v>
      </c>
      <c r="O164" s="482">
        <f>Aprekini!O154</f>
        <v>0</v>
      </c>
      <c r="P164" s="482">
        <f>Aprekini!P154</f>
        <v>0</v>
      </c>
      <c r="Q164" s="482">
        <f>Aprekini!Q154</f>
        <v>0</v>
      </c>
      <c r="R164" s="482">
        <f>Aprekini!R154</f>
        <v>0</v>
      </c>
      <c r="S164" s="482">
        <f>Aprekini!S154</f>
        <v>0</v>
      </c>
      <c r="T164" s="482">
        <f>Aprekini!T154</f>
        <v>0</v>
      </c>
      <c r="U164" s="482">
        <f>Aprekini!U154</f>
        <v>0</v>
      </c>
      <c r="V164" s="482">
        <f>Aprekini!V154</f>
        <v>0</v>
      </c>
      <c r="W164" s="482">
        <f>Aprekini!W154</f>
        <v>0</v>
      </c>
      <c r="X164" s="482">
        <f>Aprekini!X154</f>
        <v>0</v>
      </c>
      <c r="Y164" s="482">
        <f>Aprekini!Y154</f>
        <v>0</v>
      </c>
      <c r="Z164" s="482">
        <f>Aprekini!Z154</f>
        <v>0</v>
      </c>
      <c r="AA164" s="482">
        <f>Aprekini!AA154</f>
        <v>0</v>
      </c>
      <c r="AB164" s="482">
        <f>Aprekini!AB154</f>
        <v>0</v>
      </c>
      <c r="AC164" s="482">
        <f>Aprekini!AC154</f>
        <v>0</v>
      </c>
      <c r="AD164" s="482">
        <f>Aprekini!AD154</f>
        <v>0</v>
      </c>
      <c r="AE164" s="482">
        <f>Aprekini!AE154</f>
        <v>0</v>
      </c>
      <c r="AF164" s="482">
        <f>Aprekini!AF154</f>
        <v>0</v>
      </c>
      <c r="AG164" s="482">
        <f>Aprekini!AG154</f>
        <v>0</v>
      </c>
      <c r="AH164" s="482">
        <f>Aprekini!AH154</f>
        <v>0</v>
      </c>
      <c r="AI164" s="482"/>
      <c r="AM164" s="535"/>
      <c r="AO164" s="283"/>
      <c r="AP164" s="71"/>
      <c r="AQ164" s="283"/>
      <c r="AR164" s="71"/>
      <c r="AS164" s="283"/>
    </row>
    <row r="165" spans="1:253" s="419" customFormat="1" x14ac:dyDescent="0.2">
      <c r="A165" s="433" t="s">
        <v>133</v>
      </c>
      <c r="B165" s="463">
        <f>'Saimnieciskas pamatdarbibas NP'!B74</f>
        <v>414507.5</v>
      </c>
      <c r="C165" s="463">
        <f>'Saimnieciskas pamatdarbibas NP'!C74</f>
        <v>416380.98750000005</v>
      </c>
      <c r="D165" s="463">
        <f>'Saimnieciskas pamatdarbibas NP'!D74</f>
        <v>452388.61249999993</v>
      </c>
      <c r="E165" s="463">
        <f ca="1">'Saimnieciskas pamatdarbibas NP'!E74</f>
        <v>488396.23749999993</v>
      </c>
      <c r="F165" s="463">
        <f ca="1">'Saimnieciskas pamatdarbibas NP'!F74</f>
        <v>515137.28500000003</v>
      </c>
      <c r="G165" s="463">
        <f ca="1">'Saimnieciskas pamatdarbibas NP'!G74</f>
        <v>523967.86499999993</v>
      </c>
      <c r="H165" s="463">
        <f ca="1">'Saimnieciskas pamatdarbibas NP'!H74</f>
        <v>536412.02500000002</v>
      </c>
      <c r="I165" s="463">
        <f ca="1">'Saimnieciskas pamatdarbibas NP'!I74</f>
        <v>548232.79999999993</v>
      </c>
      <c r="J165" s="463">
        <f ca="1">'Saimnieciskas pamatdarbibas NP'!J74</f>
        <v>559773.56499999994</v>
      </c>
      <c r="K165" s="463">
        <f ca="1">'Saimnieciskas pamatdarbibas NP'!K74</f>
        <v>569507.54</v>
      </c>
      <c r="L165" s="463">
        <f ca="1">'Saimnieciskas pamatdarbibas NP'!L74</f>
        <v>577294.72</v>
      </c>
      <c r="M165" s="463">
        <f ca="1">'Saimnieciskas pamatdarbibas NP'!M74</f>
        <v>590782.27999999991</v>
      </c>
      <c r="N165" s="463">
        <f ca="1">'Saimnieciskas pamatdarbibas NP'!N74</f>
        <v>602463.05000000005</v>
      </c>
      <c r="O165" s="463">
        <f ca="1">'Saimnieciskas pamatdarbibas NP'!O74</f>
        <v>613240.42500000005</v>
      </c>
      <c r="P165" s="463">
        <f ca="1">'Saimnieciskas pamatdarbibas NP'!P74</f>
        <v>609003.46000000008</v>
      </c>
      <c r="Q165" s="463">
        <f ca="1">'Saimnieciskas pamatdarbibas NP'!Q74</f>
        <v>614703.84</v>
      </c>
      <c r="R165" s="463">
        <f ca="1">'Saimnieciskas pamatdarbibas NP'!R74</f>
        <v>626384.6100000001</v>
      </c>
      <c r="S165" s="463">
        <f ca="1">'Saimnieciskas pamatdarbibas NP'!S74</f>
        <v>640012.17500000005</v>
      </c>
      <c r="T165" s="463">
        <f ca="1">'Saimnieciskas pamatdarbibas NP'!T74</f>
        <v>652596.34000000008</v>
      </c>
      <c r="U165" s="463">
        <f ca="1">'Saimnieciskas pamatdarbibas NP'!U74</f>
        <v>678668.06499999994</v>
      </c>
      <c r="V165" s="463">
        <f ca="1">'Saimnieciskas pamatdarbibas NP'!V74</f>
        <v>691252.23</v>
      </c>
      <c r="W165" s="463">
        <f ca="1">'Saimnieciskas pamatdarbibas NP'!W74</f>
        <v>703976.4</v>
      </c>
      <c r="X165" s="463">
        <f ca="1">'Saimnieciskas pamatdarbibas NP'!X74</f>
        <v>716560.56499999994</v>
      </c>
      <c r="Y165" s="463">
        <f ca="1">'Saimnieciskas pamatdarbibas NP'!Y74</f>
        <v>729284.73499999999</v>
      </c>
      <c r="Z165" s="463">
        <f ca="1">'Saimnieciskas pamatdarbibas NP'!Z74</f>
        <v>742912.3</v>
      </c>
      <c r="AA165" s="463">
        <f ca="1">'Saimnieciskas pamatdarbibas NP'!AA74</f>
        <v>754593.07000000007</v>
      </c>
      <c r="AB165" s="463">
        <f ca="1">'Saimnieciskas pamatdarbibas NP'!AB74</f>
        <v>768220.63500000001</v>
      </c>
      <c r="AC165" s="463">
        <f ca="1">'Saimnieciskas pamatdarbibas NP'!AC74</f>
        <v>780944.80499999993</v>
      </c>
      <c r="AD165" s="463">
        <f ca="1">'Saimnieciskas pamatdarbibas NP'!AD74</f>
        <v>792625.57499999995</v>
      </c>
      <c r="AE165" s="463">
        <f ca="1">'Saimnieciskas pamatdarbibas NP'!AE74</f>
        <v>808199.93500000006</v>
      </c>
      <c r="AF165" s="463">
        <f ca="1">'Saimnieciskas pamatdarbibas NP'!AF74</f>
        <v>824817.69500000007</v>
      </c>
      <c r="AG165" s="463">
        <f ca="1">'Saimnieciskas pamatdarbibas NP'!AG74</f>
        <v>823774.29500000004</v>
      </c>
      <c r="AH165" s="463">
        <f ca="1">'Saimnieciskas pamatdarbibas NP'!AH74</f>
        <v>824677.69</v>
      </c>
      <c r="AI165" s="463"/>
      <c r="AM165" s="535"/>
      <c r="AO165" s="283"/>
      <c r="AP165" s="71"/>
      <c r="AQ165" s="283"/>
      <c r="AR165" s="71"/>
      <c r="AS165" s="283"/>
    </row>
    <row r="166" spans="1:253" s="419" customFormat="1" x14ac:dyDescent="0.2">
      <c r="A166" s="464" t="s">
        <v>184</v>
      </c>
      <c r="B166" s="465">
        <f t="shared" ref="B166:AG166" ca="1" si="69">SUM(B164:B165)</f>
        <v>414507.5</v>
      </c>
      <c r="C166" s="465">
        <f t="shared" ca="1" si="69"/>
        <v>416380.98750000005</v>
      </c>
      <c r="D166" s="465">
        <f t="shared" ca="1" si="69"/>
        <v>992675.51004615589</v>
      </c>
      <c r="E166" s="465">
        <f t="shared" ca="1" si="69"/>
        <v>1576768.3336224295</v>
      </c>
      <c r="F166" s="465">
        <f t="shared" ca="1" si="69"/>
        <v>515137.28500000003</v>
      </c>
      <c r="G166" s="465">
        <f t="shared" ca="1" si="69"/>
        <v>523967.86499999993</v>
      </c>
      <c r="H166" s="465">
        <f t="shared" ca="1" si="69"/>
        <v>536412.02500000002</v>
      </c>
      <c r="I166" s="465">
        <f t="shared" ca="1" si="69"/>
        <v>548232.79999999993</v>
      </c>
      <c r="J166" s="465">
        <f t="shared" ca="1" si="69"/>
        <v>559773.56499999994</v>
      </c>
      <c r="K166" s="465">
        <f t="shared" ca="1" si="69"/>
        <v>569507.54</v>
      </c>
      <c r="L166" s="465">
        <f t="shared" ca="1" si="69"/>
        <v>577294.72</v>
      </c>
      <c r="M166" s="465">
        <f t="shared" ca="1" si="69"/>
        <v>590782.27999999991</v>
      </c>
      <c r="N166" s="465">
        <f t="shared" ca="1" si="69"/>
        <v>602463.05000000005</v>
      </c>
      <c r="O166" s="465">
        <f t="shared" ca="1" si="69"/>
        <v>613240.42500000005</v>
      </c>
      <c r="P166" s="465">
        <f t="shared" ca="1" si="69"/>
        <v>609003.46000000008</v>
      </c>
      <c r="Q166" s="465">
        <f t="shared" ca="1" si="69"/>
        <v>614703.84</v>
      </c>
      <c r="R166" s="465">
        <f t="shared" ca="1" si="69"/>
        <v>626384.6100000001</v>
      </c>
      <c r="S166" s="465">
        <f t="shared" ca="1" si="69"/>
        <v>640012.17500000005</v>
      </c>
      <c r="T166" s="465">
        <f t="shared" ca="1" si="69"/>
        <v>652596.34000000008</v>
      </c>
      <c r="U166" s="465">
        <f t="shared" ca="1" si="69"/>
        <v>678668.06499999994</v>
      </c>
      <c r="V166" s="465">
        <f t="shared" ca="1" si="69"/>
        <v>691252.23</v>
      </c>
      <c r="W166" s="465">
        <f t="shared" ca="1" si="69"/>
        <v>703976.4</v>
      </c>
      <c r="X166" s="465">
        <f t="shared" ca="1" si="69"/>
        <v>716560.56499999994</v>
      </c>
      <c r="Y166" s="465">
        <f t="shared" ca="1" si="69"/>
        <v>729284.73499999999</v>
      </c>
      <c r="Z166" s="465">
        <f t="shared" ca="1" si="69"/>
        <v>742912.3</v>
      </c>
      <c r="AA166" s="465">
        <f t="shared" ca="1" si="69"/>
        <v>754593.07000000007</v>
      </c>
      <c r="AB166" s="465">
        <f t="shared" ca="1" si="69"/>
        <v>768220.63500000001</v>
      </c>
      <c r="AC166" s="465">
        <f t="shared" ca="1" si="69"/>
        <v>780944.80499999993</v>
      </c>
      <c r="AD166" s="465">
        <f t="shared" ca="1" si="69"/>
        <v>792625.57499999995</v>
      </c>
      <c r="AE166" s="465">
        <f t="shared" ca="1" si="69"/>
        <v>808199.93500000006</v>
      </c>
      <c r="AF166" s="465">
        <f t="shared" ca="1" si="69"/>
        <v>824817.69500000007</v>
      </c>
      <c r="AG166" s="465">
        <f t="shared" ca="1" si="69"/>
        <v>823774.29500000004</v>
      </c>
      <c r="AH166" s="465">
        <f ca="1">SUM(AH164:AH165)</f>
        <v>824677.69</v>
      </c>
      <c r="AI166" s="465"/>
      <c r="AM166" s="535"/>
      <c r="AO166" s="283"/>
      <c r="AP166" s="71"/>
      <c r="AQ166" s="283"/>
      <c r="AR166" s="71"/>
      <c r="AS166" s="283"/>
    </row>
    <row r="167" spans="1:253" s="419" customFormat="1" x14ac:dyDescent="0.2">
      <c r="A167" s="433" t="s">
        <v>124</v>
      </c>
      <c r="B167" s="463">
        <f>'Saimnieciskas pamatdarbibas NP'!B65</f>
        <v>356740.78710000002</v>
      </c>
      <c r="C167" s="463">
        <f>'Saimnieciskas pamatdarbibas NP'!C65</f>
        <v>374679.89219699998</v>
      </c>
      <c r="D167" s="463">
        <f>'Saimnieciskas pamatdarbibas NP'!D65</f>
        <v>409041.61580999999</v>
      </c>
      <c r="E167" s="463">
        <f>'Saimnieciskas pamatdarbibas NP'!E65</f>
        <v>443403.339423</v>
      </c>
      <c r="F167" s="463">
        <f>'Saimnieciskas pamatdarbibas NP'!F65</f>
        <v>456416.43516500003</v>
      </c>
      <c r="G167" s="463">
        <f>'Saimnieciskas pamatdarbibas NP'!G65</f>
        <v>464497.63090700004</v>
      </c>
      <c r="H167" s="463">
        <f>'Saimnieciskas pamatdarbibas NP'!H65</f>
        <v>477669.27944899991</v>
      </c>
      <c r="I167" s="463">
        <f>'Saimnieciskas pamatdarbibas NP'!I65</f>
        <v>487616.39279099996</v>
      </c>
      <c r="J167" s="463">
        <f>'Saimnieciskas pamatdarbibas NP'!J65</f>
        <v>495815.15413300006</v>
      </c>
      <c r="K167" s="463">
        <f>'Saimnieciskas pamatdarbibas NP'!K65</f>
        <v>504013.91547500005</v>
      </c>
      <c r="L167" s="463">
        <f>'Saimnieciskas pamatdarbibas NP'!L65</f>
        <v>512212.67681699997</v>
      </c>
      <c r="M167" s="463">
        <f>'Saimnieciskas pamatdarbibas NP'!M65</f>
        <v>520411.43815900001</v>
      </c>
      <c r="N167" s="463">
        <f>'Saimnieciskas pamatdarbibas NP'!N65</f>
        <v>531596.42230099998</v>
      </c>
      <c r="O167" s="463">
        <f>'Saimnieciskas pamatdarbibas NP'!O65</f>
        <v>542671.40644300007</v>
      </c>
      <c r="P167" s="463">
        <f>'Saimnieciskas pamatdarbibas NP'!P65</f>
        <v>554969.54845600005</v>
      </c>
      <c r="Q167" s="463">
        <f>'Saimnieciskas pamatdarbibas NP'!Q65</f>
        <v>567267.69046899991</v>
      </c>
      <c r="R167" s="463">
        <f>'Saimnieciskas pamatdarbibas NP'!R65</f>
        <v>579565.832482</v>
      </c>
      <c r="S167" s="463">
        <f>'Saimnieciskas pamatdarbibas NP'!S65</f>
        <v>591863.97449499997</v>
      </c>
      <c r="T167" s="463">
        <f>'Saimnieciskas pamatdarbibas NP'!T65</f>
        <v>604162.11650800006</v>
      </c>
      <c r="U167" s="463">
        <f>'Saimnieciskas pamatdarbibas NP'!U65</f>
        <v>616460.25852100004</v>
      </c>
      <c r="V167" s="463">
        <f>'Saimnieciskas pamatdarbibas NP'!V65</f>
        <v>628758.4005339999</v>
      </c>
      <c r="W167" s="463">
        <f>'Saimnieciskas pamatdarbibas NP'!W65</f>
        <v>641056.54254699999</v>
      </c>
      <c r="X167" s="463">
        <f>'Saimnieciskas pamatdarbibas NP'!X65</f>
        <v>653354.68456000008</v>
      </c>
      <c r="Y167" s="463">
        <f>'Saimnieciskas pamatdarbibas NP'!Y65</f>
        <v>665652.82657300006</v>
      </c>
      <c r="Z167" s="463">
        <f>'Saimnieciskas pamatdarbibas NP'!Z65</f>
        <v>677950.96858600003</v>
      </c>
      <c r="AA167" s="463">
        <f>'Saimnieciskas pamatdarbibas NP'!AA65</f>
        <v>690249.11059900001</v>
      </c>
      <c r="AB167" s="463">
        <f>'Saimnieciskas pamatdarbibas NP'!AB65</f>
        <v>702547.2526120001</v>
      </c>
      <c r="AC167" s="463">
        <f>'Saimnieciskas pamatdarbibas NP'!AC65</f>
        <v>714845.39462499996</v>
      </c>
      <c r="AD167" s="463">
        <f>'Saimnieciskas pamatdarbibas NP'!AD65</f>
        <v>727143.53663800005</v>
      </c>
      <c r="AE167" s="463">
        <f>'Saimnieciskas pamatdarbibas NP'!AE65</f>
        <v>742427.90145100001</v>
      </c>
      <c r="AF167" s="463">
        <f>'Saimnieciskas pamatdarbibas NP'!AF65</f>
        <v>757602.26626399998</v>
      </c>
      <c r="AG167" s="463">
        <f>'Saimnieciskas pamatdarbibas NP'!AG65</f>
        <v>757174.26626399998</v>
      </c>
      <c r="AH167" s="463">
        <f>'Saimnieciskas pamatdarbibas NP'!AH65</f>
        <v>756746.26626399998</v>
      </c>
      <c r="AI167" s="463"/>
      <c r="AM167" s="535"/>
      <c r="AO167" s="283"/>
      <c r="AP167" s="71"/>
      <c r="AQ167" s="283"/>
      <c r="AR167" s="71"/>
      <c r="AS167" s="283"/>
    </row>
    <row r="168" spans="1:253" s="419" customFormat="1" x14ac:dyDescent="0.2">
      <c r="A168" s="433" t="s">
        <v>185</v>
      </c>
      <c r="B168" s="463">
        <f>Aprekini!B140</f>
        <v>0</v>
      </c>
      <c r="C168" s="463">
        <f>Aprekini!C140</f>
        <v>0</v>
      </c>
      <c r="D168" s="463">
        <f>Aprekini!D140</f>
        <v>546459</v>
      </c>
      <c r="E168" s="463">
        <f>Aprekini!E140</f>
        <v>1082200</v>
      </c>
      <c r="F168" s="463">
        <f>Aprekini!F140</f>
        <v>0</v>
      </c>
      <c r="G168" s="463">
        <f>Aprekini!G140</f>
        <v>0</v>
      </c>
      <c r="H168" s="463">
        <f>Aprekini!H140</f>
        <v>0</v>
      </c>
      <c r="I168" s="463">
        <f>Aprekini!I140</f>
        <v>0</v>
      </c>
      <c r="J168" s="463">
        <f>Aprekini!J140</f>
        <v>0</v>
      </c>
      <c r="K168" s="463">
        <f>Aprekini!K140</f>
        <v>0</v>
      </c>
      <c r="L168" s="463">
        <f>Aprekini!L140</f>
        <v>0</v>
      </c>
      <c r="M168" s="463">
        <f>Aprekini!M140</f>
        <v>0</v>
      </c>
      <c r="N168" s="463">
        <f>Aprekini!N140</f>
        <v>0</v>
      </c>
      <c r="O168" s="463">
        <f>Aprekini!O140</f>
        <v>0</v>
      </c>
      <c r="P168" s="463">
        <f>Aprekini!P140</f>
        <v>0</v>
      </c>
      <c r="Q168" s="463">
        <f>Aprekini!Q140</f>
        <v>0</v>
      </c>
      <c r="R168" s="463">
        <f>Aprekini!R140</f>
        <v>0</v>
      </c>
      <c r="S168" s="463">
        <f>Aprekini!S140</f>
        <v>0</v>
      </c>
      <c r="T168" s="463">
        <f>Aprekini!T140</f>
        <v>0</v>
      </c>
      <c r="U168" s="463">
        <f>Aprekini!U140</f>
        <v>0</v>
      </c>
      <c r="V168" s="463">
        <f>Aprekini!V140</f>
        <v>0</v>
      </c>
      <c r="W168" s="463">
        <f>Aprekini!W140</f>
        <v>0</v>
      </c>
      <c r="X168" s="463">
        <f>Aprekini!X140</f>
        <v>0</v>
      </c>
      <c r="Y168" s="463">
        <f>Aprekini!Y140</f>
        <v>0</v>
      </c>
      <c r="Z168" s="463">
        <f>Aprekini!Z140</f>
        <v>0</v>
      </c>
      <c r="AA168" s="463">
        <f>Aprekini!AA140</f>
        <v>0</v>
      </c>
      <c r="AB168" s="463">
        <f>Aprekini!AB140</f>
        <v>0</v>
      </c>
      <c r="AC168" s="463">
        <f>Aprekini!AC140</f>
        <v>0</v>
      </c>
      <c r="AD168" s="463">
        <f>Aprekini!AD140</f>
        <v>0</v>
      </c>
      <c r="AE168" s="463">
        <f>Aprekini!AE140</f>
        <v>0</v>
      </c>
      <c r="AF168" s="463">
        <f>Aprekini!AF140</f>
        <v>0</v>
      </c>
      <c r="AG168" s="463">
        <f>Aprekini!AG140</f>
        <v>0</v>
      </c>
      <c r="AH168" s="463">
        <f>Aprekini!AH140</f>
        <v>0</v>
      </c>
      <c r="AI168" s="463"/>
      <c r="AM168" s="535"/>
      <c r="AO168" s="283"/>
      <c r="AP168" s="71"/>
      <c r="AQ168" s="283"/>
      <c r="AR168" s="71"/>
      <c r="AS168" s="283"/>
    </row>
    <row r="169" spans="1:253" s="419" customFormat="1" x14ac:dyDescent="0.2">
      <c r="A169" s="433" t="s">
        <v>186</v>
      </c>
      <c r="B169" s="463">
        <f>Aprekini!B253+B272</f>
        <v>0</v>
      </c>
      <c r="C169" s="463">
        <f>Aprekini!C253+C272</f>
        <v>0</v>
      </c>
      <c r="D169" s="463">
        <f>Aprekini!D253+D272</f>
        <v>0</v>
      </c>
      <c r="E169" s="463">
        <f ca="1">Aprekini!E253+E272</f>
        <v>0</v>
      </c>
      <c r="F169" s="463">
        <f ca="1">Aprekini!F253+F272</f>
        <v>0</v>
      </c>
      <c r="G169" s="463">
        <f ca="1">Aprekini!G253+G272</f>
        <v>0</v>
      </c>
      <c r="H169" s="463">
        <f ca="1">Aprekini!H253+H272</f>
        <v>0</v>
      </c>
      <c r="I169" s="463">
        <f ca="1">Aprekini!I253+I272</f>
        <v>0</v>
      </c>
      <c r="J169" s="463">
        <f ca="1">Aprekini!J253+J272</f>
        <v>0</v>
      </c>
      <c r="K169" s="463">
        <f ca="1">Aprekini!K253+K272</f>
        <v>0</v>
      </c>
      <c r="L169" s="463">
        <f ca="1">Aprekini!L253+L272</f>
        <v>0</v>
      </c>
      <c r="M169" s="463">
        <f ca="1">Aprekini!M253+M272</f>
        <v>0</v>
      </c>
      <c r="N169" s="463">
        <f ca="1">Aprekini!N253+N272</f>
        <v>0</v>
      </c>
      <c r="O169" s="463">
        <f ca="1">Aprekini!O253+O272</f>
        <v>0</v>
      </c>
      <c r="P169" s="463">
        <f ca="1">Aprekini!P253+P272</f>
        <v>0</v>
      </c>
      <c r="Q169" s="463">
        <f ca="1">Aprekini!Q253+Q272</f>
        <v>0</v>
      </c>
      <c r="R169" s="463">
        <f ca="1">Aprekini!R253+R272</f>
        <v>0</v>
      </c>
      <c r="S169" s="463">
        <f ca="1">Aprekini!S253+S272</f>
        <v>0</v>
      </c>
      <c r="T169" s="463">
        <f ca="1">Aprekini!T253+T272</f>
        <v>0</v>
      </c>
      <c r="U169" s="463">
        <f ca="1">Aprekini!U253+U272</f>
        <v>0</v>
      </c>
      <c r="V169" s="463">
        <f ca="1">Aprekini!V253+V272</f>
        <v>0</v>
      </c>
      <c r="W169" s="463">
        <f ca="1">Aprekini!W253+W272</f>
        <v>0</v>
      </c>
      <c r="X169" s="463">
        <f ca="1">Aprekini!X253+X272</f>
        <v>0</v>
      </c>
      <c r="Y169" s="463">
        <f ca="1">Aprekini!Y253+Y272</f>
        <v>0</v>
      </c>
      <c r="Z169" s="463">
        <f ca="1">Aprekini!Z253+Z272</f>
        <v>0</v>
      </c>
      <c r="AA169" s="463">
        <f ca="1">Aprekini!AA253+AA272</f>
        <v>0</v>
      </c>
      <c r="AB169" s="463">
        <f ca="1">Aprekini!AB253+AB272</f>
        <v>0</v>
      </c>
      <c r="AC169" s="463">
        <f ca="1">Aprekini!AC253+AC272</f>
        <v>0</v>
      </c>
      <c r="AD169" s="463">
        <f ca="1">Aprekini!AD253+AD272</f>
        <v>0</v>
      </c>
      <c r="AE169" s="463">
        <f ca="1">Aprekini!AE253+AE272</f>
        <v>0</v>
      </c>
      <c r="AF169" s="463">
        <f ca="1">Aprekini!AF253+AF272</f>
        <v>0</v>
      </c>
      <c r="AG169" s="463">
        <f ca="1">Aprekini!AG253+AG272</f>
        <v>0</v>
      </c>
      <c r="AH169" s="463">
        <f ca="1">Aprekini!AH253+AH272</f>
        <v>0</v>
      </c>
      <c r="AI169" s="463"/>
      <c r="AM169" s="535"/>
      <c r="AO169" s="283"/>
      <c r="AP169" s="71"/>
      <c r="AQ169" s="283"/>
      <c r="AR169" s="71"/>
      <c r="AS169" s="283"/>
    </row>
    <row r="170" spans="1:253" s="419" customFormat="1" x14ac:dyDescent="0.2">
      <c r="A170" s="433" t="s">
        <v>187</v>
      </c>
      <c r="B170" s="463">
        <f>Aprekini!B261+B281</f>
        <v>0</v>
      </c>
      <c r="C170" s="463">
        <f>Aprekini!C261+C281</f>
        <v>0</v>
      </c>
      <c r="D170" s="463">
        <f>Aprekini!D261+D281</f>
        <v>0</v>
      </c>
      <c r="E170" s="463">
        <f>Aprekini!E261+E281</f>
        <v>0</v>
      </c>
      <c r="F170" s="463">
        <f>Aprekini!F261+F281</f>
        <v>0</v>
      </c>
      <c r="G170" s="463">
        <f>Aprekini!G261+G281</f>
        <v>0</v>
      </c>
      <c r="H170" s="463">
        <f>Aprekini!H261+H281</f>
        <v>0</v>
      </c>
      <c r="I170" s="463">
        <f>Aprekini!I261+I281</f>
        <v>0</v>
      </c>
      <c r="J170" s="463">
        <f>Aprekini!J261+J281</f>
        <v>0</v>
      </c>
      <c r="K170" s="463">
        <f>Aprekini!K261+K281</f>
        <v>0</v>
      </c>
      <c r="L170" s="463">
        <f>Aprekini!L261+L281</f>
        <v>0</v>
      </c>
      <c r="M170" s="463">
        <f>Aprekini!M261+M281</f>
        <v>0</v>
      </c>
      <c r="N170" s="463">
        <f>Aprekini!N261+N281</f>
        <v>0</v>
      </c>
      <c r="O170" s="463">
        <f>Aprekini!O261+O281</f>
        <v>0</v>
      </c>
      <c r="P170" s="463">
        <f>Aprekini!P261+P281</f>
        <v>0</v>
      </c>
      <c r="Q170" s="463">
        <f>Aprekini!Q261+Q281</f>
        <v>0</v>
      </c>
      <c r="R170" s="463">
        <f>Aprekini!R261+R281</f>
        <v>0</v>
      </c>
      <c r="S170" s="463">
        <f>Aprekini!S261+S281</f>
        <v>0</v>
      </c>
      <c r="T170" s="463">
        <f>Aprekini!T261+T281</f>
        <v>0</v>
      </c>
      <c r="U170" s="463">
        <f>Aprekini!U261+U281</f>
        <v>0</v>
      </c>
      <c r="V170" s="463">
        <f>Aprekini!V261+V281</f>
        <v>0</v>
      </c>
      <c r="W170" s="463">
        <f>Aprekini!W261+W281</f>
        <v>0</v>
      </c>
      <c r="X170" s="463">
        <f>Aprekini!X261+X281</f>
        <v>0</v>
      </c>
      <c r="Y170" s="463">
        <f>Aprekini!Y261+Y281</f>
        <v>0</v>
      </c>
      <c r="Z170" s="463">
        <f>Aprekini!Z261+Z281</f>
        <v>0</v>
      </c>
      <c r="AA170" s="463">
        <f>Aprekini!AA261+AA281</f>
        <v>0</v>
      </c>
      <c r="AB170" s="463">
        <f>Aprekini!AB261+AB281</f>
        <v>0</v>
      </c>
      <c r="AC170" s="463">
        <f>Aprekini!AC261+AC281</f>
        <v>0</v>
      </c>
      <c r="AD170" s="463">
        <f>Aprekini!AD261+AD281</f>
        <v>0</v>
      </c>
      <c r="AE170" s="463">
        <f>Aprekini!AE261+AE281</f>
        <v>0</v>
      </c>
      <c r="AF170" s="463">
        <f>Aprekini!AF261+AF281</f>
        <v>0</v>
      </c>
      <c r="AG170" s="463">
        <f>Aprekini!AG261+AG281</f>
        <v>0</v>
      </c>
      <c r="AH170" s="463">
        <f>Aprekini!AH261+AH281</f>
        <v>0</v>
      </c>
      <c r="AI170" s="463"/>
      <c r="AM170" s="535"/>
      <c r="AO170" s="283"/>
      <c r="AP170" s="71"/>
      <c r="AQ170" s="283"/>
      <c r="AR170" s="71"/>
      <c r="AS170" s="283"/>
    </row>
    <row r="171" spans="1:253" s="419" customFormat="1" x14ac:dyDescent="0.2">
      <c r="A171" s="433" t="s">
        <v>188</v>
      </c>
      <c r="B171" s="463">
        <f>Aprekini!B254+B273</f>
        <v>0</v>
      </c>
      <c r="C171" s="463">
        <f>Aprekini!C254+C273</f>
        <v>0</v>
      </c>
      <c r="D171" s="463">
        <f ca="1">Aprekini!D254+D273</f>
        <v>0</v>
      </c>
      <c r="E171" s="463">
        <f ca="1">Aprekini!E254+E273</f>
        <v>0</v>
      </c>
      <c r="F171" s="463">
        <f ca="1">Aprekini!F254+F273</f>
        <v>0</v>
      </c>
      <c r="G171" s="463">
        <f ca="1">Aprekini!G254+G273</f>
        <v>0</v>
      </c>
      <c r="H171" s="463">
        <f ca="1">Aprekini!H254+H273</f>
        <v>0</v>
      </c>
      <c r="I171" s="463">
        <f ca="1">Aprekini!I254+I273</f>
        <v>0</v>
      </c>
      <c r="J171" s="463">
        <f ca="1">Aprekini!J254+J273</f>
        <v>0</v>
      </c>
      <c r="K171" s="463">
        <f ca="1">Aprekini!K254+K273</f>
        <v>0</v>
      </c>
      <c r="L171" s="463">
        <f ca="1">Aprekini!L254+L273</f>
        <v>0</v>
      </c>
      <c r="M171" s="463">
        <f ca="1">Aprekini!M254+M273</f>
        <v>0</v>
      </c>
      <c r="N171" s="463">
        <f ca="1">Aprekini!N254+N273</f>
        <v>0</v>
      </c>
      <c r="O171" s="463">
        <f ca="1">Aprekini!O254+O273</f>
        <v>0</v>
      </c>
      <c r="P171" s="463">
        <f ca="1">Aprekini!P254+P273</f>
        <v>0</v>
      </c>
      <c r="Q171" s="463">
        <f ca="1">Aprekini!Q254+Q273</f>
        <v>0</v>
      </c>
      <c r="R171" s="463">
        <f ca="1">Aprekini!R254+R273</f>
        <v>0</v>
      </c>
      <c r="S171" s="463">
        <f ca="1">Aprekini!S254+S273</f>
        <v>0</v>
      </c>
      <c r="T171" s="463">
        <f ca="1">Aprekini!T254+T273</f>
        <v>0</v>
      </c>
      <c r="U171" s="463">
        <f ca="1">Aprekini!U254+U273</f>
        <v>0</v>
      </c>
      <c r="V171" s="463">
        <f ca="1">Aprekini!V254+V273</f>
        <v>0</v>
      </c>
      <c r="W171" s="463">
        <f ca="1">Aprekini!W254+W273</f>
        <v>0</v>
      </c>
      <c r="X171" s="463">
        <f ca="1">Aprekini!X254+X273</f>
        <v>0</v>
      </c>
      <c r="Y171" s="463">
        <f ca="1">Aprekini!Y254+Y273</f>
        <v>0</v>
      </c>
      <c r="Z171" s="463">
        <f ca="1">Aprekini!Z254+Z273</f>
        <v>0</v>
      </c>
      <c r="AA171" s="463">
        <f ca="1">Aprekini!AA254+AA273</f>
        <v>0</v>
      </c>
      <c r="AB171" s="463">
        <f ca="1">Aprekini!AB254+AB273</f>
        <v>0</v>
      </c>
      <c r="AC171" s="463">
        <f ca="1">Aprekini!AC254+AC273</f>
        <v>0</v>
      </c>
      <c r="AD171" s="463">
        <f ca="1">Aprekini!AD254+AD273</f>
        <v>0</v>
      </c>
      <c r="AE171" s="463">
        <f ca="1">Aprekini!AE254+AE273</f>
        <v>0</v>
      </c>
      <c r="AF171" s="463">
        <f ca="1">Aprekini!AF254+AF273</f>
        <v>0</v>
      </c>
      <c r="AG171" s="463">
        <f ca="1">Aprekini!AG254+AG273</f>
        <v>0</v>
      </c>
      <c r="AH171" s="463">
        <f ca="1">Aprekini!AH254+AH273</f>
        <v>0</v>
      </c>
      <c r="AI171" s="463"/>
      <c r="AM171" s="535"/>
      <c r="AO171" s="283"/>
      <c r="AP171" s="71"/>
      <c r="AQ171" s="283"/>
      <c r="AR171" s="71"/>
      <c r="AS171" s="283"/>
    </row>
    <row r="172" spans="1:253" s="419" customFormat="1" ht="25.5" x14ac:dyDescent="0.2">
      <c r="A172" s="433" t="s">
        <v>189</v>
      </c>
      <c r="B172" s="463">
        <f>Aprekini!B262+B282</f>
        <v>0</v>
      </c>
      <c r="C172" s="463">
        <f>Aprekini!C262+C282</f>
        <v>0</v>
      </c>
      <c r="D172" s="463">
        <f>Aprekini!D262+D282</f>
        <v>0</v>
      </c>
      <c r="E172" s="463">
        <f>Aprekini!E262+E282</f>
        <v>0</v>
      </c>
      <c r="F172" s="463">
        <f>Aprekini!F262+F282</f>
        <v>0</v>
      </c>
      <c r="G172" s="463">
        <f>Aprekini!G262+G282</f>
        <v>0</v>
      </c>
      <c r="H172" s="463">
        <f>Aprekini!H262+H282</f>
        <v>0</v>
      </c>
      <c r="I172" s="463">
        <f>Aprekini!I262+I282</f>
        <v>0</v>
      </c>
      <c r="J172" s="463">
        <f>Aprekini!J262+J282</f>
        <v>0</v>
      </c>
      <c r="K172" s="463">
        <f>Aprekini!K262+K282</f>
        <v>0</v>
      </c>
      <c r="L172" s="463">
        <f>Aprekini!L262+L282</f>
        <v>0</v>
      </c>
      <c r="M172" s="463">
        <f>Aprekini!M262+M282</f>
        <v>0</v>
      </c>
      <c r="N172" s="463">
        <f>Aprekini!N262+N282</f>
        <v>0</v>
      </c>
      <c r="O172" s="463">
        <f>Aprekini!O262+O282</f>
        <v>0</v>
      </c>
      <c r="P172" s="463">
        <f>Aprekini!P262+P282</f>
        <v>0</v>
      </c>
      <c r="Q172" s="463">
        <f>Aprekini!Q262+Q282</f>
        <v>0</v>
      </c>
      <c r="R172" s="463">
        <f>Aprekini!R262+R282</f>
        <v>0</v>
      </c>
      <c r="S172" s="463">
        <f>Aprekini!S262+S282</f>
        <v>0</v>
      </c>
      <c r="T172" s="463">
        <f>Aprekini!T262+T282</f>
        <v>0</v>
      </c>
      <c r="U172" s="463">
        <f>Aprekini!U262+U282</f>
        <v>0</v>
      </c>
      <c r="V172" s="463">
        <f>Aprekini!V262+V282</f>
        <v>0</v>
      </c>
      <c r="W172" s="463">
        <f>Aprekini!W262+W282</f>
        <v>0</v>
      </c>
      <c r="X172" s="463">
        <f>Aprekini!X262+X282</f>
        <v>0</v>
      </c>
      <c r="Y172" s="463">
        <f>Aprekini!Y262+Y282</f>
        <v>0</v>
      </c>
      <c r="Z172" s="463">
        <f>Aprekini!Z262+Z282</f>
        <v>0</v>
      </c>
      <c r="AA172" s="463">
        <f>Aprekini!AA262+AA282</f>
        <v>0</v>
      </c>
      <c r="AB172" s="463">
        <f>Aprekini!AB262+AB282</f>
        <v>0</v>
      </c>
      <c r="AC172" s="463">
        <f>Aprekini!AC262+AC282</f>
        <v>0</v>
      </c>
      <c r="AD172" s="463">
        <f>Aprekini!AD262+AD282</f>
        <v>0</v>
      </c>
      <c r="AE172" s="463">
        <f>Aprekini!AE262+AE282</f>
        <v>0</v>
      </c>
      <c r="AF172" s="463">
        <f>Aprekini!AF262+AF282</f>
        <v>0</v>
      </c>
      <c r="AG172" s="463">
        <f>Aprekini!AG262+AG282</f>
        <v>0</v>
      </c>
      <c r="AH172" s="463">
        <f>Aprekini!AH262+AH282</f>
        <v>0</v>
      </c>
      <c r="AI172" s="463"/>
      <c r="AM172" s="535"/>
      <c r="AO172" s="283"/>
      <c r="AP172" s="71"/>
      <c r="AQ172" s="283"/>
      <c r="AR172" s="71"/>
      <c r="AS172" s="283"/>
    </row>
    <row r="173" spans="1:253" s="419" customFormat="1" x14ac:dyDescent="0.2">
      <c r="A173" s="464" t="s">
        <v>190</v>
      </c>
      <c r="B173" s="465">
        <f t="shared" ref="B173:AG173" si="70">SUM(B167:B172)</f>
        <v>356740.78710000002</v>
      </c>
      <c r="C173" s="465">
        <f t="shared" si="70"/>
        <v>374679.89219699998</v>
      </c>
      <c r="D173" s="465">
        <f t="shared" ca="1" si="70"/>
        <v>955500.61580999999</v>
      </c>
      <c r="E173" s="465">
        <f t="shared" ca="1" si="70"/>
        <v>1525603.3394229999</v>
      </c>
      <c r="F173" s="465">
        <f t="shared" ca="1" si="70"/>
        <v>456416.43516500003</v>
      </c>
      <c r="G173" s="465">
        <f t="shared" ca="1" si="70"/>
        <v>464497.63090700004</v>
      </c>
      <c r="H173" s="465">
        <f t="shared" ca="1" si="70"/>
        <v>477669.27944899991</v>
      </c>
      <c r="I173" s="465">
        <f t="shared" ca="1" si="70"/>
        <v>487616.39279099996</v>
      </c>
      <c r="J173" s="465">
        <f t="shared" ca="1" si="70"/>
        <v>495815.15413300006</v>
      </c>
      <c r="K173" s="465">
        <f t="shared" ca="1" si="70"/>
        <v>504013.91547500005</v>
      </c>
      <c r="L173" s="465">
        <f t="shared" ca="1" si="70"/>
        <v>512212.67681699997</v>
      </c>
      <c r="M173" s="465">
        <f t="shared" ca="1" si="70"/>
        <v>520411.43815900001</v>
      </c>
      <c r="N173" s="465">
        <f t="shared" ca="1" si="70"/>
        <v>531596.42230099998</v>
      </c>
      <c r="O173" s="465">
        <f t="shared" ca="1" si="70"/>
        <v>542671.40644300007</v>
      </c>
      <c r="P173" s="465">
        <f t="shared" ca="1" si="70"/>
        <v>554969.54845600005</v>
      </c>
      <c r="Q173" s="465">
        <f t="shared" ca="1" si="70"/>
        <v>567267.69046899991</v>
      </c>
      <c r="R173" s="465">
        <f t="shared" ca="1" si="70"/>
        <v>579565.832482</v>
      </c>
      <c r="S173" s="465">
        <f t="shared" ca="1" si="70"/>
        <v>591863.97449499997</v>
      </c>
      <c r="T173" s="465">
        <f t="shared" ca="1" si="70"/>
        <v>604162.11650800006</v>
      </c>
      <c r="U173" s="465">
        <f t="shared" ca="1" si="70"/>
        <v>616460.25852100004</v>
      </c>
      <c r="V173" s="465">
        <f t="shared" ca="1" si="70"/>
        <v>628758.4005339999</v>
      </c>
      <c r="W173" s="465">
        <f t="shared" ca="1" si="70"/>
        <v>641056.54254699999</v>
      </c>
      <c r="X173" s="465">
        <f t="shared" ca="1" si="70"/>
        <v>653354.68456000008</v>
      </c>
      <c r="Y173" s="465">
        <f t="shared" ca="1" si="70"/>
        <v>665652.82657300006</v>
      </c>
      <c r="Z173" s="465">
        <f t="shared" ca="1" si="70"/>
        <v>677950.96858600003</v>
      </c>
      <c r="AA173" s="465">
        <f t="shared" ca="1" si="70"/>
        <v>690249.11059900001</v>
      </c>
      <c r="AB173" s="465">
        <f t="shared" ca="1" si="70"/>
        <v>702547.2526120001</v>
      </c>
      <c r="AC173" s="465">
        <f t="shared" ca="1" si="70"/>
        <v>714845.39462499996</v>
      </c>
      <c r="AD173" s="465">
        <f t="shared" ca="1" si="70"/>
        <v>727143.53663800005</v>
      </c>
      <c r="AE173" s="465">
        <f t="shared" ca="1" si="70"/>
        <v>742427.90145100001</v>
      </c>
      <c r="AF173" s="465">
        <f t="shared" ca="1" si="70"/>
        <v>757602.26626399998</v>
      </c>
      <c r="AG173" s="465">
        <f t="shared" ca="1" si="70"/>
        <v>757174.26626399998</v>
      </c>
      <c r="AH173" s="465">
        <f ca="1">SUM(AH167:AH172)</f>
        <v>756746.26626399998</v>
      </c>
      <c r="AI173" s="465"/>
      <c r="AM173" s="535"/>
      <c r="AO173" s="283"/>
      <c r="AP173" s="71"/>
      <c r="AQ173" s="283"/>
      <c r="AR173" s="71"/>
      <c r="AS173" s="283"/>
    </row>
    <row r="174" spans="1:253" s="419" customFormat="1" x14ac:dyDescent="0.2">
      <c r="A174" s="464" t="s">
        <v>191</v>
      </c>
      <c r="B174" s="465">
        <f t="shared" ref="B174:AG174" ca="1" si="71">B166-B173</f>
        <v>57766.712899999984</v>
      </c>
      <c r="C174" s="465">
        <f t="shared" ca="1" si="71"/>
        <v>41701.095303000067</v>
      </c>
      <c r="D174" s="465">
        <f t="shared" ca="1" si="71"/>
        <v>37174.894236155902</v>
      </c>
      <c r="E174" s="465">
        <f t="shared" ca="1" si="71"/>
        <v>51164.994199429639</v>
      </c>
      <c r="F174" s="465">
        <f t="shared" ca="1" si="71"/>
        <v>58720.849835000001</v>
      </c>
      <c r="G174" s="465">
        <f t="shared" ca="1" si="71"/>
        <v>59470.23409299989</v>
      </c>
      <c r="H174" s="465">
        <f t="shared" ca="1" si="71"/>
        <v>58742.745551000116</v>
      </c>
      <c r="I174" s="465">
        <f t="shared" ca="1" si="71"/>
        <v>60616.407208999968</v>
      </c>
      <c r="J174" s="465">
        <f t="shared" ca="1" si="71"/>
        <v>63958.410866999882</v>
      </c>
      <c r="K174" s="465">
        <f t="shared" ca="1" si="71"/>
        <v>65493.624524999992</v>
      </c>
      <c r="L174" s="465">
        <f t="shared" ca="1" si="71"/>
        <v>65082.043183000002</v>
      </c>
      <c r="M174" s="465">
        <f t="shared" ca="1" si="71"/>
        <v>70370.841840999899</v>
      </c>
      <c r="N174" s="465">
        <f t="shared" ca="1" si="71"/>
        <v>70866.627699000062</v>
      </c>
      <c r="O174" s="465">
        <f t="shared" ca="1" si="71"/>
        <v>70569.018556999974</v>
      </c>
      <c r="P174" s="465">
        <f t="shared" ca="1" si="71"/>
        <v>54033.911544000031</v>
      </c>
      <c r="Q174" s="465">
        <f t="shared" ca="1" si="71"/>
        <v>47436.149531000061</v>
      </c>
      <c r="R174" s="465">
        <f t="shared" ca="1" si="71"/>
        <v>46818.777518000104</v>
      </c>
      <c r="S174" s="465">
        <f t="shared" ca="1" si="71"/>
        <v>48148.200505000073</v>
      </c>
      <c r="T174" s="465">
        <f t="shared" ca="1" si="71"/>
        <v>48434.223492000019</v>
      </c>
      <c r="U174" s="465">
        <f t="shared" ca="1" si="71"/>
        <v>62207.806478999904</v>
      </c>
      <c r="V174" s="465">
        <f t="shared" ca="1" si="71"/>
        <v>62493.829466000083</v>
      </c>
      <c r="W174" s="465">
        <f t="shared" ca="1" si="71"/>
        <v>62919.857453000033</v>
      </c>
      <c r="X174" s="465">
        <f t="shared" ca="1" si="71"/>
        <v>63205.880439999863</v>
      </c>
      <c r="Y174" s="465">
        <f t="shared" ca="1" si="71"/>
        <v>63631.908426999929</v>
      </c>
      <c r="Z174" s="465">
        <f t="shared" ca="1" si="71"/>
        <v>64961.331414000015</v>
      </c>
      <c r="AA174" s="465">
        <f t="shared" ca="1" si="71"/>
        <v>64343.959401000058</v>
      </c>
      <c r="AB174" s="465">
        <f t="shared" ca="1" si="71"/>
        <v>65673.382387999911</v>
      </c>
      <c r="AC174" s="465">
        <f t="shared" ca="1" si="71"/>
        <v>66099.410374999978</v>
      </c>
      <c r="AD174" s="465">
        <f t="shared" ca="1" si="71"/>
        <v>65482.038361999905</v>
      </c>
      <c r="AE174" s="465">
        <f t="shared" ca="1" si="71"/>
        <v>65772.033549000043</v>
      </c>
      <c r="AF174" s="465">
        <f t="shared" ca="1" si="71"/>
        <v>67215.428736000089</v>
      </c>
      <c r="AG174" s="465">
        <f t="shared" ca="1" si="71"/>
        <v>66600.028736000066</v>
      </c>
      <c r="AH174" s="465">
        <f ca="1">AH166-AH173</f>
        <v>67931.423735999968</v>
      </c>
      <c r="AI174" s="465"/>
      <c r="AM174" s="535"/>
      <c r="AO174" s="283"/>
      <c r="AP174" s="71"/>
      <c r="AQ174" s="283"/>
      <c r="AR174" s="71"/>
      <c r="AS174" s="283"/>
    </row>
    <row r="175" spans="1:253" s="419" customFormat="1" ht="25.5" x14ac:dyDescent="0.2">
      <c r="A175" s="464" t="s">
        <v>192</v>
      </c>
      <c r="B175" s="465">
        <f t="shared" ref="B175:AG175" ca="1" si="72">IF(B174&gt;=0,0,-B174)</f>
        <v>0</v>
      </c>
      <c r="C175" s="465">
        <f t="shared" ca="1" si="72"/>
        <v>0</v>
      </c>
      <c r="D175" s="465">
        <f t="shared" ca="1" si="72"/>
        <v>0</v>
      </c>
      <c r="E175" s="465">
        <f t="shared" ca="1" si="72"/>
        <v>0</v>
      </c>
      <c r="F175" s="465">
        <f t="shared" ca="1" si="72"/>
        <v>0</v>
      </c>
      <c r="G175" s="465">
        <f t="shared" ca="1" si="72"/>
        <v>0</v>
      </c>
      <c r="H175" s="465">
        <f t="shared" ca="1" si="72"/>
        <v>0</v>
      </c>
      <c r="I175" s="465">
        <f t="shared" ca="1" si="72"/>
        <v>0</v>
      </c>
      <c r="J175" s="465">
        <f t="shared" ca="1" si="72"/>
        <v>0</v>
      </c>
      <c r="K175" s="465">
        <f t="shared" ca="1" si="72"/>
        <v>0</v>
      </c>
      <c r="L175" s="465">
        <f t="shared" ca="1" si="72"/>
        <v>0</v>
      </c>
      <c r="M175" s="465">
        <f t="shared" ca="1" si="72"/>
        <v>0</v>
      </c>
      <c r="N175" s="465">
        <f t="shared" ca="1" si="72"/>
        <v>0</v>
      </c>
      <c r="O175" s="465">
        <f t="shared" ca="1" si="72"/>
        <v>0</v>
      </c>
      <c r="P175" s="465">
        <f t="shared" ca="1" si="72"/>
        <v>0</v>
      </c>
      <c r="Q175" s="465">
        <f t="shared" ca="1" si="72"/>
        <v>0</v>
      </c>
      <c r="R175" s="465">
        <f t="shared" ca="1" si="72"/>
        <v>0</v>
      </c>
      <c r="S175" s="465">
        <f t="shared" ca="1" si="72"/>
        <v>0</v>
      </c>
      <c r="T175" s="465">
        <f t="shared" ca="1" si="72"/>
        <v>0</v>
      </c>
      <c r="U175" s="465">
        <f t="shared" ca="1" si="72"/>
        <v>0</v>
      </c>
      <c r="V175" s="465">
        <f t="shared" ca="1" si="72"/>
        <v>0</v>
      </c>
      <c r="W175" s="465">
        <f t="shared" ca="1" si="72"/>
        <v>0</v>
      </c>
      <c r="X175" s="465">
        <f t="shared" ca="1" si="72"/>
        <v>0</v>
      </c>
      <c r="Y175" s="465">
        <f t="shared" ca="1" si="72"/>
        <v>0</v>
      </c>
      <c r="Z175" s="465">
        <f t="shared" ca="1" si="72"/>
        <v>0</v>
      </c>
      <c r="AA175" s="465">
        <f t="shared" ca="1" si="72"/>
        <v>0</v>
      </c>
      <c r="AB175" s="465">
        <f t="shared" ca="1" si="72"/>
        <v>0</v>
      </c>
      <c r="AC175" s="465">
        <f t="shared" ca="1" si="72"/>
        <v>0</v>
      </c>
      <c r="AD175" s="465">
        <f t="shared" ca="1" si="72"/>
        <v>0</v>
      </c>
      <c r="AE175" s="465">
        <f t="shared" ca="1" si="72"/>
        <v>0</v>
      </c>
      <c r="AF175" s="465">
        <f t="shared" ca="1" si="72"/>
        <v>0</v>
      </c>
      <c r="AG175" s="465">
        <f t="shared" ca="1" si="72"/>
        <v>0</v>
      </c>
      <c r="AH175" s="465">
        <f ca="1">IF(AH174&gt;=0,0,-AH174)</f>
        <v>0</v>
      </c>
      <c r="AI175" s="465"/>
      <c r="AM175" s="535"/>
      <c r="AO175" s="283"/>
      <c r="AP175" s="71"/>
      <c r="AQ175" s="283"/>
      <c r="AR175" s="71"/>
      <c r="AS175" s="283"/>
    </row>
    <row r="176" spans="1:253" s="419" customFormat="1" x14ac:dyDescent="0.2">
      <c r="A176" s="464" t="s">
        <v>193</v>
      </c>
      <c r="B176" s="465">
        <f ca="1">B174</f>
        <v>57766.712899999984</v>
      </c>
      <c r="C176" s="465">
        <f t="shared" ref="C176:AG176" ca="1" si="73">B176+C174+C175</f>
        <v>99467.808203000051</v>
      </c>
      <c r="D176" s="465">
        <f t="shared" ca="1" si="73"/>
        <v>136642.70243915595</v>
      </c>
      <c r="E176" s="465">
        <f t="shared" ca="1" si="73"/>
        <v>187807.69663858559</v>
      </c>
      <c r="F176" s="465">
        <f t="shared" ca="1" si="73"/>
        <v>246528.54647358559</v>
      </c>
      <c r="G176" s="465">
        <f t="shared" ca="1" si="73"/>
        <v>305998.78056658548</v>
      </c>
      <c r="H176" s="465">
        <f t="shared" ca="1" si="73"/>
        <v>364741.5261175856</v>
      </c>
      <c r="I176" s="465">
        <f t="shared" ca="1" si="73"/>
        <v>425357.93332658557</v>
      </c>
      <c r="J176" s="465">
        <f t="shared" ca="1" si="73"/>
        <v>489316.34419358545</v>
      </c>
      <c r="K176" s="465">
        <f t="shared" ca="1" si="73"/>
        <v>554809.96871858544</v>
      </c>
      <c r="L176" s="465">
        <f t="shared" ca="1" si="73"/>
        <v>619892.01190158539</v>
      </c>
      <c r="M176" s="465">
        <f t="shared" ca="1" si="73"/>
        <v>690262.85374258528</v>
      </c>
      <c r="N176" s="465">
        <f t="shared" ca="1" si="73"/>
        <v>761129.48144158535</v>
      </c>
      <c r="O176" s="465">
        <f t="shared" ca="1" si="73"/>
        <v>831698.49999858532</v>
      </c>
      <c r="P176" s="465">
        <f t="shared" ca="1" si="73"/>
        <v>885732.41154258535</v>
      </c>
      <c r="Q176" s="465">
        <f t="shared" ca="1" si="73"/>
        <v>933168.56107358541</v>
      </c>
      <c r="R176" s="465">
        <f t="shared" ca="1" si="73"/>
        <v>979987.33859158552</v>
      </c>
      <c r="S176" s="465">
        <f t="shared" ca="1" si="73"/>
        <v>1028135.5390965856</v>
      </c>
      <c r="T176" s="465">
        <f t="shared" ca="1" si="73"/>
        <v>1076569.7625885857</v>
      </c>
      <c r="U176" s="465">
        <f t="shared" ca="1" si="73"/>
        <v>1138777.5690675857</v>
      </c>
      <c r="V176" s="465">
        <f t="shared" ca="1" si="73"/>
        <v>1201271.3985335859</v>
      </c>
      <c r="W176" s="465">
        <f t="shared" ca="1" si="73"/>
        <v>1264191.255986586</v>
      </c>
      <c r="X176" s="465">
        <f t="shared" ca="1" si="73"/>
        <v>1327397.1364265857</v>
      </c>
      <c r="Y176" s="465">
        <f t="shared" ca="1" si="73"/>
        <v>1391029.0448535858</v>
      </c>
      <c r="Z176" s="465">
        <f t="shared" ca="1" si="73"/>
        <v>1455990.3762675859</v>
      </c>
      <c r="AA176" s="465">
        <f t="shared" ca="1" si="73"/>
        <v>1520334.335668586</v>
      </c>
      <c r="AB176" s="465">
        <f t="shared" ca="1" si="73"/>
        <v>1586007.7180565859</v>
      </c>
      <c r="AC176" s="465">
        <f t="shared" ca="1" si="73"/>
        <v>1652107.1284315859</v>
      </c>
      <c r="AD176" s="465">
        <f t="shared" ca="1" si="73"/>
        <v>1717589.1667935858</v>
      </c>
      <c r="AE176" s="465">
        <f t="shared" ca="1" si="73"/>
        <v>1783361.2003425858</v>
      </c>
      <c r="AF176" s="465">
        <f t="shared" ca="1" si="73"/>
        <v>1850576.6290785859</v>
      </c>
      <c r="AG176" s="465">
        <f t="shared" ca="1" si="73"/>
        <v>1917176.6578145861</v>
      </c>
      <c r="AH176" s="465">
        <f ca="1">AG176+AH174+AH175</f>
        <v>1985108.081550586</v>
      </c>
      <c r="AI176" s="465"/>
      <c r="AM176" s="535"/>
      <c r="AO176" s="283"/>
      <c r="AP176" s="71"/>
      <c r="AQ176" s="283"/>
      <c r="AR176" s="71"/>
      <c r="AS176" s="283"/>
    </row>
    <row r="177" spans="1:253" s="419" customFormat="1" x14ac:dyDescent="0.2">
      <c r="AM177" s="535"/>
      <c r="AO177" s="283"/>
      <c r="AP177" s="71"/>
      <c r="AQ177" s="283"/>
      <c r="AR177" s="71"/>
      <c r="AS177" s="283"/>
    </row>
    <row r="178" spans="1:253" s="419" customFormat="1" x14ac:dyDescent="0.2">
      <c r="AM178" s="535"/>
      <c r="AO178" s="283"/>
      <c r="AP178" s="71"/>
      <c r="AQ178" s="283"/>
      <c r="AR178" s="71"/>
      <c r="AS178" s="283"/>
    </row>
    <row r="179" spans="1:253" s="419" customFormat="1" ht="31.5" x14ac:dyDescent="0.2">
      <c r="A179" s="453" t="s">
        <v>457</v>
      </c>
      <c r="B179" s="455"/>
      <c r="C179" s="455"/>
      <c r="D179" s="455"/>
      <c r="E179" s="455"/>
      <c r="F179" s="455"/>
      <c r="G179" s="455"/>
      <c r="H179" s="455"/>
      <c r="I179" s="455"/>
      <c r="J179" s="455"/>
      <c r="K179" s="455"/>
      <c r="L179" s="455"/>
      <c r="M179" s="455"/>
      <c r="N179" s="455"/>
      <c r="O179" s="455"/>
      <c r="P179" s="456"/>
      <c r="Q179" s="456"/>
      <c r="R179" s="456"/>
      <c r="S179" s="456"/>
      <c r="T179" s="456"/>
      <c r="U179" s="456"/>
      <c r="V179" s="456"/>
      <c r="W179" s="456"/>
      <c r="X179" s="456"/>
      <c r="Y179" s="456"/>
      <c r="Z179" s="456"/>
      <c r="AA179" s="456"/>
      <c r="AB179" s="456"/>
      <c r="AC179" s="456"/>
      <c r="AD179" s="456"/>
      <c r="AE179" s="456"/>
      <c r="AF179" s="456"/>
      <c r="AG179" s="456"/>
      <c r="AH179" s="456"/>
      <c r="AI179" s="456"/>
      <c r="AJ179" s="260"/>
      <c r="AK179" s="260"/>
      <c r="AL179" s="260"/>
      <c r="AM179" s="535"/>
      <c r="AN179" s="260"/>
      <c r="AO179" s="283"/>
      <c r="AP179" s="71"/>
      <c r="AQ179" s="283"/>
      <c r="AR179" s="71"/>
      <c r="AS179" s="283"/>
      <c r="AT179" s="260"/>
      <c r="AU179" s="260"/>
      <c r="AV179" s="260"/>
      <c r="AW179" s="260"/>
      <c r="AX179" s="260"/>
      <c r="AY179" s="260"/>
      <c r="AZ179" s="260"/>
      <c r="BA179" s="260"/>
      <c r="BB179" s="260"/>
      <c r="BC179" s="260"/>
      <c r="BD179" s="260"/>
      <c r="BE179" s="260"/>
      <c r="BF179" s="260"/>
      <c r="BG179" s="260"/>
      <c r="BH179" s="260"/>
      <c r="BI179" s="260"/>
      <c r="BJ179" s="260"/>
      <c r="BK179" s="260"/>
      <c r="BL179" s="260"/>
      <c r="BM179" s="260"/>
      <c r="BN179" s="260"/>
      <c r="BO179" s="260"/>
      <c r="BP179" s="260"/>
      <c r="BQ179" s="260"/>
      <c r="BR179" s="260"/>
      <c r="BS179" s="260"/>
      <c r="BT179" s="260"/>
      <c r="BU179" s="260"/>
      <c r="BV179" s="260"/>
      <c r="BW179" s="260"/>
      <c r="BX179" s="260"/>
      <c r="BY179" s="260"/>
      <c r="BZ179" s="260"/>
      <c r="CA179" s="260"/>
      <c r="CB179" s="260"/>
      <c r="CC179" s="260"/>
      <c r="CD179" s="260"/>
      <c r="CE179" s="260"/>
      <c r="CF179" s="260"/>
      <c r="CG179" s="260"/>
      <c r="CH179" s="260"/>
      <c r="CI179" s="260"/>
      <c r="CJ179" s="260"/>
      <c r="CK179" s="260"/>
      <c r="CL179" s="260"/>
      <c r="CM179" s="260"/>
      <c r="CN179" s="260"/>
      <c r="CO179" s="260"/>
      <c r="CP179" s="260"/>
      <c r="CQ179" s="260"/>
      <c r="CR179" s="260"/>
      <c r="CS179" s="260"/>
      <c r="CT179" s="260"/>
      <c r="CU179" s="260"/>
      <c r="CV179" s="260"/>
      <c r="CW179" s="260"/>
      <c r="CX179" s="260"/>
      <c r="CY179" s="260"/>
      <c r="CZ179" s="260"/>
      <c r="DA179" s="260"/>
      <c r="DB179" s="260"/>
      <c r="DC179" s="260"/>
      <c r="DD179" s="260"/>
      <c r="DE179" s="260"/>
      <c r="DF179" s="260"/>
      <c r="DG179" s="260"/>
      <c r="DH179" s="260"/>
      <c r="DI179" s="260"/>
      <c r="DJ179" s="260"/>
      <c r="DK179" s="260"/>
      <c r="DL179" s="260"/>
      <c r="DM179" s="260"/>
      <c r="DN179" s="260"/>
      <c r="DO179" s="260"/>
      <c r="DP179" s="260"/>
      <c r="DQ179" s="260"/>
      <c r="DR179" s="260"/>
      <c r="DS179" s="260"/>
      <c r="DT179" s="260"/>
      <c r="DU179" s="260"/>
      <c r="DV179" s="260"/>
      <c r="DW179" s="260"/>
      <c r="DX179" s="260"/>
      <c r="DY179" s="260"/>
      <c r="DZ179" s="260"/>
      <c r="EA179" s="260"/>
      <c r="EB179" s="260"/>
      <c r="EC179" s="260"/>
      <c r="ED179" s="260"/>
      <c r="EE179" s="260"/>
      <c r="EF179" s="260"/>
      <c r="EG179" s="260"/>
      <c r="EH179" s="260"/>
      <c r="EI179" s="260"/>
      <c r="EJ179" s="260"/>
      <c r="EK179" s="260"/>
      <c r="EL179" s="260"/>
      <c r="EM179" s="260"/>
      <c r="EN179" s="260"/>
      <c r="EO179" s="260"/>
      <c r="EP179" s="260"/>
      <c r="EQ179" s="260"/>
      <c r="ER179" s="260"/>
      <c r="ES179" s="260"/>
      <c r="ET179" s="260"/>
      <c r="EU179" s="260"/>
      <c r="EV179" s="260"/>
      <c r="EW179" s="260"/>
      <c r="EX179" s="260"/>
      <c r="EY179" s="260"/>
      <c r="EZ179" s="260"/>
      <c r="FA179" s="260"/>
      <c r="FB179" s="260"/>
      <c r="FC179" s="260"/>
      <c r="FD179" s="260"/>
      <c r="FE179" s="260"/>
      <c r="FF179" s="260"/>
      <c r="FG179" s="260"/>
      <c r="FH179" s="260"/>
      <c r="FI179" s="260"/>
      <c r="FJ179" s="260"/>
      <c r="FK179" s="260"/>
      <c r="FL179" s="260"/>
      <c r="FM179" s="260"/>
      <c r="FN179" s="260"/>
      <c r="FO179" s="260"/>
      <c r="FP179" s="260"/>
      <c r="FQ179" s="260"/>
      <c r="FR179" s="260"/>
      <c r="FS179" s="260"/>
      <c r="FT179" s="260"/>
      <c r="FU179" s="260"/>
      <c r="FV179" s="260"/>
      <c r="FW179" s="260"/>
      <c r="FX179" s="260"/>
      <c r="FY179" s="260"/>
      <c r="FZ179" s="260"/>
      <c r="GA179" s="260"/>
      <c r="GB179" s="260"/>
      <c r="GC179" s="260"/>
      <c r="GD179" s="260"/>
      <c r="GE179" s="260"/>
      <c r="GF179" s="260"/>
      <c r="GG179" s="260"/>
      <c r="GH179" s="260"/>
      <c r="GI179" s="260"/>
      <c r="GJ179" s="260"/>
      <c r="GK179" s="260"/>
      <c r="GL179" s="260"/>
      <c r="GM179" s="260"/>
      <c r="GN179" s="260"/>
      <c r="GO179" s="260"/>
      <c r="GP179" s="260"/>
      <c r="GQ179" s="260"/>
      <c r="GR179" s="260"/>
      <c r="GS179" s="260"/>
      <c r="GT179" s="260"/>
      <c r="GU179" s="260"/>
      <c r="GV179" s="260"/>
      <c r="GW179" s="260"/>
      <c r="GX179" s="260"/>
      <c r="GY179" s="260"/>
      <c r="GZ179" s="260"/>
      <c r="HA179" s="260"/>
      <c r="HB179" s="260"/>
      <c r="HC179" s="260"/>
      <c r="HD179" s="260"/>
      <c r="HE179" s="260"/>
      <c r="HF179" s="260"/>
      <c r="HG179" s="260"/>
      <c r="HH179" s="260"/>
      <c r="HI179" s="260"/>
      <c r="HJ179" s="260"/>
      <c r="HK179" s="260"/>
      <c r="HL179" s="260"/>
      <c r="HM179" s="260"/>
      <c r="HN179" s="260"/>
      <c r="HO179" s="260"/>
      <c r="HP179" s="260"/>
      <c r="HQ179" s="260"/>
      <c r="HR179" s="260"/>
      <c r="HS179" s="260"/>
      <c r="HT179" s="260"/>
      <c r="HU179" s="260"/>
      <c r="HV179" s="260"/>
      <c r="HW179" s="260"/>
      <c r="HX179" s="260"/>
      <c r="HY179" s="260"/>
      <c r="HZ179" s="260"/>
      <c r="IA179" s="260"/>
      <c r="IB179" s="260"/>
      <c r="IC179" s="260"/>
      <c r="ID179" s="260"/>
      <c r="IE179" s="260"/>
      <c r="IF179" s="260"/>
      <c r="IG179" s="260"/>
      <c r="IH179" s="260"/>
      <c r="II179" s="260"/>
      <c r="IJ179" s="260"/>
      <c r="IK179" s="260"/>
      <c r="IL179" s="260"/>
      <c r="IM179" s="260"/>
      <c r="IN179" s="260"/>
      <c r="IO179" s="260"/>
      <c r="IP179" s="260"/>
      <c r="IQ179" s="260"/>
      <c r="IR179" s="260"/>
      <c r="IS179" s="260"/>
    </row>
    <row r="180" spans="1:253" s="419" customFormat="1" x14ac:dyDescent="0.2">
      <c r="A180" s="483"/>
      <c r="B180" s="445"/>
      <c r="C180" s="445"/>
      <c r="D180" s="445"/>
      <c r="E180" s="445"/>
      <c r="F180" s="445"/>
      <c r="G180" s="445"/>
      <c r="H180" s="445"/>
      <c r="I180" s="445"/>
      <c r="J180" s="445"/>
      <c r="K180" s="445"/>
      <c r="L180" s="445"/>
      <c r="M180" s="484" t="s">
        <v>21</v>
      </c>
      <c r="N180" s="445"/>
      <c r="O180" s="445"/>
      <c r="P180" s="485"/>
      <c r="Q180" s="445"/>
      <c r="R180" s="485"/>
      <c r="S180" s="485"/>
      <c r="T180" s="485"/>
      <c r="U180" s="485"/>
      <c r="V180" s="485"/>
      <c r="W180" s="485"/>
      <c r="X180" s="485"/>
      <c r="Y180" s="485"/>
      <c r="Z180" s="485"/>
      <c r="AA180" s="485"/>
      <c r="AB180" s="485"/>
      <c r="AC180" s="485"/>
      <c r="AD180" s="485"/>
      <c r="AE180" s="485"/>
      <c r="AF180" s="485"/>
      <c r="AG180" s="485"/>
      <c r="AH180" s="485"/>
      <c r="AI180" s="485"/>
      <c r="AJ180" s="260"/>
      <c r="AK180" s="260"/>
      <c r="AL180" s="260"/>
      <c r="AM180" s="535"/>
      <c r="AN180" s="260"/>
      <c r="AO180" s="283"/>
      <c r="AP180" s="71"/>
      <c r="AQ180" s="283"/>
      <c r="AR180" s="71"/>
      <c r="AS180" s="283"/>
      <c r="AT180" s="260"/>
      <c r="AU180" s="260"/>
      <c r="AV180" s="260"/>
      <c r="AW180" s="260"/>
      <c r="AX180" s="260"/>
      <c r="AY180" s="260"/>
      <c r="AZ180" s="260"/>
      <c r="BA180" s="260"/>
      <c r="BB180" s="260"/>
      <c r="BC180" s="260"/>
      <c r="BD180" s="260"/>
      <c r="BE180" s="260"/>
      <c r="BF180" s="260"/>
      <c r="BG180" s="260"/>
      <c r="BH180" s="260"/>
      <c r="BI180" s="260"/>
      <c r="BJ180" s="260"/>
      <c r="BK180" s="260"/>
      <c r="BL180" s="260"/>
      <c r="BM180" s="260"/>
      <c r="BN180" s="260"/>
      <c r="BO180" s="260"/>
      <c r="BP180" s="260"/>
      <c r="BQ180" s="260"/>
      <c r="BR180" s="260"/>
      <c r="BS180" s="260"/>
      <c r="BT180" s="260"/>
      <c r="BU180" s="260"/>
      <c r="BV180" s="260"/>
      <c r="BW180" s="260"/>
      <c r="BX180" s="260"/>
      <c r="BY180" s="260"/>
      <c r="BZ180" s="260"/>
      <c r="CA180" s="260"/>
      <c r="CB180" s="260"/>
      <c r="CC180" s="260"/>
      <c r="CD180" s="260"/>
      <c r="CE180" s="260"/>
      <c r="CF180" s="260"/>
      <c r="CG180" s="260"/>
      <c r="CH180" s="260"/>
      <c r="CI180" s="260"/>
      <c r="CJ180" s="260"/>
      <c r="CK180" s="260"/>
      <c r="CL180" s="260"/>
      <c r="CM180" s="260"/>
      <c r="CN180" s="260"/>
      <c r="CO180" s="260"/>
      <c r="CP180" s="260"/>
      <c r="CQ180" s="260"/>
      <c r="CR180" s="260"/>
      <c r="CS180" s="260"/>
      <c r="CT180" s="260"/>
      <c r="CU180" s="260"/>
      <c r="CV180" s="260"/>
      <c r="CW180" s="260"/>
      <c r="CX180" s="260"/>
      <c r="CY180" s="260"/>
      <c r="CZ180" s="260"/>
      <c r="DA180" s="260"/>
      <c r="DB180" s="260"/>
      <c r="DC180" s="260"/>
      <c r="DD180" s="260"/>
      <c r="DE180" s="260"/>
      <c r="DF180" s="260"/>
      <c r="DG180" s="260"/>
      <c r="DH180" s="260"/>
      <c r="DI180" s="260"/>
      <c r="DJ180" s="260"/>
      <c r="DK180" s="260"/>
      <c r="DL180" s="260"/>
      <c r="DM180" s="260"/>
      <c r="DN180" s="260"/>
      <c r="DO180" s="260"/>
      <c r="DP180" s="260"/>
      <c r="DQ180" s="260"/>
      <c r="DR180" s="260"/>
      <c r="DS180" s="260"/>
      <c r="DT180" s="260"/>
      <c r="DU180" s="260"/>
      <c r="DV180" s="260"/>
      <c r="DW180" s="260"/>
      <c r="DX180" s="260"/>
      <c r="DY180" s="260"/>
      <c r="DZ180" s="260"/>
      <c r="EA180" s="260"/>
      <c r="EB180" s="260"/>
      <c r="EC180" s="260"/>
      <c r="ED180" s="260"/>
      <c r="EE180" s="260"/>
      <c r="EF180" s="260"/>
      <c r="EG180" s="260"/>
      <c r="EH180" s="260"/>
      <c r="EI180" s="260"/>
      <c r="EJ180" s="260"/>
      <c r="EK180" s="260"/>
      <c r="EL180" s="260"/>
      <c r="EM180" s="260"/>
      <c r="EN180" s="260"/>
      <c r="EO180" s="260"/>
      <c r="EP180" s="260"/>
      <c r="EQ180" s="260"/>
      <c r="ER180" s="260"/>
      <c r="ES180" s="260"/>
      <c r="ET180" s="260"/>
      <c r="EU180" s="260"/>
      <c r="EV180" s="260"/>
      <c r="EW180" s="260"/>
      <c r="EX180" s="260"/>
      <c r="EY180" s="260"/>
      <c r="EZ180" s="260"/>
      <c r="FA180" s="260"/>
      <c r="FB180" s="260"/>
      <c r="FC180" s="260"/>
      <c r="FD180" s="260"/>
      <c r="FE180" s="260"/>
      <c r="FF180" s="260"/>
      <c r="FG180" s="260"/>
      <c r="FH180" s="260"/>
      <c r="FI180" s="260"/>
      <c r="FJ180" s="260"/>
      <c r="FK180" s="260"/>
      <c r="FL180" s="260"/>
      <c r="FM180" s="260"/>
      <c r="FN180" s="260"/>
      <c r="FO180" s="260"/>
      <c r="FP180" s="260"/>
      <c r="FQ180" s="260"/>
      <c r="FR180" s="260"/>
      <c r="FS180" s="260"/>
      <c r="FT180" s="260"/>
      <c r="FU180" s="260"/>
      <c r="FV180" s="260"/>
      <c r="FW180" s="260"/>
      <c r="FX180" s="260"/>
      <c r="FY180" s="260"/>
      <c r="FZ180" s="260"/>
      <c r="GA180" s="260"/>
      <c r="GB180" s="260"/>
      <c r="GC180" s="260"/>
      <c r="GD180" s="260"/>
      <c r="GE180" s="260"/>
      <c r="GF180" s="260"/>
      <c r="GG180" s="260"/>
      <c r="GH180" s="260"/>
      <c r="GI180" s="260"/>
      <c r="GJ180" s="260"/>
      <c r="GK180" s="260"/>
      <c r="GL180" s="260"/>
      <c r="GM180" s="260"/>
      <c r="GN180" s="260"/>
      <c r="GO180" s="260"/>
      <c r="GP180" s="260"/>
      <c r="GQ180" s="260"/>
      <c r="GR180" s="260"/>
      <c r="GS180" s="260"/>
      <c r="GT180" s="260"/>
      <c r="GU180" s="260"/>
      <c r="GV180" s="260"/>
      <c r="GW180" s="260"/>
      <c r="GX180" s="260"/>
      <c r="GY180" s="260"/>
      <c r="GZ180" s="260"/>
      <c r="HA180" s="260"/>
      <c r="HB180" s="260"/>
      <c r="HC180" s="260"/>
      <c r="HD180" s="260"/>
      <c r="HE180" s="260"/>
      <c r="HF180" s="260"/>
      <c r="HG180" s="260"/>
      <c r="HH180" s="260"/>
      <c r="HI180" s="260"/>
      <c r="HJ180" s="260"/>
      <c r="HK180" s="260"/>
      <c r="HL180" s="260"/>
      <c r="HM180" s="260"/>
      <c r="HN180" s="260"/>
      <c r="HO180" s="260"/>
      <c r="HP180" s="260"/>
      <c r="HQ180" s="260"/>
      <c r="HR180" s="260"/>
      <c r="HS180" s="260"/>
      <c r="HT180" s="260"/>
      <c r="HU180" s="260"/>
      <c r="HV180" s="260"/>
      <c r="HW180" s="260"/>
      <c r="HX180" s="260"/>
      <c r="HY180" s="260"/>
      <c r="HZ180" s="260"/>
      <c r="IA180" s="260"/>
      <c r="IB180" s="260"/>
      <c r="IC180" s="260"/>
      <c r="ID180" s="260"/>
      <c r="IE180" s="260"/>
      <c r="IF180" s="260"/>
      <c r="IG180" s="260"/>
      <c r="IH180" s="260"/>
      <c r="II180" s="260"/>
      <c r="IJ180" s="260"/>
      <c r="IK180" s="260"/>
      <c r="IL180" s="260"/>
      <c r="IM180" s="260"/>
      <c r="IN180" s="260"/>
      <c r="IO180" s="260"/>
      <c r="IP180" s="260"/>
      <c r="IQ180" s="260"/>
      <c r="IR180" s="260"/>
      <c r="IS180" s="260"/>
    </row>
    <row r="181" spans="1:253" s="419" customFormat="1" ht="14.25" customHeight="1" x14ac:dyDescent="0.2">
      <c r="A181" s="417"/>
      <c r="B181" s="467">
        <f>Aprekini!B5</f>
        <v>2014</v>
      </c>
      <c r="C181" s="467">
        <f t="shared" ref="C181:AG181" si="74">B181+1</f>
        <v>2015</v>
      </c>
      <c r="D181" s="467">
        <f t="shared" si="74"/>
        <v>2016</v>
      </c>
      <c r="E181" s="467">
        <f t="shared" si="74"/>
        <v>2017</v>
      </c>
      <c r="F181" s="467">
        <f t="shared" si="74"/>
        <v>2018</v>
      </c>
      <c r="G181" s="467">
        <f t="shared" si="74"/>
        <v>2019</v>
      </c>
      <c r="H181" s="467">
        <f t="shared" si="74"/>
        <v>2020</v>
      </c>
      <c r="I181" s="467">
        <f t="shared" si="74"/>
        <v>2021</v>
      </c>
      <c r="J181" s="467">
        <f t="shared" si="74"/>
        <v>2022</v>
      </c>
      <c r="K181" s="467">
        <f t="shared" si="74"/>
        <v>2023</v>
      </c>
      <c r="L181" s="467">
        <f t="shared" si="74"/>
        <v>2024</v>
      </c>
      <c r="M181" s="467">
        <f t="shared" si="74"/>
        <v>2025</v>
      </c>
      <c r="N181" s="467">
        <f t="shared" si="74"/>
        <v>2026</v>
      </c>
      <c r="O181" s="467">
        <f t="shared" si="74"/>
        <v>2027</v>
      </c>
      <c r="P181" s="467">
        <f t="shared" si="74"/>
        <v>2028</v>
      </c>
      <c r="Q181" s="467">
        <f t="shared" si="74"/>
        <v>2029</v>
      </c>
      <c r="R181" s="467">
        <f t="shared" si="74"/>
        <v>2030</v>
      </c>
      <c r="S181" s="467">
        <f t="shared" si="74"/>
        <v>2031</v>
      </c>
      <c r="T181" s="467">
        <f t="shared" si="74"/>
        <v>2032</v>
      </c>
      <c r="U181" s="461">
        <f t="shared" si="74"/>
        <v>2033</v>
      </c>
      <c r="V181" s="461">
        <f t="shared" si="74"/>
        <v>2034</v>
      </c>
      <c r="W181" s="461">
        <f t="shared" si="74"/>
        <v>2035</v>
      </c>
      <c r="X181" s="461">
        <f t="shared" si="74"/>
        <v>2036</v>
      </c>
      <c r="Y181" s="461">
        <f t="shared" si="74"/>
        <v>2037</v>
      </c>
      <c r="Z181" s="461">
        <f t="shared" si="74"/>
        <v>2038</v>
      </c>
      <c r="AA181" s="461">
        <f t="shared" si="74"/>
        <v>2039</v>
      </c>
      <c r="AB181" s="461">
        <f t="shared" si="74"/>
        <v>2040</v>
      </c>
      <c r="AC181" s="461">
        <f t="shared" si="74"/>
        <v>2041</v>
      </c>
      <c r="AD181" s="461">
        <f t="shared" si="74"/>
        <v>2042</v>
      </c>
      <c r="AE181" s="461">
        <f t="shared" si="74"/>
        <v>2043</v>
      </c>
      <c r="AF181" s="461">
        <f t="shared" si="74"/>
        <v>2044</v>
      </c>
      <c r="AG181" s="461">
        <f t="shared" si="74"/>
        <v>2045</v>
      </c>
      <c r="AH181" s="461">
        <f>AG181+1</f>
        <v>2046</v>
      </c>
      <c r="AI181" s="461"/>
      <c r="AM181" s="535"/>
      <c r="AO181" s="283"/>
      <c r="AP181" s="71"/>
      <c r="AQ181" s="283"/>
      <c r="AR181" s="71"/>
      <c r="AS181" s="283"/>
    </row>
    <row r="182" spans="1:253" s="419" customFormat="1" ht="14.25" customHeight="1" x14ac:dyDescent="0.2">
      <c r="A182" s="481" t="s">
        <v>133</v>
      </c>
      <c r="B182" s="463">
        <f>'Saimnieciskas pamatdarbibas NP'!B111</f>
        <v>0</v>
      </c>
      <c r="C182" s="463">
        <f>'Saimnieciskas pamatdarbibas NP'!C111</f>
        <v>0</v>
      </c>
      <c r="D182" s="463">
        <f>'Saimnieciskas pamatdarbibas NP'!D111</f>
        <v>23572.399999999929</v>
      </c>
      <c r="E182" s="463">
        <f ca="1">'Saimnieciskas pamatdarbibas NP'!E111</f>
        <v>48343.324999999975</v>
      </c>
      <c r="F182" s="463">
        <f ca="1">'Saimnieciskas pamatdarbibas NP'!F111</f>
        <v>68866.760000000009</v>
      </c>
      <c r="G182" s="463">
        <f ca="1">'Saimnieciskas pamatdarbibas NP'!G111</f>
        <v>69407.18999999993</v>
      </c>
      <c r="H182" s="463">
        <f ca="1">'Saimnieciskas pamatdarbibas NP'!H111</f>
        <v>74759.725000000064</v>
      </c>
      <c r="I182" s="463">
        <f ca="1">'Saimnieciskas pamatdarbibas NP'!I111</f>
        <v>79164.362499999988</v>
      </c>
      <c r="J182" s="463">
        <f ca="1">'Saimnieciskas pamatdarbibas NP'!J111</f>
        <v>83613.5024999999</v>
      </c>
      <c r="K182" s="463">
        <f ca="1">'Saimnieciskas pamatdarbibas NP'!K111</f>
        <v>85057.327500000058</v>
      </c>
      <c r="L182" s="463">
        <f ca="1">'Saimnieciskas pamatdarbibas NP'!L111</f>
        <v>86626.89499999996</v>
      </c>
      <c r="M182" s="463">
        <f ca="1">'Saimnieciskas pamatdarbibas NP'!M111</f>
        <v>93022.829999999958</v>
      </c>
      <c r="N182" s="463">
        <f ca="1">'Saimnieciskas pamatdarbibas NP'!N111</f>
        <v>94340.912500000035</v>
      </c>
      <c r="O182" s="463">
        <f ca="1">'Saimnieciskas pamatdarbibas NP'!O111</f>
        <v>94755.600000000079</v>
      </c>
      <c r="P182" s="463">
        <f ca="1">'Saimnieciskas pamatdarbibas NP'!P111</f>
        <v>79281.934999999998</v>
      </c>
      <c r="Q182" s="463">
        <f ca="1">'Saimnieciskas pamatdarbibas NP'!Q111</f>
        <v>82909.777499999953</v>
      </c>
      <c r="R182" s="463">
        <f ca="1">'Saimnieciskas pamatdarbibas NP'!R111</f>
        <v>83353.847500000076</v>
      </c>
      <c r="S182" s="463">
        <f ca="1">'Saimnieciskas pamatdarbibas NP'!S111</f>
        <v>85744.712499999994</v>
      </c>
      <c r="T182" s="463">
        <f ca="1">'Saimnieciskas pamatdarbibas NP'!T111</f>
        <v>87966.190000000148</v>
      </c>
      <c r="U182" s="463">
        <f ca="1">'Saimnieciskas pamatdarbibas NP'!U111</f>
        <v>102801.21499999997</v>
      </c>
      <c r="V182" s="463">
        <f ca="1">'Saimnieciskas pamatdarbibas NP'!V111</f>
        <v>103824.1675</v>
      </c>
      <c r="W182" s="463">
        <f ca="1">'Saimnieciskas pamatdarbibas NP'!W111</f>
        <v>105311.63750000004</v>
      </c>
      <c r="X182" s="463">
        <f ca="1">'Saimnieciskas pamatdarbibas NP'!X111</f>
        <v>107533.11499999995</v>
      </c>
      <c r="Y182" s="463">
        <f ca="1">'Saimnieciskas pamatdarbibas NP'!Y111</f>
        <v>109020.58499999998</v>
      </c>
      <c r="Z182" s="463">
        <f ca="1">'Saimnieciskas pamatdarbibas NP'!Z111</f>
        <v>111411.44999999998</v>
      </c>
      <c r="AA182" s="463">
        <f ca="1">'Saimnieciskas pamatdarbibas NP'!AA111</f>
        <v>111531.00750000009</v>
      </c>
      <c r="AB182" s="463">
        <f ca="1">'Saimnieciskas pamatdarbibas NP'!AB111</f>
        <v>113921.87249999988</v>
      </c>
      <c r="AC182" s="463">
        <f ca="1">'Saimnieciskas pamatdarbibas NP'!AC111</f>
        <v>116283.35499999994</v>
      </c>
      <c r="AD182" s="463">
        <f ca="1">'Saimnieciskas pamatdarbibas NP'!AD111</f>
        <v>116727.42499999996</v>
      </c>
      <c r="AE182" s="463">
        <f ca="1">'Saimnieciskas pamatdarbibas NP'!AE111</f>
        <v>118992.5475000001</v>
      </c>
      <c r="AF182" s="463">
        <f ca="1">'Saimnieciskas pamatdarbibas NP'!AF111</f>
        <v>121976.55749999998</v>
      </c>
      <c r="AG182" s="463">
        <f ca="1">'Saimnieciskas pamatdarbibas NP'!AG111</f>
        <v>120933.15750000003</v>
      </c>
      <c r="AH182" s="463">
        <f ca="1">'Saimnieciskas pamatdarbibas NP'!AH111</f>
        <v>121836.55249999999</v>
      </c>
      <c r="AI182" s="463"/>
      <c r="AM182" s="535"/>
      <c r="AO182" s="283"/>
      <c r="AP182" s="71"/>
      <c r="AQ182" s="283"/>
      <c r="AR182" s="71"/>
      <c r="AS182" s="283"/>
    </row>
    <row r="183" spans="1:253" s="419" customFormat="1" ht="14.25" customHeight="1" x14ac:dyDescent="0.2">
      <c r="A183" s="481" t="s">
        <v>387</v>
      </c>
      <c r="B183" s="463">
        <f t="shared" ref="B183:AH183" si="75">B104</f>
        <v>0</v>
      </c>
      <c r="C183" s="463">
        <f t="shared" si="75"/>
        <v>0</v>
      </c>
      <c r="D183" s="463">
        <f t="shared" si="75"/>
        <v>0</v>
      </c>
      <c r="E183" s="463">
        <f t="shared" si="75"/>
        <v>0</v>
      </c>
      <c r="F183" s="463">
        <f t="shared" si="75"/>
        <v>0</v>
      </c>
      <c r="G183" s="463">
        <f t="shared" si="75"/>
        <v>0</v>
      </c>
      <c r="H183" s="463">
        <f t="shared" si="75"/>
        <v>0</v>
      </c>
      <c r="I183" s="463">
        <f t="shared" si="75"/>
        <v>0</v>
      </c>
      <c r="J183" s="463">
        <f t="shared" si="75"/>
        <v>0</v>
      </c>
      <c r="K183" s="463">
        <f t="shared" si="75"/>
        <v>0</v>
      </c>
      <c r="L183" s="463">
        <f t="shared" si="75"/>
        <v>0</v>
      </c>
      <c r="M183" s="463">
        <f t="shared" si="75"/>
        <v>0</v>
      </c>
      <c r="N183" s="463">
        <f t="shared" si="75"/>
        <v>0</v>
      </c>
      <c r="O183" s="463">
        <f t="shared" si="75"/>
        <v>0</v>
      </c>
      <c r="P183" s="463">
        <f t="shared" si="75"/>
        <v>0</v>
      </c>
      <c r="Q183" s="463">
        <f t="shared" si="75"/>
        <v>0</v>
      </c>
      <c r="R183" s="463">
        <f t="shared" si="75"/>
        <v>0</v>
      </c>
      <c r="S183" s="463">
        <f t="shared" si="75"/>
        <v>0</v>
      </c>
      <c r="T183" s="463">
        <f t="shared" si="75"/>
        <v>0</v>
      </c>
      <c r="U183" s="463">
        <f t="shared" si="75"/>
        <v>0</v>
      </c>
      <c r="V183" s="463">
        <f t="shared" si="75"/>
        <v>0</v>
      </c>
      <c r="W183" s="463">
        <f t="shared" si="75"/>
        <v>0</v>
      </c>
      <c r="X183" s="463">
        <f t="shared" si="75"/>
        <v>0</v>
      </c>
      <c r="Y183" s="463">
        <f t="shared" si="75"/>
        <v>0</v>
      </c>
      <c r="Z183" s="463">
        <f t="shared" si="75"/>
        <v>0</v>
      </c>
      <c r="AA183" s="463">
        <f t="shared" si="75"/>
        <v>0</v>
      </c>
      <c r="AB183" s="463">
        <f t="shared" si="75"/>
        <v>0</v>
      </c>
      <c r="AC183" s="463">
        <f t="shared" si="75"/>
        <v>0</v>
      </c>
      <c r="AD183" s="463">
        <f t="shared" si="75"/>
        <v>0</v>
      </c>
      <c r="AE183" s="463">
        <f t="shared" si="75"/>
        <v>0</v>
      </c>
      <c r="AF183" s="463">
        <f t="shared" si="75"/>
        <v>0</v>
      </c>
      <c r="AG183" s="463">
        <f t="shared" si="75"/>
        <v>417846</v>
      </c>
      <c r="AH183" s="463">
        <f t="shared" si="75"/>
        <v>0</v>
      </c>
      <c r="AI183" s="463"/>
      <c r="AM183" s="535"/>
      <c r="AO183" s="283"/>
      <c r="AP183" s="71"/>
      <c r="AQ183" s="283"/>
      <c r="AR183" s="71"/>
      <c r="AS183" s="283"/>
    </row>
    <row r="184" spans="1:253" s="419" customFormat="1" x14ac:dyDescent="0.2">
      <c r="A184" s="464" t="s">
        <v>194</v>
      </c>
      <c r="B184" s="465">
        <f>SUM(B182:B183)</f>
        <v>0</v>
      </c>
      <c r="C184" s="465">
        <f t="shared" ref="C184:AH184" si="76">SUM(C182:C183)</f>
        <v>0</v>
      </c>
      <c r="D184" s="465">
        <f t="shared" si="76"/>
        <v>23572.399999999929</v>
      </c>
      <c r="E184" s="465">
        <f t="shared" ca="1" si="76"/>
        <v>48343.324999999975</v>
      </c>
      <c r="F184" s="465">
        <f t="shared" ca="1" si="76"/>
        <v>68866.760000000009</v>
      </c>
      <c r="G184" s="465">
        <f t="shared" ca="1" si="76"/>
        <v>69407.18999999993</v>
      </c>
      <c r="H184" s="465">
        <f t="shared" ca="1" si="76"/>
        <v>74759.725000000064</v>
      </c>
      <c r="I184" s="465">
        <f t="shared" ca="1" si="76"/>
        <v>79164.362499999988</v>
      </c>
      <c r="J184" s="465">
        <f t="shared" ca="1" si="76"/>
        <v>83613.5024999999</v>
      </c>
      <c r="K184" s="465">
        <f t="shared" ca="1" si="76"/>
        <v>85057.327500000058</v>
      </c>
      <c r="L184" s="465">
        <f t="shared" ca="1" si="76"/>
        <v>86626.89499999996</v>
      </c>
      <c r="M184" s="465">
        <f t="shared" ca="1" si="76"/>
        <v>93022.829999999958</v>
      </c>
      <c r="N184" s="465">
        <f t="shared" ca="1" si="76"/>
        <v>94340.912500000035</v>
      </c>
      <c r="O184" s="465">
        <f t="shared" ca="1" si="76"/>
        <v>94755.600000000079</v>
      </c>
      <c r="P184" s="465">
        <f t="shared" ca="1" si="76"/>
        <v>79281.934999999998</v>
      </c>
      <c r="Q184" s="465">
        <f t="shared" ca="1" si="76"/>
        <v>82909.777499999953</v>
      </c>
      <c r="R184" s="465">
        <f t="shared" ca="1" si="76"/>
        <v>83353.847500000076</v>
      </c>
      <c r="S184" s="465">
        <f t="shared" ca="1" si="76"/>
        <v>85744.712499999994</v>
      </c>
      <c r="T184" s="465">
        <f t="shared" ca="1" si="76"/>
        <v>87966.190000000148</v>
      </c>
      <c r="U184" s="465">
        <f t="shared" ca="1" si="76"/>
        <v>102801.21499999997</v>
      </c>
      <c r="V184" s="465">
        <f t="shared" ca="1" si="76"/>
        <v>103824.1675</v>
      </c>
      <c r="W184" s="465">
        <f t="shared" ca="1" si="76"/>
        <v>105311.63750000004</v>
      </c>
      <c r="X184" s="465">
        <f t="shared" ca="1" si="76"/>
        <v>107533.11499999995</v>
      </c>
      <c r="Y184" s="465">
        <f t="shared" ca="1" si="76"/>
        <v>109020.58499999998</v>
      </c>
      <c r="Z184" s="465">
        <f t="shared" ca="1" si="76"/>
        <v>111411.44999999998</v>
      </c>
      <c r="AA184" s="465">
        <f t="shared" ca="1" si="76"/>
        <v>111531.00750000009</v>
      </c>
      <c r="AB184" s="465">
        <f t="shared" ca="1" si="76"/>
        <v>113921.87249999988</v>
      </c>
      <c r="AC184" s="465">
        <f t="shared" ca="1" si="76"/>
        <v>116283.35499999994</v>
      </c>
      <c r="AD184" s="465">
        <f t="shared" ca="1" si="76"/>
        <v>116727.42499999996</v>
      </c>
      <c r="AE184" s="465">
        <f t="shared" ca="1" si="76"/>
        <v>118992.5475000001</v>
      </c>
      <c r="AF184" s="465">
        <f t="shared" ca="1" si="76"/>
        <v>121976.55749999998</v>
      </c>
      <c r="AG184" s="465">
        <f t="shared" ca="1" si="76"/>
        <v>538779.15749999997</v>
      </c>
      <c r="AH184" s="465">
        <f t="shared" ca="1" si="76"/>
        <v>121836.55249999999</v>
      </c>
      <c r="AI184" s="465"/>
      <c r="AM184" s="535"/>
      <c r="AO184" s="283"/>
      <c r="AP184" s="71"/>
      <c r="AQ184" s="283"/>
      <c r="AR184" s="71"/>
      <c r="AS184" s="283"/>
    </row>
    <row r="185" spans="1:253" s="419" customFormat="1" x14ac:dyDescent="0.2">
      <c r="A185" s="433" t="s">
        <v>195</v>
      </c>
      <c r="B185" s="463">
        <f>'Saimnieciskas pamatdarbibas NP'!B102</f>
        <v>0</v>
      </c>
      <c r="C185" s="463">
        <f>'Saimnieciskas pamatdarbibas NP'!C102</f>
        <v>0</v>
      </c>
      <c r="D185" s="463">
        <f>'Saimnieciskas pamatdarbibas NP'!D102</f>
        <v>23659.5</v>
      </c>
      <c r="E185" s="463">
        <f>'Saimnieciskas pamatdarbibas NP'!E102</f>
        <v>47319</v>
      </c>
      <c r="F185" s="463">
        <f>'Saimnieciskas pamatdarbibas NP'!F102</f>
        <v>53197.27999999997</v>
      </c>
      <c r="G185" s="463">
        <f>'Saimnieciskas pamatdarbibas NP'!G102</f>
        <v>54143.660000000033</v>
      </c>
      <c r="H185" s="463">
        <f>'Saimnieciskas pamatdarbibas NP'!H102</f>
        <v>60180.492799999949</v>
      </c>
      <c r="I185" s="463">
        <f>'Saimnieciskas pamatdarbibas NP'!I102</f>
        <v>62992.790399999998</v>
      </c>
      <c r="J185" s="463">
        <f>'Saimnieciskas pamatdarbibas NP'!J102</f>
        <v>64056.736000000034</v>
      </c>
      <c r="K185" s="463">
        <f>'Saimnieciskas pamatdarbibas NP'!K102</f>
        <v>65120.681600000011</v>
      </c>
      <c r="L185" s="463">
        <f>'Saimnieciskas pamatdarbibas NP'!L102</f>
        <v>66184.627199999988</v>
      </c>
      <c r="M185" s="463">
        <f>'Saimnieciskas pamatdarbibas NP'!M102</f>
        <v>67248.572800000024</v>
      </c>
      <c r="N185" s="463">
        <f>'Saimnieciskas pamatdarbibas NP'!N102</f>
        <v>68954.491200000106</v>
      </c>
      <c r="O185" s="463">
        <f>'Saimnieciskas pamatdarbibas NP'!O102</f>
        <v>70550.409600000072</v>
      </c>
      <c r="P185" s="463">
        <f>'Saimnieciskas pamatdarbibas NP'!P102</f>
        <v>72146.328000000038</v>
      </c>
      <c r="Q185" s="463">
        <f>'Saimnieciskas pamatdarbibas NP'!Q102</f>
        <v>73742.246399999945</v>
      </c>
      <c r="R185" s="463">
        <f>'Saimnieciskas pamatdarbibas NP'!R102</f>
        <v>75338.164800000028</v>
      </c>
      <c r="S185" s="463">
        <f>'Saimnieciskas pamatdarbibas NP'!S102</f>
        <v>76934.083199999935</v>
      </c>
      <c r="T185" s="463">
        <f>'Saimnieciskas pamatdarbibas NP'!T102</f>
        <v>78530.001600000018</v>
      </c>
      <c r="U185" s="463">
        <f>'Saimnieciskas pamatdarbibas NP'!U102</f>
        <v>80125.920000000042</v>
      </c>
      <c r="V185" s="463">
        <f>'Saimnieciskas pamatdarbibas NP'!V102</f>
        <v>81721.83839999995</v>
      </c>
      <c r="W185" s="463">
        <f>'Saimnieciskas pamatdarbibas NP'!W102</f>
        <v>83317.756800000032</v>
      </c>
      <c r="X185" s="463">
        <f>'Saimnieciskas pamatdarbibas NP'!X102</f>
        <v>84913.675199999998</v>
      </c>
      <c r="Y185" s="463">
        <f>'Saimnieciskas pamatdarbibas NP'!Y102</f>
        <v>86509.59360000008</v>
      </c>
      <c r="Z185" s="463">
        <f>'Saimnieciskas pamatdarbibas NP'!Z102</f>
        <v>88105.511999999988</v>
      </c>
      <c r="AA185" s="463">
        <f>'Saimnieciskas pamatdarbibas NP'!AA102</f>
        <v>89701.43040000007</v>
      </c>
      <c r="AB185" s="463">
        <f>'Saimnieciskas pamatdarbibas NP'!AB102</f>
        <v>91297.348800000036</v>
      </c>
      <c r="AC185" s="463">
        <f>'Saimnieciskas pamatdarbibas NP'!AC102</f>
        <v>92893.267200000002</v>
      </c>
      <c r="AD185" s="463">
        <f>'Saimnieciskas pamatdarbibas NP'!AD102</f>
        <v>94489.185600000026</v>
      </c>
      <c r="AE185" s="463">
        <f>'Saimnieciskas pamatdarbibas NP'!AE102</f>
        <v>96727.076799999923</v>
      </c>
      <c r="AF185" s="463">
        <f>'Saimnieciskas pamatdarbibas NP'!AF102</f>
        <v>98854.967999999993</v>
      </c>
      <c r="AG185" s="463">
        <f>'Saimnieciskas pamatdarbibas NP'!AG102</f>
        <v>98414.967999999993</v>
      </c>
      <c r="AH185" s="463">
        <f>'Saimnieciskas pamatdarbibas NP'!AH102</f>
        <v>97974.967999999993</v>
      </c>
      <c r="AI185" s="463"/>
      <c r="AM185" s="535"/>
      <c r="AO185" s="283"/>
      <c r="AP185" s="71"/>
      <c r="AQ185" s="283"/>
      <c r="AR185" s="71"/>
      <c r="AS185" s="283"/>
    </row>
    <row r="186" spans="1:253" s="419" customFormat="1" x14ac:dyDescent="0.2">
      <c r="A186" s="464" t="s">
        <v>185</v>
      </c>
      <c r="B186" s="465">
        <f>Aprekini!B140</f>
        <v>0</v>
      </c>
      <c r="C186" s="465">
        <f>Aprekini!C140</f>
        <v>0</v>
      </c>
      <c r="D186" s="465">
        <f>Aprekini!D140</f>
        <v>546459</v>
      </c>
      <c r="E186" s="465">
        <f>Aprekini!E140</f>
        <v>1082200</v>
      </c>
      <c r="F186" s="465">
        <f>Aprekini!F140</f>
        <v>0</v>
      </c>
      <c r="G186" s="465">
        <f>Aprekini!G140</f>
        <v>0</v>
      </c>
      <c r="H186" s="465">
        <f>Aprekini!H140</f>
        <v>0</v>
      </c>
      <c r="I186" s="465">
        <f>Aprekini!I140</f>
        <v>0</v>
      </c>
      <c r="J186" s="465">
        <f>Aprekini!J140</f>
        <v>0</v>
      </c>
      <c r="K186" s="465">
        <f>Aprekini!K140</f>
        <v>0</v>
      </c>
      <c r="L186" s="465">
        <f>Aprekini!L140</f>
        <v>0</v>
      </c>
      <c r="M186" s="465">
        <f>Aprekini!M140</f>
        <v>0</v>
      </c>
      <c r="N186" s="465">
        <f>Aprekini!N140</f>
        <v>0</v>
      </c>
      <c r="O186" s="465">
        <f>Aprekini!O140</f>
        <v>0</v>
      </c>
      <c r="P186" s="465">
        <f>Aprekini!P140</f>
        <v>0</v>
      </c>
      <c r="Q186" s="465">
        <f>Aprekini!Q140</f>
        <v>0</v>
      </c>
      <c r="R186" s="465">
        <f>Aprekini!R140</f>
        <v>0</v>
      </c>
      <c r="S186" s="465">
        <f>Aprekini!S140</f>
        <v>0</v>
      </c>
      <c r="T186" s="465">
        <f>Aprekini!T140</f>
        <v>0</v>
      </c>
      <c r="U186" s="465">
        <f>Aprekini!U140</f>
        <v>0</v>
      </c>
      <c r="V186" s="465">
        <f>Aprekini!V140</f>
        <v>0</v>
      </c>
      <c r="W186" s="465">
        <f>Aprekini!W140</f>
        <v>0</v>
      </c>
      <c r="X186" s="465">
        <f>Aprekini!X140</f>
        <v>0</v>
      </c>
      <c r="Y186" s="465">
        <f>Aprekini!Y140</f>
        <v>0</v>
      </c>
      <c r="Z186" s="465">
        <f>Aprekini!Z140</f>
        <v>0</v>
      </c>
      <c r="AA186" s="465">
        <f>Aprekini!AA140</f>
        <v>0</v>
      </c>
      <c r="AB186" s="465">
        <f>Aprekini!AB140</f>
        <v>0</v>
      </c>
      <c r="AC186" s="465">
        <f>Aprekini!AC140</f>
        <v>0</v>
      </c>
      <c r="AD186" s="465">
        <f>Aprekini!AD140</f>
        <v>0</v>
      </c>
      <c r="AE186" s="465">
        <f>Aprekini!AE140</f>
        <v>0</v>
      </c>
      <c r="AF186" s="465">
        <f>Aprekini!AF140</f>
        <v>0</v>
      </c>
      <c r="AG186" s="465">
        <f>Aprekini!AG140</f>
        <v>0</v>
      </c>
      <c r="AH186" s="465">
        <f>Aprekini!AH140</f>
        <v>0</v>
      </c>
      <c r="AI186" s="465"/>
      <c r="AM186" s="535"/>
      <c r="AO186" s="283"/>
      <c r="AP186" s="71"/>
      <c r="AQ186" s="283"/>
      <c r="AR186" s="71"/>
      <c r="AS186" s="283"/>
    </row>
    <row r="187" spans="1:253" s="419" customFormat="1" x14ac:dyDescent="0.2">
      <c r="A187" s="464" t="s">
        <v>196</v>
      </c>
      <c r="B187" s="465">
        <f t="shared" ref="B187:AG187" si="77">SUM(B185:B186)</f>
        <v>0</v>
      </c>
      <c r="C187" s="465">
        <f t="shared" si="77"/>
        <v>0</v>
      </c>
      <c r="D187" s="465">
        <f t="shared" si="77"/>
        <v>570118.5</v>
      </c>
      <c r="E187" s="465">
        <f t="shared" si="77"/>
        <v>1129519</v>
      </c>
      <c r="F187" s="465">
        <f t="shared" si="77"/>
        <v>53197.27999999997</v>
      </c>
      <c r="G187" s="465">
        <f t="shared" si="77"/>
        <v>54143.660000000033</v>
      </c>
      <c r="H187" s="465">
        <f t="shared" si="77"/>
        <v>60180.492799999949</v>
      </c>
      <c r="I187" s="465">
        <f t="shared" si="77"/>
        <v>62992.790399999998</v>
      </c>
      <c r="J187" s="465">
        <f t="shared" si="77"/>
        <v>64056.736000000034</v>
      </c>
      <c r="K187" s="465">
        <f t="shared" si="77"/>
        <v>65120.681600000011</v>
      </c>
      <c r="L187" s="465">
        <f t="shared" si="77"/>
        <v>66184.627199999988</v>
      </c>
      <c r="M187" s="465">
        <f t="shared" si="77"/>
        <v>67248.572800000024</v>
      </c>
      <c r="N187" s="465">
        <f t="shared" si="77"/>
        <v>68954.491200000106</v>
      </c>
      <c r="O187" s="465">
        <f t="shared" si="77"/>
        <v>70550.409600000072</v>
      </c>
      <c r="P187" s="465">
        <f t="shared" si="77"/>
        <v>72146.328000000038</v>
      </c>
      <c r="Q187" s="465">
        <f t="shared" si="77"/>
        <v>73742.246399999945</v>
      </c>
      <c r="R187" s="465">
        <f t="shared" si="77"/>
        <v>75338.164800000028</v>
      </c>
      <c r="S187" s="465">
        <f t="shared" si="77"/>
        <v>76934.083199999935</v>
      </c>
      <c r="T187" s="465">
        <f t="shared" si="77"/>
        <v>78530.001600000018</v>
      </c>
      <c r="U187" s="465">
        <f t="shared" si="77"/>
        <v>80125.920000000042</v>
      </c>
      <c r="V187" s="465">
        <f t="shared" si="77"/>
        <v>81721.83839999995</v>
      </c>
      <c r="W187" s="465">
        <f t="shared" si="77"/>
        <v>83317.756800000032</v>
      </c>
      <c r="X187" s="465">
        <f t="shared" si="77"/>
        <v>84913.675199999998</v>
      </c>
      <c r="Y187" s="465">
        <f t="shared" si="77"/>
        <v>86509.59360000008</v>
      </c>
      <c r="Z187" s="465">
        <f t="shared" si="77"/>
        <v>88105.511999999988</v>
      </c>
      <c r="AA187" s="465">
        <f t="shared" si="77"/>
        <v>89701.43040000007</v>
      </c>
      <c r="AB187" s="465">
        <f t="shared" si="77"/>
        <v>91297.348800000036</v>
      </c>
      <c r="AC187" s="465">
        <f t="shared" si="77"/>
        <v>92893.267200000002</v>
      </c>
      <c r="AD187" s="465">
        <f t="shared" si="77"/>
        <v>94489.185600000026</v>
      </c>
      <c r="AE187" s="465">
        <f t="shared" si="77"/>
        <v>96727.076799999923</v>
      </c>
      <c r="AF187" s="465">
        <f t="shared" si="77"/>
        <v>98854.967999999993</v>
      </c>
      <c r="AG187" s="465">
        <f t="shared" si="77"/>
        <v>98414.967999999993</v>
      </c>
      <c r="AH187" s="465">
        <f>SUM(AH185:AH186)</f>
        <v>97974.967999999993</v>
      </c>
      <c r="AI187" s="465"/>
      <c r="AM187" s="535"/>
      <c r="AO187" s="283"/>
      <c r="AP187" s="71"/>
      <c r="AQ187" s="283"/>
      <c r="AR187" s="71"/>
      <c r="AS187" s="283"/>
    </row>
    <row r="188" spans="1:253" s="419" customFormat="1" x14ac:dyDescent="0.2">
      <c r="A188" s="486" t="s">
        <v>197</v>
      </c>
      <c r="B188" s="487">
        <f t="shared" ref="B188:AG188" si="78">B184-B187</f>
        <v>0</v>
      </c>
      <c r="C188" s="487">
        <f t="shared" si="78"/>
        <v>0</v>
      </c>
      <c r="D188" s="487">
        <f t="shared" si="78"/>
        <v>-546546.10000000009</v>
      </c>
      <c r="E188" s="487">
        <f t="shared" ca="1" si="78"/>
        <v>-1081175.675</v>
      </c>
      <c r="F188" s="487">
        <f t="shared" ca="1" si="78"/>
        <v>15669.48000000004</v>
      </c>
      <c r="G188" s="487">
        <f t="shared" ca="1" si="78"/>
        <v>15263.529999999897</v>
      </c>
      <c r="H188" s="487">
        <f t="shared" ca="1" si="78"/>
        <v>14579.232200000115</v>
      </c>
      <c r="I188" s="487">
        <f t="shared" ca="1" si="78"/>
        <v>16171.57209999999</v>
      </c>
      <c r="J188" s="487">
        <f t="shared" ca="1" si="78"/>
        <v>19556.766499999867</v>
      </c>
      <c r="K188" s="487">
        <f t="shared" ca="1" si="78"/>
        <v>19936.645900000047</v>
      </c>
      <c r="L188" s="487">
        <f t="shared" ca="1" si="78"/>
        <v>20442.267799999972</v>
      </c>
      <c r="M188" s="487">
        <f t="shared" ca="1" si="78"/>
        <v>25774.257199999935</v>
      </c>
      <c r="N188" s="487">
        <f t="shared" ca="1" si="78"/>
        <v>25386.421299999929</v>
      </c>
      <c r="O188" s="487">
        <f t="shared" ca="1" si="78"/>
        <v>24205.190400000007</v>
      </c>
      <c r="P188" s="487">
        <f t="shared" ca="1" si="78"/>
        <v>7135.60699999996</v>
      </c>
      <c r="Q188" s="487">
        <f t="shared" ca="1" si="78"/>
        <v>9167.5311000000074</v>
      </c>
      <c r="R188" s="487">
        <f t="shared" ca="1" si="78"/>
        <v>8015.6827000000485</v>
      </c>
      <c r="S188" s="487">
        <f t="shared" ca="1" si="78"/>
        <v>8810.6293000000587</v>
      </c>
      <c r="T188" s="487">
        <f t="shared" ca="1" si="78"/>
        <v>9436.1884000001301</v>
      </c>
      <c r="U188" s="487">
        <f t="shared" ca="1" si="78"/>
        <v>22675.294999999925</v>
      </c>
      <c r="V188" s="487">
        <f t="shared" ca="1" si="78"/>
        <v>22102.329100000046</v>
      </c>
      <c r="W188" s="487">
        <f t="shared" ca="1" si="78"/>
        <v>21993.880700000009</v>
      </c>
      <c r="X188" s="487">
        <f t="shared" ca="1" si="78"/>
        <v>22619.439799999949</v>
      </c>
      <c r="Y188" s="487">
        <f t="shared" ca="1" si="78"/>
        <v>22510.991399999897</v>
      </c>
      <c r="Z188" s="487">
        <f t="shared" ca="1" si="78"/>
        <v>23305.937999999995</v>
      </c>
      <c r="AA188" s="487">
        <f t="shared" ca="1" si="78"/>
        <v>21829.577100000024</v>
      </c>
      <c r="AB188" s="487">
        <f t="shared" ca="1" si="78"/>
        <v>22624.523699999845</v>
      </c>
      <c r="AC188" s="487">
        <f t="shared" ca="1" si="78"/>
        <v>23390.087799999936</v>
      </c>
      <c r="AD188" s="487">
        <f t="shared" ca="1" si="78"/>
        <v>22238.239399999933</v>
      </c>
      <c r="AE188" s="487">
        <f t="shared" ca="1" si="78"/>
        <v>22265.47070000018</v>
      </c>
      <c r="AF188" s="487">
        <f t="shared" ca="1" si="78"/>
        <v>23121.589499999987</v>
      </c>
      <c r="AG188" s="487">
        <f t="shared" ca="1" si="78"/>
        <v>440364.18949999998</v>
      </c>
      <c r="AH188" s="487">
        <f ca="1">AH184-AH187</f>
        <v>23861.584499999997</v>
      </c>
      <c r="AI188" s="487"/>
      <c r="AM188" s="535"/>
      <c r="AO188" s="283"/>
      <c r="AP188" s="71"/>
      <c r="AQ188" s="283"/>
      <c r="AR188" s="71"/>
      <c r="AS188" s="283"/>
    </row>
    <row r="189" spans="1:253" s="419" customFormat="1" x14ac:dyDescent="0.2">
      <c r="A189" s="443" t="s">
        <v>198</v>
      </c>
      <c r="B189" s="488"/>
      <c r="C189" s="488"/>
      <c r="D189" s="488"/>
      <c r="E189" s="488"/>
      <c r="F189" s="488"/>
      <c r="G189" s="488"/>
      <c r="H189" s="445"/>
      <c r="I189" s="488"/>
      <c r="J189" s="488"/>
      <c r="K189" s="488"/>
      <c r="L189" s="488"/>
      <c r="M189" s="795">
        <f ca="1">IF(ISERROR(IRR(D188:AG188,0)),"Nevar aprēķināt",IRR(D188:AG188,0))</f>
        <v>-2.3994371642728662E-2</v>
      </c>
      <c r="N189" s="488"/>
      <c r="O189" s="488"/>
      <c r="P189" s="445"/>
      <c r="Q189" s="489"/>
      <c r="R189" s="488"/>
      <c r="S189" s="488"/>
      <c r="T189" s="488"/>
      <c r="U189" s="488"/>
      <c r="V189" s="488"/>
      <c r="W189" s="488"/>
      <c r="X189" s="488"/>
      <c r="Y189" s="488"/>
      <c r="Z189" s="488"/>
      <c r="AA189" s="488"/>
      <c r="AB189" s="488"/>
      <c r="AC189" s="488"/>
      <c r="AD189" s="488"/>
      <c r="AE189" s="488"/>
      <c r="AF189" s="488"/>
      <c r="AG189" s="490"/>
      <c r="AH189" s="490"/>
      <c r="AI189" s="490"/>
      <c r="AM189" s="535"/>
      <c r="AO189" s="283"/>
      <c r="AP189" s="71"/>
      <c r="AQ189" s="283"/>
      <c r="AR189" s="71"/>
      <c r="AS189" s="283"/>
    </row>
    <row r="190" spans="1:253" s="419" customFormat="1" x14ac:dyDescent="0.2">
      <c r="A190" s="443" t="s">
        <v>199</v>
      </c>
      <c r="B190" s="445"/>
      <c r="C190" s="445"/>
      <c r="D190" s="445"/>
      <c r="E190" s="445"/>
      <c r="F190" s="445"/>
      <c r="G190" s="445"/>
      <c r="H190" s="445"/>
      <c r="I190" s="445"/>
      <c r="J190" s="445"/>
      <c r="K190" s="445"/>
      <c r="L190" s="445"/>
      <c r="M190" s="796">
        <f ca="1">NPV('Datu ievade'!B447,D188:AG188)</f>
        <v>-1220395.0717745028</v>
      </c>
      <c r="N190" s="445"/>
      <c r="O190" s="445"/>
      <c r="P190" s="445"/>
      <c r="Q190" s="491"/>
      <c r="R190" s="445"/>
      <c r="S190" s="445"/>
      <c r="T190" s="445"/>
      <c r="U190" s="445"/>
      <c r="V190" s="445"/>
      <c r="W190" s="445"/>
      <c r="X190" s="445"/>
      <c r="Y190" s="445"/>
      <c r="Z190" s="445"/>
      <c r="AA190" s="445"/>
      <c r="AB190" s="445"/>
      <c r="AC190" s="445"/>
      <c r="AD190" s="445"/>
      <c r="AE190" s="445"/>
      <c r="AF190" s="445"/>
      <c r="AG190" s="446"/>
      <c r="AH190" s="446"/>
      <c r="AI190" s="446"/>
      <c r="AM190" s="535"/>
      <c r="AO190" s="283"/>
      <c r="AP190" s="71"/>
      <c r="AQ190" s="283"/>
      <c r="AR190" s="71"/>
      <c r="AS190" s="283"/>
    </row>
    <row r="191" spans="1:253" s="419" customFormat="1" x14ac:dyDescent="0.2">
      <c r="A191" s="427"/>
      <c r="B191" s="437"/>
      <c r="C191" s="437"/>
      <c r="D191" s="437"/>
      <c r="E191" s="437"/>
      <c r="F191" s="437"/>
      <c r="G191" s="437"/>
      <c r="H191" s="437"/>
      <c r="I191" s="437"/>
      <c r="J191" s="437"/>
      <c r="K191" s="437"/>
      <c r="L191" s="437"/>
      <c r="M191" s="492"/>
      <c r="N191" s="437"/>
      <c r="O191" s="437"/>
      <c r="P191" s="437"/>
      <c r="Q191" s="492"/>
      <c r="R191" s="437"/>
      <c r="S191" s="437"/>
      <c r="T191" s="437"/>
      <c r="U191" s="437"/>
      <c r="V191" s="437"/>
      <c r="W191" s="437"/>
      <c r="X191" s="437"/>
      <c r="Y191" s="437"/>
      <c r="Z191" s="437"/>
      <c r="AM191" s="535"/>
      <c r="AO191" s="283"/>
      <c r="AP191" s="71"/>
      <c r="AQ191" s="283"/>
      <c r="AR191" s="71"/>
      <c r="AS191" s="283"/>
    </row>
    <row r="192" spans="1:253" s="419" customFormat="1" x14ac:dyDescent="0.2">
      <c r="C192" s="437"/>
      <c r="D192" s="437"/>
      <c r="E192" s="437"/>
      <c r="F192" s="437"/>
      <c r="G192" s="437"/>
      <c r="H192" s="437"/>
      <c r="I192" s="437"/>
      <c r="J192" s="437"/>
      <c r="K192" s="437"/>
      <c r="L192" s="437"/>
      <c r="M192" s="492"/>
      <c r="N192" s="437"/>
      <c r="O192" s="437"/>
      <c r="P192" s="437"/>
      <c r="Q192" s="492"/>
      <c r="R192" s="437"/>
      <c r="S192" s="437"/>
      <c r="T192" s="437"/>
      <c r="U192" s="437"/>
      <c r="V192" s="437"/>
      <c r="W192" s="437"/>
      <c r="X192" s="437"/>
      <c r="Y192" s="437"/>
      <c r="Z192" s="437"/>
      <c r="AM192" s="535"/>
      <c r="AO192" s="283"/>
      <c r="AP192" s="71"/>
      <c r="AQ192" s="283"/>
      <c r="AR192" s="71"/>
      <c r="AS192" s="283"/>
    </row>
    <row r="193" spans="1:45" s="419" customFormat="1" x14ac:dyDescent="0.2">
      <c r="A193" s="493" t="s">
        <v>200</v>
      </c>
      <c r="AM193" s="535"/>
      <c r="AO193" s="283"/>
      <c r="AP193" s="71"/>
      <c r="AQ193" s="283"/>
      <c r="AR193" s="71"/>
      <c r="AS193" s="283"/>
    </row>
    <row r="194" spans="1:45" s="419" customFormat="1" hidden="1" outlineLevel="1" x14ac:dyDescent="0.2">
      <c r="AM194" s="535"/>
      <c r="AO194" s="283"/>
      <c r="AP194" s="71"/>
      <c r="AQ194" s="283"/>
      <c r="AR194" s="71"/>
      <c r="AS194" s="283"/>
    </row>
    <row r="195" spans="1:45" s="419" customFormat="1" hidden="1" outlineLevel="1" x14ac:dyDescent="0.2">
      <c r="A195" s="494" t="s">
        <v>201</v>
      </c>
      <c r="AM195" s="535"/>
      <c r="AO195" s="283"/>
      <c r="AP195" s="71"/>
      <c r="AQ195" s="283"/>
      <c r="AR195" s="71"/>
      <c r="AS195" s="283"/>
    </row>
    <row r="196" spans="1:45" s="419" customFormat="1" collapsed="1" x14ac:dyDescent="0.2">
      <c r="A196" s="433"/>
      <c r="B196" s="460">
        <f>Aprekini!B5</f>
        <v>2014</v>
      </c>
      <c r="C196" s="460">
        <f t="shared" ref="C196:AG196" si="79">B196+1</f>
        <v>2015</v>
      </c>
      <c r="D196" s="460">
        <f t="shared" si="79"/>
        <v>2016</v>
      </c>
      <c r="E196" s="460">
        <f t="shared" si="79"/>
        <v>2017</v>
      </c>
      <c r="F196" s="460">
        <f t="shared" si="79"/>
        <v>2018</v>
      </c>
      <c r="G196" s="460">
        <f t="shared" si="79"/>
        <v>2019</v>
      </c>
      <c r="H196" s="460">
        <f t="shared" si="79"/>
        <v>2020</v>
      </c>
      <c r="I196" s="460">
        <f t="shared" si="79"/>
        <v>2021</v>
      </c>
      <c r="J196" s="460">
        <f t="shared" si="79"/>
        <v>2022</v>
      </c>
      <c r="K196" s="460">
        <f t="shared" si="79"/>
        <v>2023</v>
      </c>
      <c r="L196" s="460">
        <f t="shared" si="79"/>
        <v>2024</v>
      </c>
      <c r="M196" s="460">
        <f t="shared" si="79"/>
        <v>2025</v>
      </c>
      <c r="N196" s="460">
        <f t="shared" si="79"/>
        <v>2026</v>
      </c>
      <c r="O196" s="460">
        <f t="shared" si="79"/>
        <v>2027</v>
      </c>
      <c r="P196" s="460">
        <f t="shared" si="79"/>
        <v>2028</v>
      </c>
      <c r="Q196" s="460">
        <f t="shared" si="79"/>
        <v>2029</v>
      </c>
      <c r="R196" s="460">
        <f t="shared" si="79"/>
        <v>2030</v>
      </c>
      <c r="S196" s="460">
        <f t="shared" si="79"/>
        <v>2031</v>
      </c>
      <c r="T196" s="460">
        <f t="shared" si="79"/>
        <v>2032</v>
      </c>
      <c r="U196" s="460">
        <f t="shared" si="79"/>
        <v>2033</v>
      </c>
      <c r="V196" s="460">
        <f t="shared" si="79"/>
        <v>2034</v>
      </c>
      <c r="W196" s="460">
        <f t="shared" si="79"/>
        <v>2035</v>
      </c>
      <c r="X196" s="460">
        <f t="shared" si="79"/>
        <v>2036</v>
      </c>
      <c r="Y196" s="460">
        <f t="shared" si="79"/>
        <v>2037</v>
      </c>
      <c r="Z196" s="460">
        <f t="shared" si="79"/>
        <v>2038</v>
      </c>
      <c r="AA196" s="460">
        <f t="shared" si="79"/>
        <v>2039</v>
      </c>
      <c r="AB196" s="460">
        <f t="shared" si="79"/>
        <v>2040</v>
      </c>
      <c r="AC196" s="460">
        <f t="shared" si="79"/>
        <v>2041</v>
      </c>
      <c r="AD196" s="460">
        <f t="shared" si="79"/>
        <v>2042</v>
      </c>
      <c r="AE196" s="460">
        <f t="shared" si="79"/>
        <v>2043</v>
      </c>
      <c r="AF196" s="460">
        <f t="shared" si="79"/>
        <v>2044</v>
      </c>
      <c r="AG196" s="460">
        <f t="shared" si="79"/>
        <v>2045</v>
      </c>
      <c r="AH196" s="460">
        <f>AG196+1</f>
        <v>2046</v>
      </c>
      <c r="AI196" s="460"/>
      <c r="AM196" s="535"/>
      <c r="AO196" s="283"/>
      <c r="AP196" s="71"/>
      <c r="AQ196" s="283"/>
      <c r="AR196" s="71"/>
      <c r="AS196" s="283"/>
    </row>
    <row r="197" spans="1:45" s="497" customFormat="1" ht="25.5" x14ac:dyDescent="0.2">
      <c r="A197" s="495" t="s">
        <v>202</v>
      </c>
      <c r="B197" s="496" t="str">
        <f ca="1">IF(Aprekini!B336=0,"-",Aprekini!B324/Aprekini!B336)</f>
        <v>-</v>
      </c>
      <c r="C197" s="496" t="str">
        <f ca="1">IF(Aprekini!C336=0,"-",Aprekini!C324/Aprekini!C336)</f>
        <v>-</v>
      </c>
      <c r="D197" s="496" t="str">
        <f ca="1">IF(Aprekini!D336=0,"-",Aprekini!D324/Aprekini!D336)</f>
        <v>-</v>
      </c>
      <c r="E197" s="496" t="str">
        <f ca="1">IF(Aprekini!E336=0,"-",Aprekini!E324/Aprekini!E336)</f>
        <v>-</v>
      </c>
      <c r="F197" s="496">
        <f ca="1">IF(Aprekini!F336=0,"-",Aprekini!F324/Aprekini!F336)</f>
        <v>5.7258908687987544</v>
      </c>
      <c r="G197" s="496">
        <f ca="1">IF(Aprekini!G336=0,"-",Aprekini!G324/Aprekini!G336)</f>
        <v>7.1808740566951315</v>
      </c>
      <c r="H197" s="496">
        <f ca="1">IF(Aprekini!H336=0,"-",Aprekini!H324/Aprekini!H336)</f>
        <v>8.7492958628598974</v>
      </c>
      <c r="I197" s="496">
        <f ca="1">IF(Aprekini!I336=0,"-",Aprekini!I324/Aprekini!I336)</f>
        <v>10.366450224820442</v>
      </c>
      <c r="J197" s="496">
        <f ca="1">IF(Aprekini!J336=0,"-",Aprekini!J324/Aprekini!J336)</f>
        <v>12.068192707266874</v>
      </c>
      <c r="K197" s="496">
        <f ca="1">IF(Aprekini!K336=0,"-",Aprekini!K324/Aprekini!K336)</f>
        <v>13.670542589550079</v>
      </c>
      <c r="L197" s="496">
        <f ca="1">IF(Aprekini!L336=0,"-",Aprekini!L324/Aprekini!L336)</f>
        <v>15.262822830403493</v>
      </c>
      <c r="M197" s="496">
        <f ca="1">IF(Aprekini!M336=0,"-",Aprekini!M324/Aprekini!M336)</f>
        <v>16.984497435495083</v>
      </c>
      <c r="N197" s="496">
        <f ca="1">IF(Aprekini!N336=0,"-",Aprekini!N324/Aprekini!N336)</f>
        <v>18.718301807674166</v>
      </c>
      <c r="O197" s="496">
        <f ca="1">IF(Aprekini!O336=0,"-",Aprekini!O324/Aprekini!O336)</f>
        <v>20.444824952449686</v>
      </c>
      <c r="P197" s="496">
        <f ca="1">IF(Aprekini!P336=0,"-",Aprekini!P324/Aprekini!P336)</f>
        <v>100.26586007094971</v>
      </c>
      <c r="Q197" s="496">
        <f ca="1">IF(Aprekini!Q336=0,"-",Aprekini!Q324/Aprekini!Q336)</f>
        <v>106.26353049176568</v>
      </c>
      <c r="R197" s="496">
        <f ca="1">IF(Aprekini!R336=0,"-",Aprekini!R324/Aprekini!R336)</f>
        <v>112.20517177565047</v>
      </c>
      <c r="S197" s="496">
        <f ca="1">IF(Aprekini!S336=0,"-",Aprekini!S324/Aprekini!S336)</f>
        <v>117.5944934852176</v>
      </c>
      <c r="T197" s="496">
        <f ca="1">IF(Aprekini!T336=0,"-",Aprekini!T324/Aprekini!T336)</f>
        <v>123.01583030390842</v>
      </c>
      <c r="U197" s="496">
        <f ca="1">IF(Aprekini!U336=0,"-",Aprekini!U324/Aprekini!U336)</f>
        <v>129.97887104988629</v>
      </c>
      <c r="V197" s="496">
        <f ca="1">IF(Aprekini!V336=0,"-",Aprekini!V324/Aprekini!V336)</f>
        <v>136.97392690498776</v>
      </c>
      <c r="W197" s="496">
        <f ca="1">IF(Aprekini!W336=0,"-",Aprekini!W324/Aprekini!W336)</f>
        <v>144.01666890111099</v>
      </c>
      <c r="X197" s="496">
        <f ca="1">IF(Aprekini!X336=0,"-",Aprekini!X324/Aprekini!X336)</f>
        <v>151.09142600635781</v>
      </c>
      <c r="Y197" s="496">
        <f ca="1">IF(Aprekini!Y336=0,"-",Aprekini!Y324/Aprekini!Y336)</f>
        <v>158.21386925262635</v>
      </c>
      <c r="Z197" s="496">
        <f ca="1">IF(Aprekini!Z336=0,"-",Aprekini!Z324/Aprekini!Z336)</f>
        <v>165.48511739897191</v>
      </c>
      <c r="AA197" s="496">
        <f ca="1">IF(Aprekini!AA336=0,"-",Aprekini!AA324/Aprekini!AA336)</f>
        <v>172.6872618953858</v>
      </c>
      <c r="AB197" s="496">
        <f ca="1">IF(Aprekini!AB336=0,"-",Aprekini!AB324/Aprekini!AB336)</f>
        <v>180.03821129187671</v>
      </c>
      <c r="AC197" s="496">
        <f ca="1">IF(Aprekini!AC336=0,"-",Aprekini!AC324/Aprekini!AC336)</f>
        <v>187.43684682938931</v>
      </c>
      <c r="AD197" s="496">
        <f ca="1">IF(Aprekini!AD336=0,"-",Aprekini!AD324/Aprekini!AD336)</f>
        <v>194.76637871697022</v>
      </c>
      <c r="AE197" s="496">
        <f ca="1">IF(Aprekini!AE336=0,"-",Aprekini!AE324/Aprekini!AE336)</f>
        <v>202.12837032974494</v>
      </c>
      <c r="AF197" s="496">
        <f ca="1">IF(Aprekini!AF336=0,"-",Aprekini!AF324/Aprekini!AF336)</f>
        <v>209.65192397256837</v>
      </c>
      <c r="AG197" s="496">
        <f ca="1">IF(Aprekini!AG336=0,"-",Aprekini!AG324/Aprekini!AG336)</f>
        <v>217.10659469670989</v>
      </c>
      <c r="AH197" s="496">
        <f ca="1">IF(Aprekini!AH336=0,"-",Aprekini!AH324/Aprekini!AH336)</f>
        <v>224.71029105217829</v>
      </c>
      <c r="AI197" s="496"/>
      <c r="AM197" s="535"/>
      <c r="AO197" s="283"/>
      <c r="AP197" s="71"/>
      <c r="AQ197" s="283"/>
      <c r="AR197" s="71"/>
      <c r="AS197" s="283"/>
    </row>
    <row r="198" spans="1:45" s="419" customFormat="1" x14ac:dyDescent="0.2">
      <c r="AM198" s="535"/>
      <c r="AO198" s="283"/>
      <c r="AP198" s="71"/>
      <c r="AQ198" s="283"/>
      <c r="AR198" s="71"/>
      <c r="AS198" s="283"/>
    </row>
    <row r="199" spans="1:45" s="419" customFormat="1" ht="25.5" hidden="1" outlineLevel="1" x14ac:dyDescent="0.2">
      <c r="A199" s="498" t="s">
        <v>203</v>
      </c>
      <c r="B199" s="499">
        <f ca="1">Aprekini!B324-Aprekini!B336</f>
        <v>57766.712899999984</v>
      </c>
      <c r="C199" s="499">
        <f ca="1">Aprekini!C324-Aprekini!C336</f>
        <v>86976.378578000047</v>
      </c>
      <c r="D199" s="499">
        <f ca="1">Aprekini!D324-Aprekini!D336</f>
        <v>124151.27281415591</v>
      </c>
      <c r="E199" s="499">
        <f ca="1">Aprekini!E324-Aprekini!E336</f>
        <v>175316.26701358566</v>
      </c>
      <c r="F199" s="499">
        <f ca="1">Aprekini!F324-Aprekini!F336</f>
        <v>193163.63144496243</v>
      </c>
      <c r="G199" s="499">
        <f ca="1">Aprekini!G324-Aprekini!G336</f>
        <v>252633.86553796227</v>
      </c>
      <c r="H199" s="499">
        <f ca="1">Aprekini!H324-Aprekini!H336</f>
        <v>316740.73133896233</v>
      </c>
      <c r="I199" s="499">
        <f ca="1">Aprekini!I324-Aprekini!I336</f>
        <v>382839.46654796234</v>
      </c>
      <c r="J199" s="499">
        <f ca="1">Aprekini!J324-Aprekini!J336</f>
        <v>452395.61306496221</v>
      </c>
      <c r="K199" s="499">
        <f ca="1">Aprekini!K324-Aprekini!K336</f>
        <v>517889.23758996226</v>
      </c>
      <c r="L199" s="499">
        <f ca="1">Aprekini!L324-Aprekini!L336</f>
        <v>582971.28077296203</v>
      </c>
      <c r="M199" s="499">
        <f ca="1">Aprekini!M324-Aprekini!M336</f>
        <v>653342.12261396192</v>
      </c>
      <c r="N199" s="499">
        <f ca="1">Aprekini!N324-Aprekini!N336</f>
        <v>724208.75031296199</v>
      </c>
      <c r="O199" s="499">
        <f ca="1">Aprekini!O324-Aprekini!O336</f>
        <v>794777.76886996196</v>
      </c>
      <c r="P199" s="499">
        <f ca="1">Aprekini!P324-Aprekini!P336</f>
        <v>886841.20035232161</v>
      </c>
      <c r="Q199" s="499">
        <f ca="1">Aprekini!Q324-Aprekini!Q336</f>
        <v>940424.38828332152</v>
      </c>
      <c r="R199" s="499">
        <f ca="1">Aprekini!R324-Aprekini!R336</f>
        <v>993507.0119013217</v>
      </c>
      <c r="S199" s="499">
        <f ca="1">Aprekini!S324-Aprekini!S336</f>
        <v>1041655.2124063215</v>
      </c>
      <c r="T199" s="499">
        <f ca="1">Aprekini!T324-Aprekini!T336</f>
        <v>1090089.4358983219</v>
      </c>
      <c r="U199" s="499">
        <f ca="1">Aprekini!U324-Aprekini!U336</f>
        <v>1152297.2423773219</v>
      </c>
      <c r="V199" s="499">
        <f ca="1">Aprekini!V324-Aprekini!V336</f>
        <v>1214791.0718433217</v>
      </c>
      <c r="W199" s="499">
        <f ca="1">Aprekini!W324-Aprekini!W336</f>
        <v>1277710.9292963219</v>
      </c>
      <c r="X199" s="499">
        <f ca="1">Aprekini!X324-Aprekini!X336</f>
        <v>1340916.8097363219</v>
      </c>
      <c r="Y199" s="499">
        <f ca="1">Aprekini!Y324-Aprekini!Y336</f>
        <v>1404548.718163322</v>
      </c>
      <c r="Z199" s="499">
        <f ca="1">Aprekini!Z324-Aprekini!Z336</f>
        <v>1469510.0495773219</v>
      </c>
      <c r="AA199" s="499">
        <f ca="1">Aprekini!AA324-Aprekini!AA336</f>
        <v>1533854.0089783219</v>
      </c>
      <c r="AB199" s="499">
        <f ca="1">Aprekini!AB324-Aprekini!AB336</f>
        <v>1599527.3913663218</v>
      </c>
      <c r="AC199" s="499">
        <f ca="1">Aprekini!AC324-Aprekini!AC336</f>
        <v>1665626.8017413218</v>
      </c>
      <c r="AD199" s="499">
        <f ca="1">Aprekini!AD324-Aprekini!AD336</f>
        <v>1731108.8401033219</v>
      </c>
      <c r="AE199" s="499">
        <f ca="1">Aprekini!AE324-Aprekini!AE336</f>
        <v>1796880.873652322</v>
      </c>
      <c r="AF199" s="499">
        <f ca="1">Aprekini!AF324-Aprekini!AF336</f>
        <v>1864096.3023883216</v>
      </c>
      <c r="AG199" s="499">
        <f ca="1">Aprekini!AG324-Aprekini!AG336</f>
        <v>1930696.3311243213</v>
      </c>
      <c r="AH199" s="499">
        <f ca="1">Aprekini!AH324-Aprekini!AH336</f>
        <v>1998627.7548603213</v>
      </c>
      <c r="AI199" s="499"/>
      <c r="AM199" s="535"/>
      <c r="AO199" s="283"/>
      <c r="AP199" s="71"/>
      <c r="AQ199" s="283"/>
      <c r="AR199" s="71"/>
      <c r="AS199" s="283"/>
    </row>
    <row r="200" spans="1:45" s="419" customFormat="1" hidden="1" outlineLevel="1" x14ac:dyDescent="0.2">
      <c r="A200" s="500"/>
      <c r="B200" s="501"/>
      <c r="C200" s="501"/>
      <c r="D200" s="501"/>
      <c r="E200" s="501"/>
      <c r="F200" s="501"/>
      <c r="G200" s="501"/>
      <c r="H200" s="501"/>
      <c r="I200" s="501"/>
      <c r="J200" s="501"/>
      <c r="K200" s="501"/>
      <c r="L200" s="501"/>
      <c r="M200" s="501"/>
      <c r="N200" s="501"/>
      <c r="O200" s="501"/>
      <c r="P200" s="501"/>
      <c r="Q200" s="501"/>
      <c r="R200" s="501"/>
      <c r="S200" s="501"/>
      <c r="T200" s="501"/>
      <c r="U200" s="501"/>
      <c r="V200" s="501"/>
      <c r="W200" s="501"/>
      <c r="X200" s="501"/>
      <c r="Y200" s="501"/>
      <c r="Z200" s="501"/>
      <c r="AA200" s="501"/>
      <c r="AB200" s="501"/>
      <c r="AC200" s="501"/>
      <c r="AD200" s="501"/>
      <c r="AE200" s="501"/>
      <c r="AF200" s="501"/>
      <c r="AG200" s="501"/>
      <c r="AH200" s="501"/>
      <c r="AI200" s="501"/>
      <c r="AM200" s="535"/>
      <c r="AO200" s="283"/>
      <c r="AP200" s="71"/>
      <c r="AQ200" s="283"/>
      <c r="AR200" s="71"/>
      <c r="AS200" s="283"/>
    </row>
    <row r="201" spans="1:45" s="419" customFormat="1" ht="38.25" collapsed="1" x14ac:dyDescent="0.2">
      <c r="A201" s="495" t="s">
        <v>204</v>
      </c>
      <c r="B201" s="496" t="str">
        <f>IF((Aprekini!B261+Aprekini!B262+Aprekini!B253+Aprekini!B254+B272+B273+B281+B282)=0,"-",'Saimnieciskas pamatdarbibas NP'!B75/(Aprekini!B261+Aprekini!B262+Aprekini!B253+Aprekini!B254+B272+B273+B281+B282))</f>
        <v>-</v>
      </c>
      <c r="C201" s="496" t="str">
        <f>IF((Aprekini!C261+Aprekini!C262+Aprekini!C253+Aprekini!C254+C272+C273+C281+C282)=0,"-",'Saimnieciskas pamatdarbibas NP'!C75/(Aprekini!C261+Aprekini!C262+Aprekini!C253+Aprekini!C254+C272+C273+C281+C282))</f>
        <v>-</v>
      </c>
      <c r="D201" s="797" t="str">
        <f ca="1">IF((Aprekini!D261+Aprekini!D262+Aprekini!D253+Aprekini!D254+D272+D273+D281+D282)=0,"-",'Saimnieciskas pamatdarbibas NP'!D75/(Aprekini!D261+Aprekini!D262+Aprekini!D253+Aprekini!D254+D272+D273+D281+D282))</f>
        <v>-</v>
      </c>
      <c r="E201" s="496" t="str">
        <f ca="1">IF((Aprekini!E261+Aprekini!E262+Aprekini!E253+Aprekini!E254+E272+E273+E281+E282)=0,"-",'Saimnieciskas pamatdarbibas NP'!E75/(Aprekini!E261+Aprekini!E262+Aprekini!E253+Aprekini!E254+E272+E273+E281+E282))</f>
        <v>-</v>
      </c>
      <c r="F201" s="496" t="str">
        <f ca="1">IF((Aprekini!F261+Aprekini!F262+Aprekini!F253+Aprekini!F254+F272+F273+F281+F282)=0,"-",'Saimnieciskas pamatdarbibas NP'!F75/(Aprekini!F261+Aprekini!F262+Aprekini!F253+Aprekini!F254+F272+F273+F281+F282))</f>
        <v>-</v>
      </c>
      <c r="G201" s="496" t="str">
        <f ca="1">IF((Aprekini!G261+Aprekini!G262+Aprekini!G253+Aprekini!G254+G272+G273+G281+G282)=0,"-",'Saimnieciskas pamatdarbibas NP'!G75/(Aprekini!G261+Aprekini!G262+Aprekini!G253+Aprekini!G254+G272+G273+G281+G282))</f>
        <v>-</v>
      </c>
      <c r="H201" s="496" t="str">
        <f ca="1">IF((Aprekini!H261+Aprekini!H262+Aprekini!H253+Aprekini!H254+H272+H273+H281+H282)=0,"-",'Saimnieciskas pamatdarbibas NP'!H75/(Aprekini!H261+Aprekini!H262+Aprekini!H253+Aprekini!H254+H272+H273+H281+H282))</f>
        <v>-</v>
      </c>
      <c r="I201" s="496" t="str">
        <f ca="1">IF((Aprekini!I261+Aprekini!I262+Aprekini!I253+Aprekini!I254+I272+I273+I281+I282)=0,"-",'Saimnieciskas pamatdarbibas NP'!I75/(Aprekini!I261+Aprekini!I262+Aprekini!I253+Aprekini!I254+I272+I273+I281+I282))</f>
        <v>-</v>
      </c>
      <c r="J201" s="496" t="str">
        <f ca="1">IF((Aprekini!J261+Aprekini!J262+Aprekini!J253+Aprekini!J254+J272+J273+J281+J282)=0,"-",'Saimnieciskas pamatdarbibas NP'!J75/(Aprekini!J261+Aprekini!J262+Aprekini!J253+Aprekini!J254+J272+J273+J281+J282))</f>
        <v>-</v>
      </c>
      <c r="K201" s="496" t="str">
        <f ca="1">IF((Aprekini!K261+Aprekini!K262+Aprekini!K253+Aprekini!K254+K272+K273+K281+K282)=0,"-",'Saimnieciskas pamatdarbibas NP'!K75/(Aprekini!K261+Aprekini!K262+Aprekini!K253+Aprekini!K254+K272+K273+K281+K282))</f>
        <v>-</v>
      </c>
      <c r="L201" s="496" t="str">
        <f ca="1">IF((Aprekini!L261+Aprekini!L262+Aprekini!L253+Aprekini!L254+L272+L273+L281+L282)=0,"-",'Saimnieciskas pamatdarbibas NP'!L75/(Aprekini!L261+Aprekini!L262+Aprekini!L253+Aprekini!L254+L272+L273+L281+L282))</f>
        <v>-</v>
      </c>
      <c r="M201" s="496" t="str">
        <f ca="1">IF((Aprekini!M261+Aprekini!M262+Aprekini!M253+Aprekini!M254+M272+M273+M281+M282)=0,"-",'Saimnieciskas pamatdarbibas NP'!M75/(Aprekini!M261+Aprekini!M262+Aprekini!M253+Aprekini!M254+M272+M273+M281+M282))</f>
        <v>-</v>
      </c>
      <c r="N201" s="496" t="str">
        <f ca="1">IF((Aprekini!N261+Aprekini!N262+Aprekini!N253+Aprekini!N254+N272+N273+N281+N282)=0,"-",'Saimnieciskas pamatdarbibas NP'!N75/(Aprekini!N261+Aprekini!N262+Aprekini!N253+Aprekini!N254+N272+N273+N281+N282))</f>
        <v>-</v>
      </c>
      <c r="O201" s="496" t="str">
        <f ca="1">IF((Aprekini!O261+Aprekini!O262+Aprekini!O253+Aprekini!O254+O272+O273+O281+O282)=0,"-",'Saimnieciskas pamatdarbibas NP'!O75/(Aprekini!O261+Aprekini!O262+Aprekini!O253+Aprekini!O254+O272+O273+O281+O282))</f>
        <v>-</v>
      </c>
      <c r="P201" s="496" t="str">
        <f ca="1">IF((Aprekini!P261+Aprekini!P262+Aprekini!P253+Aprekini!P254+P272+P273+P281+P282)=0,"-",'Saimnieciskas pamatdarbibas NP'!P75/(Aprekini!P261+Aprekini!P262+Aprekini!P253+Aprekini!P254+P272+P273+P281+P282))</f>
        <v>-</v>
      </c>
      <c r="Q201" s="496" t="str">
        <f ca="1">IF((Aprekini!Q261+Aprekini!Q262+Aprekini!Q253+Aprekini!Q254+Q272+Q273+Q281+Q282)=0,"-",'Saimnieciskas pamatdarbibas NP'!Q75/(Aprekini!Q261+Aprekini!Q262+Aprekini!Q253+Aprekini!Q254+Q272+Q273+Q281+Q282))</f>
        <v>-</v>
      </c>
      <c r="R201" s="496" t="str">
        <f ca="1">IF((Aprekini!R261+Aprekini!R262+Aprekini!R253+Aprekini!R254+R272+R273+R281+R282)=0,"-",'Saimnieciskas pamatdarbibas NP'!R75/(Aprekini!R261+Aprekini!R262+Aprekini!R253+Aprekini!R254+R272+R273+R281+R282))</f>
        <v>-</v>
      </c>
      <c r="S201" s="496" t="str">
        <f ca="1">IF((Aprekini!S261+Aprekini!S262+Aprekini!S253+Aprekini!S254+S272+S273+S281+S282)=0,"-",'Saimnieciskas pamatdarbibas NP'!S75/(Aprekini!S261+Aprekini!S262+Aprekini!S253+Aprekini!S254+S272+S273+S281+S282))</f>
        <v>-</v>
      </c>
      <c r="T201" s="496" t="str">
        <f ca="1">IF((Aprekini!T261+Aprekini!T262+Aprekini!T253+Aprekini!T254+T272+T273+T281+T282)=0,"-",'Saimnieciskas pamatdarbibas NP'!T75/(Aprekini!T261+Aprekini!T262+Aprekini!T253+Aprekini!T254+T272+T273+T281+T282))</f>
        <v>-</v>
      </c>
      <c r="U201" s="496" t="str">
        <f ca="1">IF((Aprekini!U261+Aprekini!U262+Aprekini!U253+Aprekini!U254+U272+U273+U281+U282)=0,"-",'Saimnieciskas pamatdarbibas NP'!U75/(Aprekini!U261+Aprekini!U262+Aprekini!U253+Aprekini!U254+U272+U273+U281+U282))</f>
        <v>-</v>
      </c>
      <c r="V201" s="496" t="str">
        <f ca="1">IF((Aprekini!V261+Aprekini!V262+Aprekini!V253+Aprekini!V254+V272+V273+V281+V282)=0,"-",'Saimnieciskas pamatdarbibas NP'!V75/(Aprekini!V261+Aprekini!V262+Aprekini!V253+Aprekini!V254+V272+V273+V281+V282))</f>
        <v>-</v>
      </c>
      <c r="W201" s="496" t="str">
        <f ca="1">IF((Aprekini!W261+Aprekini!W262+Aprekini!W253+Aprekini!W254+W272+W273+W281+W282)=0,"-",'Saimnieciskas pamatdarbibas NP'!W75/(Aprekini!W261+Aprekini!W262+Aprekini!W253+Aprekini!W254+W272+W273+W281+W282))</f>
        <v>-</v>
      </c>
      <c r="X201" s="496" t="str">
        <f ca="1">IF((Aprekini!X261+Aprekini!X262+Aprekini!X253+Aprekini!X254+X272+X273+X281+X282)=0,"-",'Saimnieciskas pamatdarbibas NP'!X75/(Aprekini!X261+Aprekini!X262+Aprekini!X253+Aprekini!X254+X272+X273+X281+X282))</f>
        <v>-</v>
      </c>
      <c r="Y201" s="496" t="str">
        <f ca="1">IF((Aprekini!Y261+Aprekini!Y262+Aprekini!Y253+Aprekini!Y254+Y272+Y273+Y281+Y282)=0,"-",'Saimnieciskas pamatdarbibas NP'!Y75/(Aprekini!Y261+Aprekini!Y262+Aprekini!Y253+Aprekini!Y254+Y272+Y273+Y281+Y282))</f>
        <v>-</v>
      </c>
      <c r="Z201" s="496" t="str">
        <f ca="1">IF((Aprekini!Z261+Aprekini!Z262+Aprekini!Z253+Aprekini!Z254+Z272+Z273+Z281+Z282)=0,"-",'Saimnieciskas pamatdarbibas NP'!Z75/(Aprekini!Z261+Aprekini!Z262+Aprekini!Z253+Aprekini!Z254+Z272+Z273+Z281+Z282))</f>
        <v>-</v>
      </c>
      <c r="AA201" s="496" t="str">
        <f ca="1">IF((Aprekini!AA261+Aprekini!AA262+Aprekini!AA253+Aprekini!AA254+AA272+AA273+AA281+AA282)=0,"-",'Saimnieciskas pamatdarbibas NP'!AA75/(Aprekini!AA261+Aprekini!AA262+Aprekini!AA253+Aprekini!AA254+AA272+AA273+AA281+AA282))</f>
        <v>-</v>
      </c>
      <c r="AB201" s="496" t="str">
        <f ca="1">IF((Aprekini!AB261+Aprekini!AB262+Aprekini!AB253+Aprekini!AB254+AB272+AB273+AB281+AB282)=0,"-",'Saimnieciskas pamatdarbibas NP'!AB75/(Aprekini!AB261+Aprekini!AB262+Aprekini!AB253+Aprekini!AB254+AB272+AB273+AB281+AB282))</f>
        <v>-</v>
      </c>
      <c r="AC201" s="496" t="str">
        <f ca="1">IF((Aprekini!AC261+Aprekini!AC262+Aprekini!AC253+Aprekini!AC254+AC272+AC273+AC281+AC282)=0,"-",'Saimnieciskas pamatdarbibas NP'!AC75/(Aprekini!AC261+Aprekini!AC262+Aprekini!AC253+Aprekini!AC254+AC272+AC273+AC281+AC282))</f>
        <v>-</v>
      </c>
      <c r="AD201" s="496" t="str">
        <f ca="1">IF((Aprekini!AD261+Aprekini!AD262+Aprekini!AD253+Aprekini!AD254+AD272+AD273+AD281+AD282)=0,"-",'Saimnieciskas pamatdarbibas NP'!AD75/(Aprekini!AD261+Aprekini!AD262+Aprekini!AD253+Aprekini!AD254+AD272+AD273+AD281+AD282))</f>
        <v>-</v>
      </c>
      <c r="AE201" s="496" t="str">
        <f ca="1">IF((Aprekini!AE261+Aprekini!AE262+Aprekini!AE253+Aprekini!AE254+AE272+AE273+AE281+AE282)=0,"-",'Saimnieciskas pamatdarbibas NP'!AE75/(Aprekini!AE261+Aprekini!AE262+Aprekini!AE253+Aprekini!AE254+AE272+AE273+AE281+AE282))</f>
        <v>-</v>
      </c>
      <c r="AF201" s="496" t="str">
        <f ca="1">IF((Aprekini!AF261+Aprekini!AF262+Aprekini!AF253+Aprekini!AF254+AF272+AF273+AF281+AF282)=0,"-",'Saimnieciskas pamatdarbibas NP'!AF75/(Aprekini!AF261+Aprekini!AF262+Aprekini!AF253+Aprekini!AF254+AF272+AF273+AF281+AF282))</f>
        <v>-</v>
      </c>
      <c r="AG201" s="496" t="str">
        <f ca="1">IF((Aprekini!AG261+Aprekini!AG262+Aprekini!AG253+Aprekini!AG254+AG272+AG273+AG281+AG282)=0,"-",'Saimnieciskas pamatdarbibas NP'!AG75/(Aprekini!AG261+Aprekini!AG262+Aprekini!AG253+Aprekini!AG254+AG272+AG273+AG281+AG282))</f>
        <v>-</v>
      </c>
      <c r="AH201" s="496" t="str">
        <f ca="1">IF((Aprekini!AH261+Aprekini!AH262+Aprekini!AH253+Aprekini!AH254+AH272+AH273+AH281+AH282)=0,"-",'Saimnieciskas pamatdarbibas NP'!AH75/(Aprekini!AH261+Aprekini!AH262+Aprekini!AH253+Aprekini!AH254+AH272+AH273+AH281+AH282))</f>
        <v>-</v>
      </c>
      <c r="AI201" s="496"/>
      <c r="AM201" s="535"/>
      <c r="AO201" s="283"/>
      <c r="AP201" s="71"/>
      <c r="AQ201" s="283"/>
      <c r="AR201" s="71"/>
      <c r="AS201" s="283"/>
    </row>
    <row r="202" spans="1:45" s="419" customFormat="1" x14ac:dyDescent="0.2">
      <c r="AM202" s="535"/>
      <c r="AO202" s="283"/>
      <c r="AP202" s="71"/>
      <c r="AQ202" s="283"/>
      <c r="AR202" s="71"/>
      <c r="AS202" s="283"/>
    </row>
    <row r="203" spans="1:45" s="419" customFormat="1" hidden="1" outlineLevel="1" x14ac:dyDescent="0.2">
      <c r="A203" s="494" t="s">
        <v>205</v>
      </c>
      <c r="AM203" s="535"/>
      <c r="AO203" s="283"/>
      <c r="AP203" s="71"/>
      <c r="AQ203" s="283"/>
      <c r="AR203" s="71"/>
      <c r="AS203" s="283"/>
    </row>
    <row r="204" spans="1:45" s="419" customFormat="1" hidden="1" outlineLevel="1" x14ac:dyDescent="0.2">
      <c r="AM204" s="535"/>
      <c r="AO204" s="283"/>
      <c r="AP204" s="71"/>
      <c r="AQ204" s="283"/>
      <c r="AR204" s="71"/>
      <c r="AS204" s="283"/>
    </row>
    <row r="205" spans="1:45" s="419" customFormat="1" ht="25.5" hidden="1" outlineLevel="1" x14ac:dyDescent="0.2">
      <c r="A205" s="498" t="s">
        <v>206</v>
      </c>
      <c r="B205" s="496">
        <f>IF(Aprekini!B326=0,"-",'Saimnieciskas pamatdarbibas NP'!B38/Aprekini!B326)</f>
        <v>2.7872457265550072</v>
      </c>
      <c r="C205" s="496">
        <f>IF(Aprekini!C326=0,"-",'Saimnieciskas pamatdarbibas NP'!C38/Aprekini!C326)</f>
        <v>1.4353458451301309</v>
      </c>
      <c r="D205" s="496">
        <f>IF(Aprekini!D326=0,"-",'Saimnieciskas pamatdarbibas NP'!D38/Aprekini!D326)</f>
        <v>0.84056624737057906</v>
      </c>
      <c r="E205" s="496">
        <f ca="1">IF(Aprekini!E326=0,"-",'Saimnieciskas pamatdarbibas NP'!E38/Aprekini!E326)</f>
        <v>0.57783257091708096</v>
      </c>
      <c r="F205" s="496">
        <f ca="1">IF(Aprekini!F326=0,"-",'Saimnieciskas pamatdarbibas NP'!F38/Aprekini!F326)</f>
        <v>0.42269759085699954</v>
      </c>
      <c r="G205" s="496">
        <f ca="1">IF(Aprekini!G326=0,"-",'Saimnieciskas pamatdarbibas NP'!G38/Aprekini!G326)</f>
        <v>0.34523677467731151</v>
      </c>
      <c r="H205" s="496">
        <f ca="1">IF(Aprekini!H326=0,"-",'Saimnieciskas pamatdarbibas NP'!H38/Aprekini!H326)</f>
        <v>0.2851685691996883</v>
      </c>
      <c r="I205" s="496">
        <f ca="1">IF(Aprekini!I326=0,"-",'Saimnieciskas pamatdarbibas NP'!I38/Aprekini!I326)</f>
        <v>0.2438276249697881</v>
      </c>
      <c r="J205" s="496">
        <f ca="1">IF(Aprekini!J326=0,"-",'Saimnieciskas pamatdarbibas NP'!J38/Aprekini!J326)</f>
        <v>0.2111664965248102</v>
      </c>
      <c r="K205" s="496">
        <f ca="1">IF(Aprekini!K326=0,"-",'Saimnieciskas pamatdarbibas NP'!K38/Aprekini!K326)</f>
        <v>0.19548264172509919</v>
      </c>
      <c r="L205" s="496">
        <f ca="1">IF(Aprekini!L326=0,"-",'Saimnieciskas pamatdarbibas NP'!L38/Aprekini!L326)</f>
        <v>0.17427847049804754</v>
      </c>
      <c r="M205" s="496">
        <f ca="1">IF(Aprekini!M326=0,"-",'Saimnieciskas pamatdarbibas NP'!M38/Aprekini!M326)</f>
        <v>0.15940343273526592</v>
      </c>
      <c r="N205" s="496">
        <f ca="1">IF(Aprekini!N326=0,"-",'Saimnieciskas pamatdarbibas NP'!N38/Aprekini!N326)</f>
        <v>0.14966978914159851</v>
      </c>
      <c r="O205" s="496">
        <f ca="1">IF(Aprekini!O326=0,"-",'Saimnieciskas pamatdarbibas NP'!O38/Aprekini!O326)</f>
        <v>0.14118099072759285</v>
      </c>
      <c r="P205" s="496">
        <f ca="1">IF(Aprekini!P326=0,"-",'Saimnieciskas pamatdarbibas NP'!P38/Aprekini!P326)</f>
        <v>0.13294674794662298</v>
      </c>
      <c r="Q205" s="496">
        <f ca="1">IF(Aprekini!Q326=0,"-",'Saimnieciskas pamatdarbibas NP'!Q38/Aprekini!Q326)</f>
        <v>0.10141459720231367</v>
      </c>
      <c r="R205" s="496">
        <f ca="1">IF(Aprekini!R326=0,"-",'Saimnieciskas pamatdarbibas NP'!R38/Aprekini!R326)</f>
        <v>9.6428296698095259E-2</v>
      </c>
      <c r="S205" s="496">
        <f ca="1">IF(Aprekini!S326=0,"-",'Saimnieciskas pamatdarbibas NP'!S38/Aprekini!S326)</f>
        <v>9.3304554505310847E-2</v>
      </c>
      <c r="T205" s="496">
        <f ca="1">IF(Aprekini!T326=0,"-",'Saimnieciskas pamatdarbibas NP'!T38/Aprekini!T326)</f>
        <v>8.8394465039330947E-2</v>
      </c>
      <c r="U205" s="496">
        <f ca="1">IF(Aprekini!U326=0,"-",'Saimnieciskas pamatdarbibas NP'!U38/Aprekini!U326)</f>
        <v>8.5653135150027246E-2</v>
      </c>
      <c r="V205" s="496">
        <f ca="1">IF(Aprekini!V326=0,"-",'Saimnieciskas pamatdarbibas NP'!V38/Aprekini!V326)</f>
        <v>8.3751232249593077E-2</v>
      </c>
      <c r="W205" s="496">
        <f ca="1">IF(Aprekini!W326=0,"-",'Saimnieciskas pamatdarbibas NP'!W38/Aprekini!W326)</f>
        <v>8.1299318534654483E-2</v>
      </c>
      <c r="X205" s="496">
        <f ca="1">IF(Aprekini!X326=0,"-",'Saimnieciskas pamatdarbibas NP'!X38/Aprekini!X326)</f>
        <v>7.7322884471701867E-2</v>
      </c>
      <c r="Y205" s="496">
        <f ca="1">IF(Aprekini!Y326=0,"-",'Saimnieciskas pamatdarbibas NP'!Y38/Aprekini!Y326)</f>
        <v>7.5206406137872842E-2</v>
      </c>
      <c r="Z205" s="496">
        <f ca="1">IF(Aprekini!Z326=0,"-",'Saimnieciskas pamatdarbibas NP'!Z38/Aprekini!Z326)</f>
        <v>7.3200161563804003E-2</v>
      </c>
      <c r="AA205" s="496">
        <f ca="1">IF(Aprekini!AA326=0,"-",'Saimnieciskas pamatdarbibas NP'!AA38/Aprekini!AA326)</f>
        <v>7.1851332574441151E-2</v>
      </c>
      <c r="AB205" s="496">
        <f ca="1">IF(Aprekini!AB326=0,"-",'Saimnieciskas pamatdarbibas NP'!AB38/Aprekini!AB326)</f>
        <v>7.0027076583704911E-2</v>
      </c>
      <c r="AC205" s="496">
        <f ca="1">IF(Aprekini!AC326=0,"-",'Saimnieciskas pamatdarbibas NP'!AC38/Aprekini!AC326)</f>
        <v>6.6924233495968419E-2</v>
      </c>
      <c r="AD205" s="496">
        <f ca="1">IF(Aprekini!AD326=0,"-",'Saimnieciskas pamatdarbibas NP'!AD38/Aprekini!AD326)</f>
        <v>6.5327595432864108E-2</v>
      </c>
      <c r="AE205" s="496">
        <f ca="1">IF(Aprekini!AE326=0,"-",'Saimnieciskas pamatdarbibas NP'!AE38/Aprekini!AE326)</f>
        <v>6.3402251861418471E-2</v>
      </c>
      <c r="AF205" s="496">
        <f ca="1">IF(Aprekini!AF326=0,"-",'Saimnieciskas pamatdarbibas NP'!AF38/Aprekini!AF326)</f>
        <v>6.2021576005668377E-2</v>
      </c>
      <c r="AG205" s="496">
        <f ca="1">IF(Aprekini!AG326=0,"-",'Saimnieciskas pamatdarbibas NP'!AG38/Aprekini!AG326)</f>
        <v>5.9921747047142315E-2</v>
      </c>
      <c r="AH205" s="496">
        <f ca="1">IF(Aprekini!AH326=0,"-",'Saimnieciskas pamatdarbibas NP'!AH38/Aprekini!AH326)</f>
        <v>5.7956347882423397E-2</v>
      </c>
      <c r="AI205" s="496"/>
      <c r="AM205" s="535"/>
      <c r="AO205" s="283"/>
      <c r="AP205" s="71"/>
      <c r="AQ205" s="283"/>
      <c r="AR205" s="71"/>
      <c r="AS205" s="283"/>
    </row>
    <row r="206" spans="1:45" s="419" customFormat="1" hidden="1" outlineLevel="1" x14ac:dyDescent="0.2">
      <c r="AM206" s="535"/>
      <c r="AO206" s="283"/>
      <c r="AP206" s="71"/>
      <c r="AQ206" s="283"/>
      <c r="AR206" s="71"/>
      <c r="AS206" s="283"/>
    </row>
    <row r="207" spans="1:45" s="419" customFormat="1" ht="25.5" hidden="1" outlineLevel="1" x14ac:dyDescent="0.2">
      <c r="A207" s="498" t="s">
        <v>207</v>
      </c>
      <c r="B207" s="496">
        <f ca="1">IF(Aprekini!B324=0,"-",'Saimnieciskas pamatdarbibas NP'!B38/Aprekini!B324)</f>
        <v>1</v>
      </c>
      <c r="C207" s="496">
        <f ca="1">IF(Aprekini!C324=0,"-",'Saimnieciskas pamatdarbibas NP'!C38/Aprekini!C324)</f>
        <v>0.47945311111801053</v>
      </c>
      <c r="D207" s="496">
        <f ca="1">IF(Aprekini!D324=0,"-",'Saimnieciskas pamatdarbibas NP'!D38/Aprekini!D324)</f>
        <v>0.34984817880213964</v>
      </c>
      <c r="E207" s="496">
        <f ca="1">IF(Aprekini!E324=0,"-",'Saimnieciskas pamatdarbibas NP'!E38/Aprekini!E324)</f>
        <v>0.2507957408971796</v>
      </c>
      <c r="F207" s="496">
        <f ca="1">IF(Aprekini!F324=0,"-",'Saimnieciskas pamatdarbibas NP'!F38/Aprekini!F324)</f>
        <v>0.18395103483885777</v>
      </c>
      <c r="G207" s="496">
        <f ca="1">IF(Aprekini!G324=0,"-",'Saimnieciskas pamatdarbibas NP'!G38/Aprekini!G324)</f>
        <v>0.15061532173277012</v>
      </c>
      <c r="H207" s="496">
        <f ca="1">IF(Aprekini!H324=0,"-",'Saimnieciskas pamatdarbibas NP'!H38/Aprekini!H324)</f>
        <v>0.12349484803281556</v>
      </c>
      <c r="I207" s="496">
        <f ca="1">IF(Aprekini!I324=0,"-",'Saimnieciskas pamatdarbibas NP'!I38/Aprekini!I324)</f>
        <v>0.10489373738586671</v>
      </c>
      <c r="J207" s="496">
        <f ca="1">IF(Aprekini!J324=0,"-",'Saimnieciskas pamatdarbibas NP'!J38/Aprekini!J324)</f>
        <v>9.0015053659048036E-2</v>
      </c>
      <c r="K207" s="496">
        <f ca="1">IF(Aprekini!K324=0,"-",'Saimnieciskas pamatdarbibas NP'!K38/Aprekini!K324)</f>
        <v>8.1531885987181307E-2</v>
      </c>
      <c r="L207" s="496">
        <f ca="1">IF(Aprekini!L324=0,"-",'Saimnieciskas pamatdarbibas NP'!L38/Aprekini!L324)</f>
        <v>7.1555902691286352E-2</v>
      </c>
      <c r="M207" s="496">
        <f ca="1">IF(Aprekini!M324=0,"-",'Saimnieciskas pamatdarbibas NP'!M38/Aprekini!M324)</f>
        <v>6.4240250616592789E-2</v>
      </c>
      <c r="N207" s="496">
        <f ca="1">IF(Aprekini!N324=0,"-",'Saimnieciskas pamatdarbibas NP'!N38/Aprekini!N324)</f>
        <v>5.944486001090158E-2</v>
      </c>
      <c r="O207" s="496">
        <f ca="1">IF(Aprekini!O324=0,"-",'Saimnieciskas pamatdarbibas NP'!O38/Aprekini!O324)</f>
        <v>5.5482269571058195E-2</v>
      </c>
      <c r="P207" s="496">
        <f ca="1">IF(Aprekini!P324=0,"-",'Saimnieciskas pamatdarbibas NP'!P38/Aprekini!P324)</f>
        <v>5.2354993219434223E-2</v>
      </c>
      <c r="Q207" s="496">
        <f ca="1">IF(Aprekini!Q324=0,"-",'Saimnieciskas pamatdarbibas NP'!Q38/Aprekini!Q324)</f>
        <v>4.0309980825648503E-2</v>
      </c>
      <c r="R207" s="496">
        <f ca="1">IF(Aprekini!R324=0,"-",'Saimnieciskas pamatdarbibas NP'!R38/Aprekini!R324)</f>
        <v>3.8708606645967328E-2</v>
      </c>
      <c r="S207" s="496">
        <f ca="1">IF(Aprekini!S324=0,"-",'Saimnieciskas pamatdarbibas NP'!S38/Aprekini!S324)</f>
        <v>3.7443342019908649E-2</v>
      </c>
      <c r="T207" s="496">
        <f ca="1">IF(Aprekini!T324=0,"-",'Saimnieciskas pamatdarbibas NP'!T38/Aprekini!T324)</f>
        <v>3.5484261587022302E-2</v>
      </c>
      <c r="U207" s="496">
        <f ca="1">IF(Aprekini!U324=0,"-",'Saimnieciskas pamatdarbibas NP'!U38/Aprekini!U324)</f>
        <v>3.4043616838835243E-2</v>
      </c>
      <c r="V207" s="496">
        <f ca="1">IF(Aprekini!V324=0,"-",'Saimnieciskas pamatdarbibas NP'!V38/Aprekini!V324)</f>
        <v>3.3007005652832877E-2</v>
      </c>
      <c r="W207" s="496">
        <f ca="1">IF(Aprekini!W324=0,"-",'Saimnieciskas pamatdarbibas NP'!W38/Aprekini!W324)</f>
        <v>3.1808291331243042E-2</v>
      </c>
      <c r="X207" s="496">
        <f ca="1">IF(Aprekini!X324=0,"-",'Saimnieciskas pamatdarbibas NP'!X38/Aprekini!X324)</f>
        <v>3.006735288469822E-2</v>
      </c>
      <c r="Y207" s="496">
        <f ca="1">IF(Aprekini!Y324=0,"-",'Saimnieciskas pamatdarbibas NP'!Y38/Aprekini!Y324)</f>
        <v>2.9091913538591984E-2</v>
      </c>
      <c r="Z207" s="496">
        <f ca="1">IF(Aprekini!Z324=0,"-",'Saimnieciskas pamatdarbibas NP'!Z38/Aprekini!Z324)</f>
        <v>2.8175157135009704E-2</v>
      </c>
      <c r="AA207" s="496">
        <f ca="1">IF(Aprekini!AA324=0,"-",'Saimnieciskas pamatdarbibas NP'!AA38/Aprekini!AA324)</f>
        <v>2.7556852951790722E-2</v>
      </c>
      <c r="AB207" s="496">
        <f ca="1">IF(Aprekini!AB324=0,"-",'Saimnieciskas pamatdarbibas NP'!AB38/Aprekini!AB324)</f>
        <v>2.6763998761378447E-2</v>
      </c>
      <c r="AC207" s="496">
        <f ca="1">IF(Aprekini!AC324=0,"-",'Saimnieciskas pamatdarbibas NP'!AC38/Aprekini!AC324)</f>
        <v>2.5504790586835385E-2</v>
      </c>
      <c r="AD207" s="496">
        <f ca="1">IF(Aprekini!AD324=0,"-",'Saimnieciskas pamatdarbibas NP'!AD38/Aprekini!AD324)</f>
        <v>2.4852146144752656E-2</v>
      </c>
      <c r="AE207" s="496">
        <f ca="1">IF(Aprekini!AE324=0,"-",'Saimnieciskas pamatdarbibas NP'!AE38/Aprekini!AE324)</f>
        <v>2.4092482281660468E-2</v>
      </c>
      <c r="AF207" s="496">
        <f ca="1">IF(Aprekini!AF324=0,"-",'Saimnieciskas pamatdarbibas NP'!AF38/Aprekini!AF324)</f>
        <v>2.3541444672966066E-2</v>
      </c>
      <c r="AG207" s="496">
        <f ca="1">IF(Aprekini!AG324=0,"-",'Saimnieciskas pamatdarbibas NP'!AG38/Aprekini!AG324)</f>
        <v>2.2726928181703757E-2</v>
      </c>
      <c r="AH207" s="496">
        <f ca="1">IF(Aprekini!AH324=0,"-",'Saimnieciskas pamatdarbibas NP'!AH38/Aprekini!AH324)</f>
        <v>2.1951922090503027E-2</v>
      </c>
      <c r="AI207" s="496"/>
      <c r="AM207" s="535"/>
      <c r="AO207" s="283"/>
      <c r="AP207" s="71"/>
      <c r="AQ207" s="283"/>
      <c r="AR207" s="71"/>
      <c r="AS207" s="283"/>
    </row>
    <row r="208" spans="1:45" s="419" customFormat="1" hidden="1" outlineLevel="1" x14ac:dyDescent="0.2">
      <c r="AM208" s="535"/>
      <c r="AO208" s="283"/>
      <c r="AP208" s="71"/>
      <c r="AQ208" s="283"/>
      <c r="AR208" s="71"/>
      <c r="AS208" s="283"/>
    </row>
    <row r="209" spans="1:45" s="419" customFormat="1" ht="25.5" hidden="1" outlineLevel="1" x14ac:dyDescent="0.2">
      <c r="A209" s="498" t="s">
        <v>208</v>
      </c>
      <c r="B209" s="496">
        <f ca="1">IF(Aprekini!B327=0,"-",'Saimnieciskas pamatdarbibas NP'!B38/Aprekini!B327)</f>
        <v>4.9570919205044806E-2</v>
      </c>
      <c r="C209" s="496">
        <f ca="1">IF(Aprekini!C327=0,"-",'Saimnieciskas pamatdarbibas NP'!C38/Aprekini!C327)</f>
        <v>3.5760786069222457E-2</v>
      </c>
      <c r="D209" s="496">
        <f ca="1">IF(Aprekini!D327=0,"-",'Saimnieciskas pamatdarbibas NP'!D38/Aprekini!D327)</f>
        <v>2.5233100878778024E-2</v>
      </c>
      <c r="E209" s="496">
        <f ca="1">IF(Aprekini!E327=0,"-",'Saimnieciskas pamatdarbibas NP'!E38/Aprekini!E327)</f>
        <v>1.5557227985738243E-2</v>
      </c>
      <c r="F209" s="496">
        <f ca="1">IF(Aprekini!F327=0,"-",'Saimnieciskas pamatdarbibas NP'!F38/Aprekini!F327)</f>
        <v>1.5544013440975618E-2</v>
      </c>
      <c r="G209" s="496">
        <f ca="1">IF(Aprekini!G327=0,"-",'Saimnieciskas pamatdarbibas NP'!G38/Aprekini!G327)</f>
        <v>1.6289677364491814E-2</v>
      </c>
      <c r="H209" s="496">
        <f ca="1">IF(Aprekini!H327=0,"-",'Saimnieciskas pamatdarbibas NP'!H38/Aprekini!H327)</f>
        <v>1.6586810085575981E-2</v>
      </c>
      <c r="I209" s="496">
        <f ca="1">IF(Aprekini!I327=0,"-",'Saimnieciskas pamatdarbibas NP'!I38/Aprekini!I327)</f>
        <v>1.7006909137791099E-2</v>
      </c>
      <c r="J209" s="496">
        <f ca="1">IF(Aprekini!J327=0,"-",'Saimnieciskas pamatdarbibas NP'!J38/Aprekini!J327)</f>
        <v>1.7293248235066637E-2</v>
      </c>
      <c r="K209" s="496">
        <f ca="1">IF(Aprekini!K327=0,"-",'Saimnieciskas pamatdarbibas NP'!K38/Aprekini!K327)</f>
        <v>1.8094402810325309E-2</v>
      </c>
      <c r="L209" s="496">
        <f ca="1">IF(Aprekini!L327=0,"-",'Saimnieciskas pamatdarbibas NP'!L38/Aprekini!L327)</f>
        <v>1.8091132753310733E-2</v>
      </c>
      <c r="M209" s="496">
        <f ca="1">IF(Aprekini!M327=0,"-",'Saimnieciskas pamatdarbibas NP'!M38/Aprekini!M327)</f>
        <v>1.8409021876630672E-2</v>
      </c>
      <c r="N209" s="496">
        <f ca="1">IF(Aprekini!N327=0,"-",'Saimnieciskas pamatdarbibas NP'!N38/Aprekini!N327)</f>
        <v>1.9124756900935895E-2</v>
      </c>
      <c r="O209" s="496">
        <f ca="1">IF(Aprekini!O327=0,"-",'Saimnieciskas pamatdarbibas NP'!O38/Aprekini!O327)</f>
        <v>1.9870297898965581E-2</v>
      </c>
      <c r="P209" s="496">
        <f ca="1">IF(Aprekini!P327=0,"-",'Saimnieciskas pamatdarbibas NP'!P38/Aprekini!P327)</f>
        <v>1.9990562977474063E-2</v>
      </c>
      <c r="Q209" s="496">
        <f ca="1">IF(Aprekini!Q327=0,"-",'Saimnieciskas pamatdarbibas NP'!Q38/Aprekini!Q327)</f>
        <v>1.621350753826532E-2</v>
      </c>
      <c r="R209" s="496">
        <f ca="1">IF(Aprekini!R327=0,"-",'Saimnieciskas pamatdarbibas NP'!R38/Aprekini!R327)</f>
        <v>1.6344462669112769E-2</v>
      </c>
      <c r="S209" s="496">
        <f ca="1">IF(Aprekini!S327=0,"-",'Saimnieciskas pamatdarbibas NP'!S38/Aprekini!S327)</f>
        <v>1.6508018339349811E-2</v>
      </c>
      <c r="T209" s="496">
        <f ca="1">IF(Aprekini!T327=0,"-",'Saimnieciskas pamatdarbibas NP'!T38/Aprekini!T327)</f>
        <v>1.6302991785589419E-2</v>
      </c>
      <c r="U209" s="496">
        <f ca="1">IF(Aprekini!U327=0,"-",'Saimnieciskas pamatdarbibas NP'!U38/Aprekini!U327)</f>
        <v>1.6369615775411361E-2</v>
      </c>
      <c r="V209" s="496">
        <f ca="1">IF(Aprekini!V327=0,"-",'Saimnieciskas pamatdarbibas NP'!V38/Aprekini!V327)</f>
        <v>1.6566154774702604E-2</v>
      </c>
      <c r="W209" s="496">
        <f ca="1">IF(Aprekini!W327=0,"-",'Saimnieciskas pamatdarbibas NP'!W38/Aprekini!W327)</f>
        <v>1.662427037843614E-2</v>
      </c>
      <c r="X209" s="496">
        <f ca="1">IF(Aprekini!X327=0,"-",'Saimnieciskas pamatdarbibas NP'!X38/Aprekini!X327)</f>
        <v>1.6327750171785123E-2</v>
      </c>
      <c r="Y209" s="496">
        <f ca="1">IF(Aprekini!Y327=0,"-",'Saimnieciskas pamatdarbibas NP'!Y38/Aprekini!Y327)</f>
        <v>1.6382360848900004E-2</v>
      </c>
      <c r="Z209" s="496">
        <f ca="1">IF(Aprekini!Z327=0,"-",'Saimnieciskas pamatdarbibas NP'!Z38/Aprekini!Z327)</f>
        <v>1.6427305706105635E-2</v>
      </c>
      <c r="AA209" s="496">
        <f ca="1">IF(Aprekini!AA327=0,"-",'Saimnieciskas pamatdarbibas NP'!AA38/Aprekini!AA327)</f>
        <v>1.6602044270232826E-2</v>
      </c>
      <c r="AB209" s="496">
        <f ca="1">IF(Aprekini!AB327=0,"-",'Saimnieciskas pamatdarbibas NP'!AB38/Aprekini!AB327)</f>
        <v>1.6639346813754209E-2</v>
      </c>
      <c r="AC209" s="496">
        <f ca="1">IF(Aprekini!AC327=0,"-",'Saimnieciskas pamatdarbibas NP'!AC38/Aprekini!AC327)</f>
        <v>1.6338817493654748E-2</v>
      </c>
      <c r="AD209" s="496">
        <f ca="1">IF(Aprekini!AD327=0,"-",'Saimnieciskas pamatdarbibas NP'!AD38/Aprekini!AD327)</f>
        <v>1.6379185559369167E-2</v>
      </c>
      <c r="AE209" s="496">
        <f ca="1">IF(Aprekini!AE327=0,"-",'Saimnieciskas pamatdarbibas NP'!AE38/Aprekini!AE327)</f>
        <v>1.6315082164721401E-2</v>
      </c>
      <c r="AF209" s="496">
        <f ca="1">IF(Aprekini!AF327=0,"-",'Saimnieciskas pamatdarbibas NP'!AF38/Aprekini!AF327)</f>
        <v>1.6363965549466324E-2</v>
      </c>
      <c r="AG209" s="496">
        <f ca="1">IF(Aprekini!AG327=0,"-",'Saimnieciskas pamatdarbibas NP'!AG38/Aprekini!AG327)</f>
        <v>1.6195386517334601E-2</v>
      </c>
      <c r="AH209" s="496">
        <f ca="1">IF(Aprekini!AH327=0,"-",'Saimnieciskas pamatdarbibas NP'!AH38/Aprekini!AH327)</f>
        <v>1.6022396955726305E-2</v>
      </c>
      <c r="AI209" s="496"/>
      <c r="AM209" s="535"/>
      <c r="AO209" s="283"/>
      <c r="AP209" s="71"/>
      <c r="AQ209" s="283"/>
      <c r="AR209" s="71"/>
      <c r="AS209" s="283"/>
    </row>
    <row r="210" spans="1:45" s="419" customFormat="1" hidden="1" outlineLevel="1" x14ac:dyDescent="0.2">
      <c r="AM210" s="535"/>
      <c r="AO210" s="283"/>
      <c r="AP210" s="71"/>
      <c r="AQ210" s="283"/>
      <c r="AR210" s="71"/>
      <c r="AS210" s="283"/>
    </row>
    <row r="211" spans="1:45" s="419" customFormat="1" hidden="1" outlineLevel="1" x14ac:dyDescent="0.2">
      <c r="A211" s="494" t="s">
        <v>507</v>
      </c>
      <c r="AM211" s="535"/>
      <c r="AO211" s="283"/>
      <c r="AP211" s="71"/>
      <c r="AQ211" s="283"/>
      <c r="AR211" s="71"/>
      <c r="AS211" s="283"/>
    </row>
    <row r="212" spans="1:45" s="419" customFormat="1" hidden="1" outlineLevel="1" x14ac:dyDescent="0.2">
      <c r="AM212" s="535"/>
      <c r="AO212" s="283"/>
      <c r="AP212" s="71"/>
      <c r="AQ212" s="283"/>
      <c r="AR212" s="71"/>
      <c r="AS212" s="283"/>
    </row>
    <row r="213" spans="1:45" s="419" customFormat="1" ht="25.5" collapsed="1" x14ac:dyDescent="0.2">
      <c r="A213" s="495" t="s">
        <v>209</v>
      </c>
      <c r="B213" s="496">
        <f ca="1">IF(Aprekini!B327=0,"-",Aprekini!B329/Aprekini!B327)</f>
        <v>1</v>
      </c>
      <c r="C213" s="496">
        <f ca="1">IF(Aprekini!C327=0,"-",Aprekini!C329/Aprekini!C327)</f>
        <v>1.2477908261100519</v>
      </c>
      <c r="D213" s="496">
        <f ca="1">IF(Aprekini!D327=0,"-",Aprekini!D329/Aprekini!D327)</f>
        <v>1.1869592770834994</v>
      </c>
      <c r="E213" s="496">
        <f ca="1">IF(Aprekini!E327=0,"-",Aprekini!E329/Aprekini!E327)</f>
        <v>0.72877269692910396</v>
      </c>
      <c r="F213" s="496">
        <f ca="1">IF(Aprekini!F327=0,"-",Aprekini!F329/Aprekini!F327)</f>
        <v>0.73798651738723819</v>
      </c>
      <c r="G213" s="496">
        <f ca="1">IF(Aprekini!G327=0,"-",Aprekini!G329/Aprekini!G327)</f>
        <v>0.74765542873382973</v>
      </c>
      <c r="H213" s="496">
        <f ca="1">IF(Aprekini!H327=0,"-",Aprekini!H329/Aprekini!H327)</f>
        <v>0.75826355019359792</v>
      </c>
      <c r="I213" s="496">
        <f ca="1">IF(Aprekini!I327=0,"-",Aprekini!I329/Aprekini!I327)</f>
        <v>0.76945612061332991</v>
      </c>
      <c r="J213" s="496">
        <f ca="1">IF(Aprekini!J327=0,"-",Aprekini!J329/Aprekini!J327)</f>
        <v>0.78137794070813849</v>
      </c>
      <c r="K213" s="496">
        <f ca="1">IF(Aprekini!K327=0,"-",Aprekini!K329/Aprekini!K327)</f>
        <v>0.79328550227680972</v>
      </c>
      <c r="L213" s="496">
        <f ca="1">IF(Aprekini!L327=0,"-",Aprekini!L329/Aprekini!L327)</f>
        <v>0.80564031312563222</v>
      </c>
      <c r="M213" s="496">
        <f ca="1">IF(Aprekini!M327=0,"-",Aprekini!M329/Aprekini!M327)</f>
        <v>0.81890619114640506</v>
      </c>
      <c r="N213" s="496">
        <f ca="1">IF(Aprekini!N327=0,"-",Aprekini!N329/Aprekini!N327)</f>
        <v>0.83270819321573608</v>
      </c>
      <c r="O213" s="496">
        <f ca="1">IF(Aprekini!O327=0,"-",Aprekini!O329/Aprekini!O327)</f>
        <v>0.84701658749872522</v>
      </c>
      <c r="P213" s="496">
        <f ca="1">IF(Aprekini!P327=0,"-",Aprekini!P329/Aprekini!P327)</f>
        <v>0.85188128723579992</v>
      </c>
      <c r="Q213" s="496">
        <f ca="1">IF(Aprekini!Q327=0,"-",Aprekini!Q329/Aprekini!Q327)</f>
        <v>0.85679789993590105</v>
      </c>
      <c r="R213" s="496">
        <f ca="1">IF(Aprekini!R327=0,"-",Aprekini!R329/Aprekini!R327)</f>
        <v>0.86162707473637801</v>
      </c>
      <c r="S213" s="496">
        <f ca="1">IF(Aprekini!S327=0,"-",Aprekini!S329/Aprekini!S327)</f>
        <v>0.86589085475112637</v>
      </c>
      <c r="T213" s="496">
        <f ca="1">IF(Aprekini!T327=0,"-",Aprekini!T329/Aprekini!T327)</f>
        <v>0.87013817439648411</v>
      </c>
      <c r="U213" s="496">
        <f ca="1">IF(Aprekini!U327=0,"-",Aprekini!U329/Aprekini!U327)</f>
        <v>0.87506976528405611</v>
      </c>
      <c r="V213" s="496">
        <f ca="1">IF(Aprekini!V327=0,"-",Aprekini!V329/Aprekini!V327)</f>
        <v>0.87992273628926976</v>
      </c>
      <c r="W213" s="496">
        <f ca="1">IF(Aprekini!W327=0,"-",Aprekini!W329/Aprekini!W327)</f>
        <v>0.88470417604303597</v>
      </c>
      <c r="X213" s="496">
        <f ca="1">IF(Aprekini!X327=0,"-",Aprekini!X329/Aprekini!X327)</f>
        <v>0.88940743721793647</v>
      </c>
      <c r="Y213" s="496">
        <f ca="1">IF(Aprekini!Y327=0,"-",Aprekini!Y329/Aprekini!Y327)</f>
        <v>0.89403905694715624</v>
      </c>
      <c r="Z213" s="496">
        <f ca="1">IF(Aprekini!Z327=0,"-",Aprekini!Z329/Aprekini!Z327)</f>
        <v>0.89863488926612556</v>
      </c>
      <c r="AA213" s="496">
        <f ca="1">IF(Aprekini!AA327=0,"-",Aprekini!AA329/Aprekini!AA327)</f>
        <v>0.90311525834663542</v>
      </c>
      <c r="AB213" s="496">
        <f ca="1">IF(Aprekini!AB327=0,"-",Aprekini!AB329/Aprekini!AB327)</f>
        <v>0.90755634493046544</v>
      </c>
      <c r="AC213" s="496">
        <f ca="1">IF(Aprekini!AC327=0,"-",Aprekini!AC329/Aprekini!AC327)</f>
        <v>0.91192213497120156</v>
      </c>
      <c r="AD213" s="496">
        <f ca="1">IF(Aprekini!AD327=0,"-",Aprekini!AD329/Aprekini!AD327)</f>
        <v>0.91617969560061518</v>
      </c>
      <c r="AE213" s="496">
        <f ca="1">IF(Aprekini!AE327=0,"-",Aprekini!AE329/Aprekini!AE327)</f>
        <v>0.92036228191433789</v>
      </c>
      <c r="AF213" s="496">
        <f ca="1">IF(Aprekini!AF327=0,"-",Aprekini!AF329/Aprekini!AF327)</f>
        <v>0.92450308414312021</v>
      </c>
      <c r="AG213" s="496">
        <f ca="1">IF(Aprekini!AG327=0,"-",Aprekini!AG329/Aprekini!AG327)</f>
        <v>0.92854279615723712</v>
      </c>
      <c r="AH213" s="496">
        <f ca="1">IF(Aprekini!AH327=0,"-",Aprekini!AH329/Aprekini!AH327)</f>
        <v>0.93253492953090422</v>
      </c>
      <c r="AI213" s="496"/>
      <c r="AM213" s="535"/>
      <c r="AO213" s="283"/>
      <c r="AP213" s="71"/>
      <c r="AQ213" s="283"/>
      <c r="AR213" s="71"/>
      <c r="AS213" s="283"/>
    </row>
    <row r="214" spans="1:45" s="419" customFormat="1" x14ac:dyDescent="0.2">
      <c r="AM214" s="535"/>
      <c r="AO214" s="283"/>
      <c r="AP214" s="71"/>
      <c r="AQ214" s="283"/>
      <c r="AR214" s="71"/>
      <c r="AS214" s="283"/>
    </row>
    <row r="215" spans="1:45" s="419" customFormat="1" ht="25.5" hidden="1" outlineLevel="1" x14ac:dyDescent="0.2">
      <c r="A215" s="498" t="s">
        <v>210</v>
      </c>
      <c r="B215" s="496">
        <f ca="1">IF(Aprekini!B329=0,"-",(Aprekini!B334+Aprekini!B336)/Aprekini!B329)</f>
        <v>0</v>
      </c>
      <c r="C215" s="496">
        <f ca="1">IF(Aprekini!C329=0,"-",(Aprekini!C334+Aprekini!C336)/Aprekini!C329)</f>
        <v>0</v>
      </c>
      <c r="D215" s="496">
        <f ca="1">IF(Aprekini!D329=0,"-",(Aprekini!D334+Aprekini!D336)/Aprekini!D329)</f>
        <v>0.12278875270427028</v>
      </c>
      <c r="E215" s="496">
        <f ca="1">IF(Aprekini!E329=0,"-",(Aprekini!E334+Aprekini!E336)/Aprekini!E329)</f>
        <v>0.37194634541247923</v>
      </c>
      <c r="F215" s="496">
        <f ca="1">IF(Aprekini!F329=0,"-",(Aprekini!F334+Aprekini!F336)/Aprekini!F329)</f>
        <v>0.35481204346720852</v>
      </c>
      <c r="G215" s="496">
        <f ca="1">IF(Aprekini!G329=0,"-",(Aprekini!G334+Aprekini!G336)/Aprekini!G329)</f>
        <v>0.33728714022219858</v>
      </c>
      <c r="H215" s="496">
        <f ca="1">IF(Aprekini!H329=0,"-",(Aprekini!H334+Aprekini!H336)/Aprekini!H329)</f>
        <v>0.31872075717158677</v>
      </c>
      <c r="I215" s="496">
        <f ca="1">IF(Aprekini!I329=0,"-",(Aprekini!I334+Aprekini!I336)/Aprekini!I329)</f>
        <v>0.29967465788567121</v>
      </c>
      <c r="J215" s="496">
        <f ca="1">IF(Aprekini!J329=0,"-",(Aprekini!J334+Aprekini!J336)/Aprekini!J329)</f>
        <v>0.27998966712542339</v>
      </c>
      <c r="K215" s="496">
        <f ca="1">IF(Aprekini!K329=0,"-",(Aprekini!K334+Aprekini!K336)/Aprekini!K329)</f>
        <v>0.26078089887732669</v>
      </c>
      <c r="L215" s="496">
        <f ca="1">IF(Aprekini!L329=0,"-",(Aprekini!L334+Aprekini!L336)/Aprekini!L329)</f>
        <v>0.24144939643640606</v>
      </c>
      <c r="M215" s="496">
        <f ca="1">IF(Aprekini!M329=0,"-",(Aprekini!M334+Aprekini!M336)/Aprekini!M329)</f>
        <v>0.22134274434298926</v>
      </c>
      <c r="N215" s="496">
        <f ca="1">IF(Aprekini!N329=0,"-",(Aprekini!N334+Aprekini!N336)/Aprekini!N329)</f>
        <v>0.2011029461825283</v>
      </c>
      <c r="O215" s="496">
        <f ca="1">IF(Aprekini!O329=0,"-",(Aprekini!O334+Aprekini!O336)/Aprekini!O329)</f>
        <v>0.18081693957924827</v>
      </c>
      <c r="P215" s="496">
        <f ca="1">IF(Aprekini!P329=0,"-",(Aprekini!P334+Aprekini!P336)/Aprekini!P329)</f>
        <v>0.17434093011415266</v>
      </c>
      <c r="Q215" s="496">
        <f ca="1">IF(Aprekini!Q329=0,"-",(Aprekini!Q334+Aprekini!Q336)/Aprekini!Q329)</f>
        <v>0.16787473685965082</v>
      </c>
      <c r="R215" s="496">
        <f ca="1">IF(Aprekini!R329=0,"-",(Aprekini!R334+Aprekini!R336)/Aprekini!R329)</f>
        <v>0.16159674801642995</v>
      </c>
      <c r="S215" s="496">
        <f ca="1">IF(Aprekini!S329=0,"-",(Aprekini!S334+Aprekini!S336)/Aprekini!S329)</f>
        <v>0.15587364668376291</v>
      </c>
      <c r="T215" s="496">
        <f ca="1">IF(Aprekini!T329=0,"-",(Aprekini!T334+Aprekini!T336)/Aprekini!T329)</f>
        <v>0.15022781588486592</v>
      </c>
      <c r="U215" s="496">
        <f ca="1">IF(Aprekini!U329=0,"-",(Aprekini!U334+Aprekini!U336)/Aprekini!U329)</f>
        <v>0.14373623522787454</v>
      </c>
      <c r="V215" s="496">
        <f ca="1">IF(Aprekini!V329=0,"-",(Aprekini!V334+Aprekini!V336)/Aprekini!V329)</f>
        <v>0.13741909251237375</v>
      </c>
      <c r="W215" s="496">
        <f ca="1">IF(Aprekini!W329=0,"-",(Aprekini!W334+Aprekini!W336)/Aprekini!W329)</f>
        <v>0.13126271664744693</v>
      </c>
      <c r="X215" s="496">
        <f ca="1">IF(Aprekini!X329=0,"-",(Aprekini!X334+Aprekini!X336)/Aprekini!X329)</f>
        <v>0.12527149615075786</v>
      </c>
      <c r="Y215" s="496">
        <f ca="1">IF(Aprekini!Y329=0,"-",(Aprekini!Y334+Aprekini!Y336)/Aprekini!Y329)</f>
        <v>0.11943301778076179</v>
      </c>
      <c r="Z215" s="496">
        <f ca="1">IF(Aprekini!Z329=0,"-",(Aprekini!Z334+Aprekini!Z336)/Aprekini!Z329)</f>
        <v>0.11369877013912054</v>
      </c>
      <c r="AA215" s="496">
        <f ca="1">IF(Aprekini!AA329=0,"-",(Aprekini!AA334+Aprekini!AA336)/Aprekini!AA329)</f>
        <v>0.10816493452089995</v>
      </c>
      <c r="AB215" s="496">
        <f ca="1">IF(Aprekini!AB329=0,"-",(Aprekini!AB334+Aprekini!AB336)/Aprekini!AB329)</f>
        <v>0.10273318311670442</v>
      </c>
      <c r="AC215" s="496">
        <f ca="1">IF(Aprekini!AC329=0,"-",(Aprekini!AC334+Aprekini!AC336)/Aprekini!AC329)</f>
        <v>9.7444980934952033E-2</v>
      </c>
      <c r="AD215" s="496">
        <f ca="1">IF(Aprekini!AD329=0,"-",(Aprekini!AD334+Aprekini!AD336)/Aprekini!AD329)</f>
        <v>9.2336573607120415E-2</v>
      </c>
      <c r="AE215" s="496">
        <f ca="1">IF(Aprekini!AE329=0,"-",(Aprekini!AE334+Aprekini!AE336)/Aprekini!AE329)</f>
        <v>8.7364071580248115E-2</v>
      </c>
      <c r="AF215" s="496">
        <f ca="1">IF(Aprekini!AF329=0,"-",(Aprekini!AF334+Aprekini!AF336)/Aprekini!AF329)</f>
        <v>8.2485205153852256E-2</v>
      </c>
      <c r="AG215" s="496">
        <f ca="1">IF(Aprekini!AG329=0,"-",(Aprekini!AG334+Aprekini!AG336)/Aprekini!AG329)</f>
        <v>7.7767531085987732E-2</v>
      </c>
      <c r="AH215" s="496">
        <f ca="1">IF(Aprekini!AH329=0,"-",(Aprekini!AH334+Aprekini!AH336)/Aprekini!AH329)</f>
        <v>7.3145253967702079E-2</v>
      </c>
      <c r="AI215" s="496"/>
      <c r="AM215" s="535"/>
      <c r="AO215" s="283"/>
      <c r="AP215" s="71"/>
      <c r="AQ215" s="283"/>
      <c r="AR215" s="71"/>
      <c r="AS215" s="283"/>
    </row>
    <row r="216" spans="1:45" s="419" customFormat="1" hidden="1" outlineLevel="1" x14ac:dyDescent="0.2">
      <c r="AM216" s="535"/>
      <c r="AO216" s="283"/>
      <c r="AP216" s="71"/>
      <c r="AQ216" s="283"/>
      <c r="AR216" s="71"/>
      <c r="AS216" s="283"/>
    </row>
    <row r="217" spans="1:45" s="419" customFormat="1" ht="25.5" hidden="1" outlineLevel="1" x14ac:dyDescent="0.2">
      <c r="A217" s="498" t="s">
        <v>211</v>
      </c>
      <c r="B217" s="496">
        <f ca="1">IF(Aprekini!B329=0,"-",Aprekini!B320/Aprekini!B329)</f>
        <v>0.95042908079495525</v>
      </c>
      <c r="C217" s="496">
        <f ca="1">IF(Aprekini!C329=0,"-",Aprekini!C320/Aprekini!C329)</f>
        <v>0.74164143748388744</v>
      </c>
      <c r="D217" s="496">
        <f ca="1">IF(Aprekini!D329=0,"-",Aprekini!D320/Aprekini!D329)</f>
        <v>0.7817236510052934</v>
      </c>
      <c r="E217" s="496">
        <f ca="1">IF(Aprekini!E329=0,"-",Aprekini!E320/Aprekini!E329)</f>
        <v>1.2870522399008264</v>
      </c>
      <c r="F217" s="496">
        <f ca="1">IF(Aprekini!F329=0,"-",Aprekini!F320/Aprekini!F329)</f>
        <v>1.2405364563927457</v>
      </c>
      <c r="G217" s="496">
        <f ca="1">IF(Aprekini!G329=0,"-",Aprekini!G320/Aprekini!G329)</f>
        <v>1.19285673689334</v>
      </c>
      <c r="H217" s="496">
        <f ca="1">IF(Aprekini!H329=0,"-",Aprekini!H320/Aprekini!H329)</f>
        <v>1.141671971764739</v>
      </c>
      <c r="I217" s="496">
        <f ca="1">IF(Aprekini!I329=0,"-",Aprekini!I320/Aprekini!I329)</f>
        <v>1.0889059558265775</v>
      </c>
      <c r="J217" s="496">
        <f ca="1">IF(Aprekini!J329=0,"-",Aprekini!J320/Aprekini!J329)</f>
        <v>1.0339233922772091</v>
      </c>
      <c r="K217" s="496">
        <f ca="1">IF(Aprekini!K329=0,"-",Aprekini!K320/Aprekini!K329)</f>
        <v>0.98081915428378974</v>
      </c>
      <c r="L217" s="496">
        <f ca="1">IF(Aprekini!L329=0,"-",Aprekini!L320/Aprekini!L329)</f>
        <v>0.92742980327803226</v>
      </c>
      <c r="M217" s="496">
        <f ca="1">IF(Aprekini!M329=0,"-",Aprekini!M320/Aprekini!M329)</f>
        <v>0.87120451968883972</v>
      </c>
      <c r="N217" s="496">
        <f ca="1">IF(Aprekini!N329=0,"-",Aprekini!N320/Aprekini!N329)</f>
        <v>0.8145438848700074</v>
      </c>
      <c r="O217" s="496">
        <f ca="1">IF(Aprekini!O329=0,"-",Aprekini!O320/Aprekini!O329)</f>
        <v>0.75779177247630414</v>
      </c>
      <c r="P217" s="496">
        <f ca="1">IF(Aprekini!P329=0,"-",Aprekini!P320/Aprekini!P329)</f>
        <v>0.72565598201455705</v>
      </c>
      <c r="Q217" s="496">
        <f ca="1">IF(Aprekini!Q329=0,"-",Aprekini!Q320/Aprekini!Q329)</f>
        <v>0.69769000248579083</v>
      </c>
      <c r="R217" s="496">
        <f ca="1">IF(Aprekini!R329=0,"-",Aprekini!R320/Aprekini!R329)</f>
        <v>0.67054110148238022</v>
      </c>
      <c r="S217" s="496">
        <f ca="1">IF(Aprekini!S329=0,"-",Aprekini!S320/Aprekini!S329)</f>
        <v>0.6457165566555404</v>
      </c>
      <c r="T217" s="496">
        <f ca="1">IF(Aprekini!T329=0,"-",Aprekini!T320/Aprekini!T329)</f>
        <v>0.621231343823335</v>
      </c>
      <c r="U217" s="496">
        <f ca="1">IF(Aprekini!U329=0,"-",Aprekini!U320/Aprekini!U329)</f>
        <v>0.59327562320481853</v>
      </c>
      <c r="V217" s="496">
        <f ca="1">IF(Aprekini!V329=0,"-",Aprekini!V320/Aprekini!V329)</f>
        <v>0.56607454101503518</v>
      </c>
      <c r="W217" s="496">
        <f ca="1">IF(Aprekini!W329=0,"-",Aprekini!W320/Aprekini!W329)</f>
        <v>0.53957072272696627</v>
      </c>
      <c r="X217" s="496">
        <f ca="1">IF(Aprekini!X329=0,"-",Aprekini!X320/Aprekini!X329)</f>
        <v>0.51378121764943996</v>
      </c>
      <c r="Y217" s="496">
        <f ca="1">IF(Aprekini!Y329=0,"-",Aprekini!Y320/Aprekini!Y329)</f>
        <v>0.48865403129158896</v>
      </c>
      <c r="Z217" s="496">
        <f ca="1">IF(Aprekini!Z329=0,"-",Aprekini!Z320/Aprekini!Z329)</f>
        <v>0.46399021589536077</v>
      </c>
      <c r="AA217" s="496">
        <f ca="1">IF(Aprekini!AA329=0,"-",Aprekini!AA320/Aprekini!AA329)</f>
        <v>0.44018171555126706</v>
      </c>
      <c r="AB217" s="496">
        <f ca="1">IF(Aprekini!AB329=0,"-",Aprekini!AB320/Aprekini!AB329)</f>
        <v>0.41682667499202231</v>
      </c>
      <c r="AC217" s="496">
        <f ca="1">IF(Aprekini!AC329=0,"-",Aprekini!AC320/Aprekini!AC329)</f>
        <v>0.39409330649083879</v>
      </c>
      <c r="AD217" s="496">
        <f ca="1">IF(Aprekini!AD329=0,"-",Aprekini!AD320/Aprekini!AD329)</f>
        <v>0.37212652258435613</v>
      </c>
      <c r="AE217" s="496">
        <f ca="1">IF(Aprekini!AE329=0,"-",Aprekini!AE320/Aprekini!AE329)</f>
        <v>0.35074709425498229</v>
      </c>
      <c r="AF217" s="496">
        <f ca="1">IF(Aprekini!AF329=0,"-",Aprekini!AF320/Aprekini!AF329)</f>
        <v>0.32978466943102358</v>
      </c>
      <c r="AG217" s="496">
        <f ca="1">IF(Aprekini!AG329=0,"-",Aprekini!AG320/Aprekini!AG329)</f>
        <v>0.30950882532141843</v>
      </c>
      <c r="AH217" s="496">
        <f ca="1">IF(Aprekini!AH329=0,"-",Aprekini!AH320/Aprekini!AH329)</f>
        <v>0.28965581639287902</v>
      </c>
      <c r="AI217" s="496"/>
      <c r="AM217" s="535"/>
      <c r="AO217" s="283"/>
      <c r="AP217" s="71"/>
      <c r="AQ217" s="283"/>
      <c r="AR217" s="71"/>
      <c r="AS217" s="283"/>
    </row>
    <row r="218" spans="1:45" s="419" customFormat="1" hidden="1" outlineLevel="1" x14ac:dyDescent="0.2">
      <c r="AM218" s="535"/>
      <c r="AO218" s="283"/>
      <c r="AP218" s="71"/>
      <c r="AQ218" s="283"/>
      <c r="AR218" s="71"/>
      <c r="AS218" s="283"/>
    </row>
    <row r="219" spans="1:45" s="419" customFormat="1" hidden="1" outlineLevel="1" x14ac:dyDescent="0.2">
      <c r="A219" s="494" t="s">
        <v>508</v>
      </c>
      <c r="AM219" s="535"/>
      <c r="AO219" s="283"/>
      <c r="AP219" s="71"/>
      <c r="AQ219" s="283"/>
      <c r="AR219" s="71"/>
      <c r="AS219" s="283"/>
    </row>
    <row r="220" spans="1:45" s="419" customFormat="1" hidden="1" outlineLevel="1" x14ac:dyDescent="0.2">
      <c r="AM220" s="535"/>
      <c r="AO220" s="283"/>
      <c r="AP220" s="71"/>
      <c r="AQ220" s="283"/>
      <c r="AR220" s="71"/>
      <c r="AS220" s="283"/>
    </row>
    <row r="221" spans="1:45" s="419" customFormat="1" ht="38.25" hidden="1" outlineLevel="1" x14ac:dyDescent="0.2">
      <c r="A221" s="498" t="s">
        <v>212</v>
      </c>
      <c r="B221" s="496">
        <f ca="1">IF(Aprekini!B329=0,"-",Aprekini!B313/Aprekini!B329*100)</f>
        <v>2.5172778752122578</v>
      </c>
      <c r="C221" s="496">
        <f ca="1">IF(Aprekini!C329=0,"-",Aprekini!C313/Aprekini!C329*100)</f>
        <v>0.9119249950541608</v>
      </c>
      <c r="D221" s="496">
        <f ca="1">IF(Aprekini!D329=0,"-",Aprekini!D313/Aprekini!D329*100)</f>
        <v>0.73000724830456387</v>
      </c>
      <c r="E221" s="496">
        <f ca="1">IF(Aprekini!E329=0,"-",Aprekini!E313/Aprekini!E329*100)</f>
        <v>0.80404736919867226</v>
      </c>
      <c r="F221" s="496">
        <f ca="1">IF(Aprekini!F329=0,"-",Aprekini!F313/Aprekini!F329*100)</f>
        <v>-0.7696613591619208</v>
      </c>
      <c r="G221" s="496">
        <f ca="1">IF(Aprekini!G329=0,"-",Aprekini!G313/Aprekini!G329*100)</f>
        <v>-0.73841052815832908</v>
      </c>
      <c r="H221" s="496">
        <f ca="1">IF(Aprekini!H329=0,"-",Aprekini!H313/Aprekini!H329*100)</f>
        <v>-0.77811916571032125</v>
      </c>
      <c r="I221" s="496">
        <f ca="1">IF(Aprekini!I329=0,"-",Aprekini!I313/Aprekini!I329*100)</f>
        <v>-0.68806745847466366</v>
      </c>
      <c r="J221" s="496">
        <f ca="1">IF(Aprekini!J329=0,"-",Aprekini!J313/Aprekini!J329*100)</f>
        <v>-0.52306732261970246</v>
      </c>
      <c r="K221" s="496">
        <f ca="1">IF(Aprekini!K329=0,"-",Aprekini!K313/Aprekini!K329*100)</f>
        <v>-0.44854826711576329</v>
      </c>
      <c r="L221" s="496">
        <f ca="1">IF(Aprekini!L329=0,"-",Aprekini!L313/Aprekini!L329*100)</f>
        <v>-0.47136721810268711</v>
      </c>
      <c r="M221" s="496">
        <f ca="1">IF(Aprekini!M329=0,"-",Aprekini!M313/Aprekini!M329*100)</f>
        <v>-0.20574178405918572</v>
      </c>
      <c r="N221" s="496">
        <f ca="1">IF(Aprekini!N329=0,"-",Aprekini!N313/Aprekini!N329*100)</f>
        <v>-0.1810777688320267</v>
      </c>
      <c r="O221" s="496">
        <f ca="1">IF(Aprekini!O329=0,"-",Aprekini!O313/Aprekini!O329*100)</f>
        <v>-0.19649199343426468</v>
      </c>
      <c r="P221" s="496">
        <f ca="1">IF(Aprekini!P329=0,"-",Aprekini!P313/Aprekini!P329*100)</f>
        <v>0.77771626400094185</v>
      </c>
      <c r="Q221" s="496">
        <f ca="1">IF(Aprekini!Q329=0,"-",Aprekini!Q313/Aprekini!Q329*100)</f>
        <v>0.84345566441929221</v>
      </c>
      <c r="R221" s="496">
        <f ca="1">IF(Aprekini!R329=0,"-",Aprekini!R313/Aprekini!R329*100)</f>
        <v>0.80465350560654769</v>
      </c>
      <c r="S221" s="496">
        <f ca="1">IF(Aprekini!S329=0,"-",Aprekini!S313/Aprekini!S329*100)</f>
        <v>0.86214572603295136</v>
      </c>
      <c r="T221" s="496">
        <f ca="1">IF(Aprekini!T329=0,"-",Aprekini!T313/Aprekini!T329*100)</f>
        <v>0.86840044858000798</v>
      </c>
      <c r="U221" s="496">
        <f ca="1">IF(Aprekini!U329=0,"-",Aprekini!U313/Aprekini!U329*100)</f>
        <v>1.5070739542973626</v>
      </c>
      <c r="V221" s="496">
        <f ca="1">IF(Aprekini!V329=0,"-",Aprekini!V313/Aprekini!V329*100)</f>
        <v>1.4978322935790445</v>
      </c>
      <c r="W221" s="496">
        <f ca="1">IF(Aprekini!W329=0,"-",Aprekini!W313/Aprekini!W329*100)</f>
        <v>1.4950003594133425</v>
      </c>
      <c r="X221" s="496">
        <f ca="1">IF(Aprekini!X329=0,"-",Aprekini!X313/Aprekini!X329*100)</f>
        <v>1.4857261057679383</v>
      </c>
      <c r="Y221" s="496">
        <f ca="1">IF(Aprekini!Y329=0,"-",Aprekini!Y313/Aprekini!Y329*100)</f>
        <v>1.4826818471389334</v>
      </c>
      <c r="Z221" s="496">
        <f ca="1">IF(Aprekini!Z329=0,"-",Aprekini!Z313/Aprekini!Z329*100)</f>
        <v>1.5185083522932927</v>
      </c>
      <c r="AA221" s="496">
        <f ca="1">IF(Aprekini!AA329=0,"-",Aprekini!AA313/Aprekini!AA329*100)</f>
        <v>1.4694989175681294</v>
      </c>
      <c r="AB221" s="496">
        <f ca="1">IF(Aprekini!AB329=0,"-",Aprekini!AB313/Aprekini!AB329*100)</f>
        <v>1.5040166726838147</v>
      </c>
      <c r="AC221" s="496">
        <f ca="1">IF(Aprekini!AC329=0,"-",Aprekini!AC313/Aprekini!AC329*100)</f>
        <v>1.4993385825844574</v>
      </c>
      <c r="AD221" s="496">
        <f ca="1">IF(Aprekini!AD329=0,"-",Aprekini!AD313/Aprekini!AD329*100)</f>
        <v>1.4520443441226902</v>
      </c>
      <c r="AE221" s="496">
        <f ca="1">IF(Aprekini!AE329=0,"-",Aprekini!AE313/Aprekini!AE329*100)</f>
        <v>1.4429085627575444</v>
      </c>
      <c r="AF221" s="496">
        <f ca="1">IF(Aprekini!AF329=0,"-",Aprekini!AF313/Aprekini!AF329*100)</f>
        <v>1.4795019090551664</v>
      </c>
      <c r="AG221" s="496">
        <f ca="1">IF(Aprekini!AG329=0,"-",Aprekini!AG313/Aprekini!AG329*100)</f>
        <v>1.4339374381868073</v>
      </c>
      <c r="AH221" s="496">
        <f ca="1">IF(Aprekini!AH329=0,"-",Aprekini!AH313/Aprekini!AH329*100)</f>
        <v>1.4648397799072397</v>
      </c>
      <c r="AI221" s="496"/>
      <c r="AM221" s="535"/>
      <c r="AO221" s="283"/>
      <c r="AP221" s="71"/>
      <c r="AQ221" s="283"/>
      <c r="AR221" s="71"/>
      <c r="AS221" s="283"/>
    </row>
    <row r="222" spans="1:45" s="419" customFormat="1" hidden="1" outlineLevel="1" x14ac:dyDescent="0.2">
      <c r="AM222" s="535"/>
      <c r="AO222" s="283"/>
      <c r="AP222" s="71"/>
      <c r="AQ222" s="283"/>
      <c r="AR222" s="71"/>
      <c r="AS222" s="283"/>
    </row>
    <row r="223" spans="1:45" s="419" customFormat="1" ht="38.25" hidden="1" outlineLevel="1" x14ac:dyDescent="0.2">
      <c r="A223" s="498" t="s">
        <v>213</v>
      </c>
      <c r="B223" s="496">
        <f ca="1">IF(Aprekini!B327=0,"-",Aprekini!B313/Aprekini!B327*100)</f>
        <v>2.5172778752122578</v>
      </c>
      <c r="C223" s="496">
        <f ca="1">IF(Aprekini!C327=0,"-",Aprekini!C313/Aprekini!C327*100)</f>
        <v>1.1378916429290362</v>
      </c>
      <c r="D223" s="496">
        <f ca="1">IF(Aprekini!D327=0,"-",Aprekini!D313/Aprekini!D327*100)</f>
        <v>0.8664888757132998</v>
      </c>
      <c r="E223" s="496">
        <f ca="1">IF(Aprekini!E327=0,"-",Aprekini!E313/Aprekini!E327*100)</f>
        <v>0.58596776970966724</v>
      </c>
      <c r="F223" s="496">
        <f ca="1">IF(Aprekini!F327=0,"-",Aprekini!F313/Aprekini!F327*100)</f>
        <v>-0.56799970601543437</v>
      </c>
      <c r="G223" s="496">
        <f ca="1">IF(Aprekini!G327=0,"-",Aprekini!G313/Aprekini!G327*100)</f>
        <v>-0.55207664001178913</v>
      </c>
      <c r="H223" s="496">
        <f ca="1">IF(Aprekini!H327=0,"-",Aprekini!H313/Aprekini!H327*100)</f>
        <v>-0.5900194010651888</v>
      </c>
      <c r="I223" s="496">
        <f ca="1">IF(Aprekini!I327=0,"-",Aprekini!I313/Aprekini!I327*100)</f>
        <v>-0.52943771731818812</v>
      </c>
      <c r="J223" s="496">
        <f ca="1">IF(Aprekini!J327=0,"-",Aprekini!J313/Aprekini!J327*100)</f>
        <v>-0.40871326740030262</v>
      </c>
      <c r="K223" s="496">
        <f ca="1">IF(Aprekini!K327=0,"-",Aprekini!K313/Aprekini!K327*100)</f>
        <v>-0.3558268373743208</v>
      </c>
      <c r="L223" s="496">
        <f ca="1">IF(Aprekini!L327=0,"-",Aprekini!L313/Aprekini!L327*100)</f>
        <v>-0.37975243318940705</v>
      </c>
      <c r="M223" s="496">
        <f ca="1">IF(Aprekini!M327=0,"-",Aprekini!M313/Aprekini!M327*100)</f>
        <v>-0.16848322074357394</v>
      </c>
      <c r="N223" s="496">
        <f ca="1">IF(Aprekini!N327=0,"-",Aprekini!N313/Aprekini!N327*100)</f>
        <v>-0.15078494171565368</v>
      </c>
      <c r="O223" s="496">
        <f ca="1">IF(Aprekini!O327=0,"-",Aprekini!O313/Aprekini!O327*100)</f>
        <v>-0.16643197774951279</v>
      </c>
      <c r="P223" s="496">
        <f ca="1">IF(Aprekini!P327=0,"-",Aprekini!P313/Aprekini!P327*100)</f>
        <v>0.66252193208133958</v>
      </c>
      <c r="Q223" s="496">
        <f ca="1">IF(Aprekini!Q327=0,"-",Aprekini!Q313/Aprekini!Q327*100)</f>
        <v>0.72267104196348964</v>
      </c>
      <c r="R223" s="496">
        <f ca="1">IF(Aprekini!R327=0,"-",Aprekini!R313/Aprekini!R327*100)</f>
        <v>0.69331124621214146</v>
      </c>
      <c r="S223" s="496">
        <f ca="1">IF(Aprekini!S327=0,"-",Aprekini!S313/Aprekini!S327*100)</f>
        <v>0.74652409963470268</v>
      </c>
      <c r="T223" s="496">
        <f ca="1">IF(Aprekini!T327=0,"-",Aprekini!T313/Aprekini!T327*100)</f>
        <v>0.75562838097249607</v>
      </c>
      <c r="U223" s="496">
        <f ca="1">IF(Aprekini!U327=0,"-",Aprekini!U313/Aprekini!U327*100)</f>
        <v>1.3187948514527073</v>
      </c>
      <c r="V223" s="496">
        <f ca="1">IF(Aprekini!V327=0,"-",Aprekini!V313/Aprekini!V327*100)</f>
        <v>1.3179766902685055</v>
      </c>
      <c r="W223" s="496">
        <f ca="1">IF(Aprekini!W327=0,"-",Aprekini!W313/Aprekini!W327*100)</f>
        <v>1.3226330611588237</v>
      </c>
      <c r="X223" s="496">
        <f ca="1">IF(Aprekini!X327=0,"-",Aprekini!X313/Aprekini!X327*100)</f>
        <v>1.3214158481388467</v>
      </c>
      <c r="Y223" s="496">
        <f ca="1">IF(Aprekini!Y327=0,"-",Aprekini!Y313/Aprekini!Y327*100)</f>
        <v>1.3255754803687596</v>
      </c>
      <c r="Z223" s="496">
        <f ca="1">IF(Aprekini!Z327=0,"-",Aprekini!Z313/Aprekini!Z327*100)</f>
        <v>1.3645845850127698</v>
      </c>
      <c r="AA223" s="496">
        <f ca="1">IF(Aprekini!AA327=0,"-",Aprekini!AA313/Aprekini!AA327*100)</f>
        <v>1.3271268945796424</v>
      </c>
      <c r="AB223" s="496">
        <f ca="1">IF(Aprekini!AB327=0,"-",Aprekini!AB313/Aprekini!AB327*100)</f>
        <v>1.3649798741754031</v>
      </c>
      <c r="AC223" s="496">
        <f ca="1">IF(Aprekini!AC327=0,"-",Aprekini!AC313/Aprekini!AC327*100)</f>
        <v>1.3672800412751138</v>
      </c>
      <c r="AD223" s="496">
        <f ca="1">IF(Aprekini!AD327=0,"-",Aprekini!AD313/Aprekini!AD327*100)</f>
        <v>1.3303335451969214</v>
      </c>
      <c r="AE223" s="496">
        <f ca="1">IF(Aprekini!AE327=0,"-",Aprekini!AE313/Aprekini!AE327*100)</f>
        <v>1.327998617413271</v>
      </c>
      <c r="AF223" s="496">
        <f ca="1">IF(Aprekini!AF327=0,"-",Aprekini!AF313/Aprekini!AF327*100)</f>
        <v>1.3678040779171354</v>
      </c>
      <c r="AG223" s="496">
        <f ca="1">IF(Aprekini!AG327=0,"-",Aprekini!AG313/Aprekini!AG327*100)</f>
        <v>1.3314722783685233</v>
      </c>
      <c r="AH223" s="496">
        <f ca="1">IF(Aprekini!AH327=0,"-",Aprekini!AH313/Aprekini!AH327*100)</f>
        <v>1.3660142609298631</v>
      </c>
      <c r="AI223" s="496"/>
      <c r="AM223" s="535"/>
      <c r="AO223" s="283"/>
      <c r="AP223" s="71"/>
      <c r="AQ223" s="283"/>
      <c r="AR223" s="71"/>
      <c r="AS223" s="283"/>
    </row>
    <row r="224" spans="1:45" s="419" customFormat="1" hidden="1" outlineLevel="1" x14ac:dyDescent="0.2">
      <c r="AM224" s="535"/>
      <c r="AO224" s="283"/>
      <c r="AP224" s="71"/>
      <c r="AQ224" s="283"/>
      <c r="AR224" s="71"/>
      <c r="AS224" s="283"/>
    </row>
    <row r="225" spans="1:253" s="419" customFormat="1" ht="38.25" hidden="1" outlineLevel="1" x14ac:dyDescent="0.2">
      <c r="A225" s="498" t="s">
        <v>214</v>
      </c>
      <c r="B225" s="496">
        <f ca="1">IF(Aprekini!B320=0,"-",Aprekini!B313/Aprekini!B320*100)</f>
        <v>2.6485699207633289</v>
      </c>
      <c r="C225" s="496">
        <f ca="1">IF(Aprekini!C320=0,"-",Aprekini!C313/Aprekini!C320*100)</f>
        <v>1.2296036183576553</v>
      </c>
      <c r="D225" s="496">
        <f ca="1">IF(Aprekini!D320=0,"-",Aprekini!D313/Aprekini!D320*100)</f>
        <v>0.9338431136959684</v>
      </c>
      <c r="E225" s="496">
        <f ca="1">IF(Aprekini!E320=0,"-",Aprekini!E313/Aprekini!E320*100)</f>
        <v>0.62472007294795429</v>
      </c>
      <c r="F225" s="496">
        <f ca="1">IF(Aprekini!F320=0,"-",Aprekini!F313/Aprekini!F320*100)</f>
        <v>-0.62042623188999702</v>
      </c>
      <c r="G225" s="496">
        <f ca="1">IF(Aprekini!G320=0,"-",Aprekini!G313/Aprekini!G320*100)</f>
        <v>-0.61902700074565153</v>
      </c>
      <c r="H225" s="496">
        <f ca="1">IF(Aprekini!H320=0,"-",Aprekini!H313/Aprekini!H320*100)</f>
        <v>-0.68156106566016839</v>
      </c>
      <c r="I225" s="496">
        <f ca="1">IF(Aprekini!I320=0,"-",Aprekini!I313/Aprekini!I320*100)</f>
        <v>-0.63188878230752132</v>
      </c>
      <c r="J225" s="496">
        <f ca="1">IF(Aprekini!J320=0,"-",Aprekini!J313/Aprekini!J320*100)</f>
        <v>-0.50590529871623302</v>
      </c>
      <c r="K225" s="496">
        <f ca="1">IF(Aprekini!K320=0,"-",Aprekini!K313/Aprekini!K320*100)</f>
        <v>-0.45732005248541518</v>
      </c>
      <c r="L225" s="496">
        <f ca="1">IF(Aprekini!L320=0,"-",Aprekini!L313/Aprekini!L320*100)</f>
        <v>-0.50825110044622634</v>
      </c>
      <c r="M225" s="496">
        <f ca="1">IF(Aprekini!M320=0,"-",Aprekini!M313/Aprekini!M320*100)</f>
        <v>-0.23615784745087026</v>
      </c>
      <c r="N225" s="496">
        <f ca="1">IF(Aprekini!N320=0,"-",Aprekini!N313/Aprekini!N320*100)</f>
        <v>-0.22230572495295919</v>
      </c>
      <c r="O225" s="496">
        <f ca="1">IF(Aprekini!O320=0,"-",Aprekini!O313/Aprekini!O320*100)</f>
        <v>-0.25929549590142709</v>
      </c>
      <c r="P225" s="496">
        <f ca="1">IF(Aprekini!P320=0,"-",Aprekini!P313/Aprekini!P320*100)</f>
        <v>1.0717423728002016</v>
      </c>
      <c r="Q225" s="496">
        <f ca="1">IF(Aprekini!Q320=0,"-",Aprekini!Q313/Aprekini!Q320*100)</f>
        <v>1.2089261153437123</v>
      </c>
      <c r="R225" s="496">
        <f ca="1">IF(Aprekini!R320=0,"-",Aprekini!R313/Aprekini!R320*100)</f>
        <v>1.2000062394798503</v>
      </c>
      <c r="S225" s="496">
        <f ca="1">IF(Aprekini!S320=0,"-",Aprekini!S313/Aprekini!S320*100)</f>
        <v>1.3351767383794462</v>
      </c>
      <c r="T225" s="496">
        <f ca="1">IF(Aprekini!T320=0,"-",Aprekini!T313/Aprekini!T320*100)</f>
        <v>1.3978696619450715</v>
      </c>
      <c r="U225" s="496">
        <f ca="1">IF(Aprekini!U320=0,"-",Aprekini!U313/Aprekini!U320*100)</f>
        <v>2.5402593589743199</v>
      </c>
      <c r="V225" s="496">
        <f ca="1">IF(Aprekini!V320=0,"-",Aprekini!V313/Aprekini!V320*100)</f>
        <v>2.6459983360022923</v>
      </c>
      <c r="W225" s="496">
        <f ca="1">IF(Aprekini!W320=0,"-",Aprekini!W313/Aprekini!W320*100)</f>
        <v>2.7707217913115771</v>
      </c>
      <c r="X225" s="496">
        <f ca="1">IF(Aprekini!X320=0,"-",Aprekini!X313/Aprekini!X320*100)</f>
        <v>2.8917485784419426</v>
      </c>
      <c r="Y225" s="496">
        <f ca="1">IF(Aprekini!Y320=0,"-",Aprekini!Y313/Aprekini!Y320*100)</f>
        <v>3.0342159323232707</v>
      </c>
      <c r="Z225" s="496">
        <f ca="1">IF(Aprekini!Z320=0,"-",Aprekini!Z313/Aprekini!Z320*100)</f>
        <v>3.2727163208884282</v>
      </c>
      <c r="AA225" s="496">
        <f ca="1">IF(Aprekini!AA320=0,"-",Aprekini!AA313/Aprekini!AA320*100)</f>
        <v>3.3383915452457718</v>
      </c>
      <c r="AB225" s="496">
        <f ca="1">IF(Aprekini!AB320=0,"-",Aprekini!AB313/Aprekini!AB320*100)</f>
        <v>3.6082543726660496</v>
      </c>
      <c r="AC225" s="496">
        <f ca="1">IF(Aprekini!AC320=0,"-",Aprekini!AC313/Aprekini!AC320*100)</f>
        <v>3.8045268922102622</v>
      </c>
      <c r="AD225" s="496">
        <f ca="1">IF(Aprekini!AD320=0,"-",Aprekini!AD313/Aprekini!AD320*100)</f>
        <v>3.9020178783239809</v>
      </c>
      <c r="AE225" s="496">
        <f ca="1">IF(Aprekini!AE320=0,"-",Aprekini!AE313/Aprekini!AE320*100)</f>
        <v>4.1138147297339955</v>
      </c>
      <c r="AF225" s="496">
        <f ca="1">IF(Aprekini!AF320=0,"-",Aprekini!AF313/Aprekini!AF320*100)</f>
        <v>4.4862664829379311</v>
      </c>
      <c r="AG225" s="496">
        <f ca="1">IF(Aprekini!AG320=0,"-",Aprekini!AG313/Aprekini!AG320*100)</f>
        <v>4.632945237337557</v>
      </c>
      <c r="AH225" s="496">
        <f ca="1">IF(Aprekini!AH320=0,"-",Aprekini!AH313/Aprekini!AH320*100)</f>
        <v>5.057173711023923</v>
      </c>
      <c r="AI225" s="496"/>
      <c r="AM225" s="535"/>
      <c r="AO225" s="283"/>
      <c r="AP225" s="71"/>
      <c r="AQ225" s="283"/>
      <c r="AR225" s="71"/>
      <c r="AS225" s="283"/>
    </row>
    <row r="226" spans="1:253" s="419" customFormat="1" hidden="1" outlineLevel="1" x14ac:dyDescent="0.2">
      <c r="AM226" s="535"/>
      <c r="AO226" s="283"/>
      <c r="AP226" s="71"/>
      <c r="AQ226" s="283"/>
      <c r="AR226" s="71"/>
      <c r="AS226" s="283"/>
    </row>
    <row r="227" spans="1:253" s="419" customFormat="1" collapsed="1" x14ac:dyDescent="0.2">
      <c r="A227" s="495" t="s">
        <v>215</v>
      </c>
      <c r="B227" s="499">
        <f ca="1">Aprekini!B313+'Naudas plusma'!B9*0.5</f>
        <v>43550.712899999984</v>
      </c>
      <c r="C227" s="499">
        <f ca="1">Aprekini!C313+'Naudas plusma'!C9*0.5</f>
        <v>27485.095303000067</v>
      </c>
      <c r="D227" s="499">
        <f ca="1">Aprekini!D313+'Naudas plusma'!D9*0.5</f>
        <v>29130.996689999942</v>
      </c>
      <c r="E227" s="499">
        <f ca="1">Aprekini!E313+'Naudas plusma'!E9*0.5</f>
        <v>30776.898076999933</v>
      </c>
      <c r="F227" s="499">
        <f ca="1">Aprekini!F313+'Naudas plusma'!F9*0.5</f>
        <v>41931.385238623319</v>
      </c>
      <c r="G227" s="499">
        <f ca="1">Aprekini!G313+'Naudas plusma'!G9*0.5</f>
        <v>42680.76949662315</v>
      </c>
      <c r="H227" s="499">
        <f ca="1">Aprekini!H313+'Naudas plusma'!H9*0.5</f>
        <v>41953.280954623318</v>
      </c>
      <c r="I227" s="499">
        <f ca="1">Aprekini!I313+'Naudas plusma'!I9*0.5</f>
        <v>43826.942612623287</v>
      </c>
      <c r="J227" s="499">
        <f ca="1">Aprekini!J313+'Naudas plusma'!J9*0.5</f>
        <v>47168.946270623201</v>
      </c>
      <c r="K227" s="499">
        <f ca="1">Aprekini!K313+'Naudas plusma'!K9*0.5</f>
        <v>48704.15992862331</v>
      </c>
      <c r="L227" s="499">
        <f ca="1">Aprekini!L313+'Naudas plusma'!L9*0.5</f>
        <v>48292.578586623145</v>
      </c>
      <c r="M227" s="499">
        <f ca="1">Aprekini!M313+'Naudas plusma'!M9*0.5</f>
        <v>53581.377244623218</v>
      </c>
      <c r="N227" s="499">
        <f ca="1">Aprekini!N313+'Naudas plusma'!N9*0.5</f>
        <v>54077.163102623264</v>
      </c>
      <c r="O227" s="499">
        <f ca="1">Aprekini!O313+'Naudas plusma'!O9*0.5</f>
        <v>53779.553960623176</v>
      </c>
      <c r="P227" s="499">
        <f ca="1">Aprekini!P313+'Naudas plusma'!P9*0.5</f>
        <v>39255.411609263741</v>
      </c>
      <c r="Q227" s="499">
        <f ca="1">Aprekini!Q313+'Naudas plusma'!Q9*0.5</f>
        <v>36713.649596263655</v>
      </c>
      <c r="R227" s="499">
        <f ca="1">Aprekini!R313+'Naudas plusma'!R9*0.5</f>
        <v>36106.277583263814</v>
      </c>
      <c r="S227" s="499">
        <f ca="1">Aprekini!S313+'Naudas plusma'!S9*0.5</f>
        <v>37435.700570263783</v>
      </c>
      <c r="T227" s="499">
        <f ca="1">Aprekini!T313+'Naudas plusma'!T9*0.5</f>
        <v>37721.723557263846</v>
      </c>
      <c r="U227" s="499">
        <f ca="1">Aprekini!U313+'Naudas plusma'!U9*0.5</f>
        <v>51495.306544263614</v>
      </c>
      <c r="V227" s="499">
        <f ca="1">Aprekini!V313+'Naudas plusma'!V9*0.5</f>
        <v>51781.329531263676</v>
      </c>
      <c r="W227" s="499">
        <f ca="1">Aprekini!W313+'Naudas plusma'!W9*0.5</f>
        <v>52207.357518263743</v>
      </c>
      <c r="X227" s="499">
        <f ca="1">Aprekini!X313+'Naudas plusma'!X9*0.5</f>
        <v>52493.380505263689</v>
      </c>
      <c r="Y227" s="499">
        <f ca="1">Aprekini!Y313+'Naudas plusma'!Y9*0.5</f>
        <v>52919.408492263756</v>
      </c>
      <c r="Z227" s="499">
        <f ca="1">Aprekini!Z313+'Naudas plusma'!Z9*0.5</f>
        <v>54248.831479263725</v>
      </c>
      <c r="AA227" s="499">
        <f ca="1">Aprekini!AA313+'Naudas plusma'!AA9*0.5</f>
        <v>53631.459466263768</v>
      </c>
      <c r="AB227" s="499">
        <f ca="1">Aprekini!AB313+'Naudas plusma'!AB9*0.5</f>
        <v>54960.882453263621</v>
      </c>
      <c r="AC227" s="499">
        <f ca="1">Aprekini!AC313+'Naudas plusma'!AC9*0.5</f>
        <v>55386.910440263804</v>
      </c>
      <c r="AD227" s="499">
        <f ca="1">Aprekini!AD313+'Naudas plusma'!AD9*0.5</f>
        <v>54769.538427263731</v>
      </c>
      <c r="AE227" s="499">
        <f ca="1">Aprekini!AE313+'Naudas plusma'!AE9*0.5</f>
        <v>55059.533614263753</v>
      </c>
      <c r="AF227" s="499">
        <f ca="1">Aprekini!AF313+'Naudas plusma'!AF9*0.5</f>
        <v>56502.92880126345</v>
      </c>
      <c r="AG227" s="499">
        <f ca="1">Aprekini!AG313+'Naudas plusma'!AG9*0.5</f>
        <v>55887.528801263543</v>
      </c>
      <c r="AH227" s="499">
        <f ca="1">Aprekini!AH313+'Naudas plusma'!AH9*0.5</f>
        <v>57218.923801263561</v>
      </c>
      <c r="AI227" s="499"/>
      <c r="AM227" s="535"/>
      <c r="AO227" s="283"/>
      <c r="AP227" s="71"/>
      <c r="AQ227" s="283"/>
      <c r="AR227" s="71"/>
      <c r="AS227" s="283"/>
    </row>
    <row r="228" spans="1:253" s="419" customFormat="1" x14ac:dyDescent="0.2">
      <c r="AM228" s="535"/>
      <c r="AO228" s="283"/>
      <c r="AP228" s="71"/>
      <c r="AQ228" s="283"/>
      <c r="AR228" s="71"/>
      <c r="AS228" s="283"/>
    </row>
    <row r="229" spans="1:253" s="419" customFormat="1" ht="12" customHeight="1" x14ac:dyDescent="0.2">
      <c r="AM229" s="535"/>
      <c r="AO229" s="283"/>
      <c r="AP229" s="71"/>
      <c r="AQ229" s="283"/>
      <c r="AR229" s="71"/>
      <c r="AS229" s="283"/>
    </row>
    <row r="230" spans="1:253" s="419" customFormat="1" ht="31.5" x14ac:dyDescent="0.2">
      <c r="A230" s="453" t="s">
        <v>458</v>
      </c>
      <c r="B230" s="455"/>
      <c r="C230" s="455"/>
      <c r="D230" s="455"/>
      <c r="E230" s="455"/>
      <c r="F230" s="455"/>
      <c r="G230" s="455"/>
      <c r="H230" s="455"/>
      <c r="I230" s="455"/>
      <c r="J230" s="455"/>
      <c r="K230" s="455"/>
      <c r="L230" s="455"/>
      <c r="M230" s="455"/>
      <c r="N230" s="455"/>
      <c r="O230" s="455"/>
      <c r="P230" s="456"/>
      <c r="Q230" s="456"/>
      <c r="R230" s="456"/>
      <c r="S230" s="456"/>
      <c r="T230" s="456"/>
      <c r="U230" s="456"/>
      <c r="V230" s="456"/>
      <c r="W230" s="456"/>
      <c r="X230" s="456"/>
      <c r="Y230" s="456"/>
      <c r="Z230" s="456"/>
      <c r="AA230" s="456"/>
      <c r="AB230" s="456"/>
      <c r="AC230" s="456"/>
      <c r="AD230" s="456"/>
      <c r="AE230" s="456"/>
      <c r="AF230" s="456"/>
      <c r="AG230" s="456"/>
      <c r="AH230" s="456"/>
      <c r="AI230" s="456"/>
      <c r="AJ230" s="260"/>
      <c r="AK230" s="260"/>
      <c r="AL230" s="260"/>
      <c r="AM230" s="535"/>
      <c r="AN230" s="260"/>
      <c r="AO230" s="283"/>
      <c r="AP230" s="71"/>
      <c r="AQ230" s="283"/>
      <c r="AR230" s="71"/>
      <c r="AS230" s="283"/>
      <c r="AT230" s="260"/>
      <c r="AU230" s="260"/>
      <c r="AV230" s="260"/>
      <c r="AW230" s="260"/>
      <c r="AX230" s="260"/>
      <c r="AY230" s="260"/>
      <c r="AZ230" s="260"/>
      <c r="BA230" s="260"/>
      <c r="BB230" s="260"/>
      <c r="BC230" s="260"/>
      <c r="BD230" s="260"/>
      <c r="BE230" s="260"/>
      <c r="BF230" s="260"/>
      <c r="BG230" s="260"/>
      <c r="BH230" s="260"/>
      <c r="BI230" s="260"/>
      <c r="BJ230" s="260"/>
      <c r="BK230" s="260"/>
      <c r="BL230" s="260"/>
      <c r="BM230" s="260"/>
      <c r="BN230" s="260"/>
      <c r="BO230" s="260"/>
      <c r="BP230" s="260"/>
      <c r="BQ230" s="260"/>
      <c r="BR230" s="260"/>
      <c r="BS230" s="260"/>
      <c r="BT230" s="260"/>
      <c r="BU230" s="260"/>
      <c r="BV230" s="260"/>
      <c r="BW230" s="260"/>
      <c r="BX230" s="260"/>
      <c r="BY230" s="260"/>
      <c r="BZ230" s="260"/>
      <c r="CA230" s="260"/>
      <c r="CB230" s="260"/>
      <c r="CC230" s="260"/>
      <c r="CD230" s="260"/>
      <c r="CE230" s="260"/>
      <c r="CF230" s="260"/>
      <c r="CG230" s="260"/>
      <c r="CH230" s="260"/>
      <c r="CI230" s="260"/>
      <c r="CJ230" s="260"/>
      <c r="CK230" s="260"/>
      <c r="CL230" s="260"/>
      <c r="CM230" s="260"/>
      <c r="CN230" s="260"/>
      <c r="CO230" s="260"/>
      <c r="CP230" s="260"/>
      <c r="CQ230" s="260"/>
      <c r="CR230" s="260"/>
      <c r="CS230" s="260"/>
      <c r="CT230" s="260"/>
      <c r="CU230" s="260"/>
      <c r="CV230" s="260"/>
      <c r="CW230" s="260"/>
      <c r="CX230" s="260"/>
      <c r="CY230" s="260"/>
      <c r="CZ230" s="260"/>
      <c r="DA230" s="260"/>
      <c r="DB230" s="260"/>
      <c r="DC230" s="260"/>
      <c r="DD230" s="260"/>
      <c r="DE230" s="260"/>
      <c r="DF230" s="260"/>
      <c r="DG230" s="260"/>
      <c r="DH230" s="260"/>
      <c r="DI230" s="260"/>
      <c r="DJ230" s="260"/>
      <c r="DK230" s="260"/>
      <c r="DL230" s="260"/>
      <c r="DM230" s="260"/>
      <c r="DN230" s="260"/>
      <c r="DO230" s="260"/>
      <c r="DP230" s="260"/>
      <c r="DQ230" s="260"/>
      <c r="DR230" s="260"/>
      <c r="DS230" s="260"/>
      <c r="DT230" s="260"/>
      <c r="DU230" s="260"/>
      <c r="DV230" s="260"/>
      <c r="DW230" s="260"/>
      <c r="DX230" s="260"/>
      <c r="DY230" s="260"/>
      <c r="DZ230" s="260"/>
      <c r="EA230" s="260"/>
      <c r="EB230" s="260"/>
      <c r="EC230" s="260"/>
      <c r="ED230" s="260"/>
      <c r="EE230" s="260"/>
      <c r="EF230" s="260"/>
      <c r="EG230" s="260"/>
      <c r="EH230" s="260"/>
      <c r="EI230" s="260"/>
      <c r="EJ230" s="260"/>
      <c r="EK230" s="260"/>
      <c r="EL230" s="260"/>
      <c r="EM230" s="260"/>
      <c r="EN230" s="260"/>
      <c r="EO230" s="260"/>
      <c r="EP230" s="260"/>
      <c r="EQ230" s="260"/>
      <c r="ER230" s="260"/>
      <c r="ES230" s="260"/>
      <c r="ET230" s="260"/>
      <c r="EU230" s="260"/>
      <c r="EV230" s="260"/>
      <c r="EW230" s="260"/>
      <c r="EX230" s="260"/>
      <c r="EY230" s="260"/>
      <c r="EZ230" s="260"/>
      <c r="FA230" s="260"/>
      <c r="FB230" s="260"/>
      <c r="FC230" s="260"/>
      <c r="FD230" s="260"/>
      <c r="FE230" s="260"/>
      <c r="FF230" s="260"/>
      <c r="FG230" s="260"/>
      <c r="FH230" s="260"/>
      <c r="FI230" s="260"/>
      <c r="FJ230" s="260"/>
      <c r="FK230" s="260"/>
      <c r="FL230" s="260"/>
      <c r="FM230" s="260"/>
      <c r="FN230" s="260"/>
      <c r="FO230" s="260"/>
      <c r="FP230" s="260"/>
      <c r="FQ230" s="260"/>
      <c r="FR230" s="260"/>
      <c r="FS230" s="260"/>
      <c r="FT230" s="260"/>
      <c r="FU230" s="260"/>
      <c r="FV230" s="260"/>
      <c r="FW230" s="260"/>
      <c r="FX230" s="260"/>
      <c r="FY230" s="260"/>
      <c r="FZ230" s="260"/>
      <c r="GA230" s="260"/>
      <c r="GB230" s="260"/>
      <c r="GC230" s="260"/>
      <c r="GD230" s="260"/>
      <c r="GE230" s="260"/>
      <c r="GF230" s="260"/>
      <c r="GG230" s="260"/>
      <c r="GH230" s="260"/>
      <c r="GI230" s="260"/>
      <c r="GJ230" s="260"/>
      <c r="GK230" s="260"/>
      <c r="GL230" s="260"/>
      <c r="GM230" s="260"/>
      <c r="GN230" s="260"/>
      <c r="GO230" s="260"/>
      <c r="GP230" s="260"/>
      <c r="GQ230" s="260"/>
      <c r="GR230" s="260"/>
      <c r="GS230" s="260"/>
      <c r="GT230" s="260"/>
      <c r="GU230" s="260"/>
      <c r="GV230" s="260"/>
      <c r="GW230" s="260"/>
      <c r="GX230" s="260"/>
      <c r="GY230" s="260"/>
      <c r="GZ230" s="260"/>
      <c r="HA230" s="260"/>
      <c r="HB230" s="260"/>
      <c r="HC230" s="260"/>
      <c r="HD230" s="260"/>
      <c r="HE230" s="260"/>
      <c r="HF230" s="260"/>
      <c r="HG230" s="260"/>
      <c r="HH230" s="260"/>
      <c r="HI230" s="260"/>
      <c r="HJ230" s="260"/>
      <c r="HK230" s="260"/>
      <c r="HL230" s="260"/>
      <c r="HM230" s="260"/>
      <c r="HN230" s="260"/>
      <c r="HO230" s="260"/>
      <c r="HP230" s="260"/>
      <c r="HQ230" s="260"/>
      <c r="HR230" s="260"/>
      <c r="HS230" s="260"/>
      <c r="HT230" s="260"/>
      <c r="HU230" s="260"/>
      <c r="HV230" s="260"/>
      <c r="HW230" s="260"/>
      <c r="HX230" s="260"/>
      <c r="HY230" s="260"/>
      <c r="HZ230" s="260"/>
      <c r="IA230" s="260"/>
      <c r="IB230" s="260"/>
      <c r="IC230" s="260"/>
      <c r="ID230" s="260"/>
      <c r="IE230" s="260"/>
      <c r="IF230" s="260"/>
      <c r="IG230" s="260"/>
      <c r="IH230" s="260"/>
      <c r="II230" s="260"/>
      <c r="IJ230" s="260"/>
      <c r="IK230" s="260"/>
      <c r="IL230" s="260"/>
      <c r="IM230" s="260"/>
      <c r="IN230" s="260"/>
      <c r="IO230" s="260"/>
      <c r="IP230" s="260"/>
      <c r="IQ230" s="260"/>
      <c r="IR230" s="260"/>
      <c r="IS230" s="260"/>
    </row>
    <row r="231" spans="1:253" s="419" customFormat="1" x14ac:dyDescent="0.2">
      <c r="A231" s="417"/>
      <c r="B231" s="445"/>
      <c r="C231" s="445"/>
      <c r="D231" s="445"/>
      <c r="E231" s="445"/>
      <c r="F231" s="445"/>
      <c r="G231" s="445"/>
      <c r="H231" s="445"/>
      <c r="I231" s="445"/>
      <c r="J231" s="445"/>
      <c r="K231" s="445"/>
      <c r="L231" s="445"/>
      <c r="M231" s="484" t="s">
        <v>21</v>
      </c>
      <c r="N231" s="445"/>
      <c r="O231" s="445"/>
      <c r="P231" s="445"/>
      <c r="Q231" s="445"/>
      <c r="R231" s="445"/>
      <c r="S231" s="445"/>
      <c r="T231" s="445"/>
      <c r="U231" s="445"/>
      <c r="V231" s="445"/>
      <c r="W231" s="445"/>
      <c r="X231" s="445"/>
      <c r="Y231" s="445"/>
      <c r="Z231" s="445"/>
      <c r="AA231" s="445"/>
      <c r="AB231" s="445"/>
      <c r="AC231" s="445"/>
      <c r="AD231" s="445"/>
      <c r="AE231" s="445"/>
      <c r="AF231" s="445"/>
      <c r="AG231" s="445"/>
      <c r="AH231" s="445"/>
      <c r="AI231" s="445"/>
      <c r="AM231" s="535"/>
      <c r="AO231" s="283"/>
      <c r="AP231" s="71"/>
      <c r="AQ231" s="283"/>
      <c r="AR231" s="71"/>
      <c r="AS231" s="283"/>
    </row>
    <row r="232" spans="1:253" s="419" customFormat="1" x14ac:dyDescent="0.2">
      <c r="A232" s="417"/>
      <c r="B232" s="467">
        <f>Aprekini!B5</f>
        <v>2014</v>
      </c>
      <c r="C232" s="467">
        <f t="shared" ref="C232:AG232" si="80">B232+1</f>
        <v>2015</v>
      </c>
      <c r="D232" s="467">
        <f t="shared" si="80"/>
        <v>2016</v>
      </c>
      <c r="E232" s="467">
        <f t="shared" si="80"/>
        <v>2017</v>
      </c>
      <c r="F232" s="467">
        <f t="shared" si="80"/>
        <v>2018</v>
      </c>
      <c r="G232" s="467">
        <f t="shared" si="80"/>
        <v>2019</v>
      </c>
      <c r="H232" s="467">
        <f t="shared" si="80"/>
        <v>2020</v>
      </c>
      <c r="I232" s="467">
        <f t="shared" si="80"/>
        <v>2021</v>
      </c>
      <c r="J232" s="467">
        <f t="shared" si="80"/>
        <v>2022</v>
      </c>
      <c r="K232" s="467">
        <f t="shared" si="80"/>
        <v>2023</v>
      </c>
      <c r="L232" s="467">
        <f t="shared" si="80"/>
        <v>2024</v>
      </c>
      <c r="M232" s="467">
        <f t="shared" si="80"/>
        <v>2025</v>
      </c>
      <c r="N232" s="467">
        <f t="shared" si="80"/>
        <v>2026</v>
      </c>
      <c r="O232" s="467">
        <f t="shared" si="80"/>
        <v>2027</v>
      </c>
      <c r="P232" s="467">
        <f t="shared" si="80"/>
        <v>2028</v>
      </c>
      <c r="Q232" s="467">
        <f t="shared" si="80"/>
        <v>2029</v>
      </c>
      <c r="R232" s="467">
        <f t="shared" si="80"/>
        <v>2030</v>
      </c>
      <c r="S232" s="467">
        <f t="shared" si="80"/>
        <v>2031</v>
      </c>
      <c r="T232" s="467">
        <f t="shared" si="80"/>
        <v>2032</v>
      </c>
      <c r="U232" s="461">
        <f t="shared" si="80"/>
        <v>2033</v>
      </c>
      <c r="V232" s="461">
        <f t="shared" si="80"/>
        <v>2034</v>
      </c>
      <c r="W232" s="461">
        <f t="shared" si="80"/>
        <v>2035</v>
      </c>
      <c r="X232" s="461">
        <f t="shared" si="80"/>
        <v>2036</v>
      </c>
      <c r="Y232" s="461">
        <f t="shared" si="80"/>
        <v>2037</v>
      </c>
      <c r="Z232" s="461">
        <f t="shared" si="80"/>
        <v>2038</v>
      </c>
      <c r="AA232" s="461">
        <f t="shared" si="80"/>
        <v>2039</v>
      </c>
      <c r="AB232" s="461">
        <f t="shared" si="80"/>
        <v>2040</v>
      </c>
      <c r="AC232" s="461">
        <f t="shared" si="80"/>
        <v>2041</v>
      </c>
      <c r="AD232" s="461">
        <f t="shared" si="80"/>
        <v>2042</v>
      </c>
      <c r="AE232" s="461">
        <f t="shared" si="80"/>
        <v>2043</v>
      </c>
      <c r="AF232" s="461">
        <f t="shared" si="80"/>
        <v>2044</v>
      </c>
      <c r="AG232" s="461">
        <f t="shared" si="80"/>
        <v>2045</v>
      </c>
      <c r="AH232" s="461">
        <f>AG232+1</f>
        <v>2046</v>
      </c>
      <c r="AI232" s="461"/>
      <c r="AM232" s="535"/>
      <c r="AO232" s="283"/>
      <c r="AP232" s="71"/>
      <c r="AQ232" s="283"/>
      <c r="AR232" s="71"/>
      <c r="AS232" s="283"/>
    </row>
    <row r="233" spans="1:253" s="419" customFormat="1" x14ac:dyDescent="0.2">
      <c r="A233" s="481" t="s">
        <v>133</v>
      </c>
      <c r="B233" s="463">
        <f>'Saimnieciskas pamatdarbibas NP'!B111</f>
        <v>0</v>
      </c>
      <c r="C233" s="463">
        <f>'Saimnieciskas pamatdarbibas NP'!C111</f>
        <v>0</v>
      </c>
      <c r="D233" s="463">
        <f>'Saimnieciskas pamatdarbibas NP'!D111</f>
        <v>23572.399999999929</v>
      </c>
      <c r="E233" s="463">
        <f ca="1">'Saimnieciskas pamatdarbibas NP'!E111</f>
        <v>48343.324999999975</v>
      </c>
      <c r="F233" s="463">
        <f ca="1">'Saimnieciskas pamatdarbibas NP'!F111</f>
        <v>68866.760000000009</v>
      </c>
      <c r="G233" s="463">
        <f ca="1">'Saimnieciskas pamatdarbibas NP'!G111</f>
        <v>69407.18999999993</v>
      </c>
      <c r="H233" s="463">
        <f ca="1">'Saimnieciskas pamatdarbibas NP'!H111</f>
        <v>74759.725000000064</v>
      </c>
      <c r="I233" s="463">
        <f ca="1">'Saimnieciskas pamatdarbibas NP'!I111</f>
        <v>79164.362499999988</v>
      </c>
      <c r="J233" s="463">
        <f ca="1">'Saimnieciskas pamatdarbibas NP'!J111</f>
        <v>83613.5024999999</v>
      </c>
      <c r="K233" s="463">
        <f ca="1">'Saimnieciskas pamatdarbibas NP'!K111</f>
        <v>85057.327500000058</v>
      </c>
      <c r="L233" s="463">
        <f ca="1">'Saimnieciskas pamatdarbibas NP'!L111</f>
        <v>86626.89499999996</v>
      </c>
      <c r="M233" s="463">
        <f ca="1">'Saimnieciskas pamatdarbibas NP'!M111</f>
        <v>93022.829999999958</v>
      </c>
      <c r="N233" s="463">
        <f ca="1">'Saimnieciskas pamatdarbibas NP'!N111</f>
        <v>94340.912500000035</v>
      </c>
      <c r="O233" s="463">
        <f ca="1">'Saimnieciskas pamatdarbibas NP'!O111</f>
        <v>94755.600000000079</v>
      </c>
      <c r="P233" s="463">
        <f ca="1">'Saimnieciskas pamatdarbibas NP'!P111</f>
        <v>79281.934999999998</v>
      </c>
      <c r="Q233" s="463">
        <f ca="1">'Saimnieciskas pamatdarbibas NP'!Q111</f>
        <v>82909.777499999953</v>
      </c>
      <c r="R233" s="463">
        <f ca="1">'Saimnieciskas pamatdarbibas NP'!R111</f>
        <v>83353.847500000076</v>
      </c>
      <c r="S233" s="463">
        <f ca="1">'Saimnieciskas pamatdarbibas NP'!S111</f>
        <v>85744.712499999994</v>
      </c>
      <c r="T233" s="463">
        <f ca="1">'Saimnieciskas pamatdarbibas NP'!T111</f>
        <v>87966.190000000148</v>
      </c>
      <c r="U233" s="463">
        <f ca="1">'Saimnieciskas pamatdarbibas NP'!U111</f>
        <v>102801.21499999997</v>
      </c>
      <c r="V233" s="463">
        <f ca="1">'Saimnieciskas pamatdarbibas NP'!V111</f>
        <v>103824.1675</v>
      </c>
      <c r="W233" s="463">
        <f ca="1">'Saimnieciskas pamatdarbibas NP'!W111</f>
        <v>105311.63750000004</v>
      </c>
      <c r="X233" s="463">
        <f ca="1">'Saimnieciskas pamatdarbibas NP'!X111</f>
        <v>107533.11499999995</v>
      </c>
      <c r="Y233" s="463">
        <f ca="1">'Saimnieciskas pamatdarbibas NP'!Y111</f>
        <v>109020.58499999998</v>
      </c>
      <c r="Z233" s="463">
        <f ca="1">'Saimnieciskas pamatdarbibas NP'!Z111</f>
        <v>111411.44999999998</v>
      </c>
      <c r="AA233" s="463">
        <f ca="1">'Saimnieciskas pamatdarbibas NP'!AA111</f>
        <v>111531.00750000009</v>
      </c>
      <c r="AB233" s="463">
        <f ca="1">'Saimnieciskas pamatdarbibas NP'!AB111</f>
        <v>113921.87249999988</v>
      </c>
      <c r="AC233" s="463">
        <f ca="1">'Saimnieciskas pamatdarbibas NP'!AC111</f>
        <v>116283.35499999994</v>
      </c>
      <c r="AD233" s="463">
        <f ca="1">'Saimnieciskas pamatdarbibas NP'!AD111</f>
        <v>116727.42499999996</v>
      </c>
      <c r="AE233" s="463">
        <f ca="1">'Saimnieciskas pamatdarbibas NP'!AE111</f>
        <v>118992.5475000001</v>
      </c>
      <c r="AF233" s="463">
        <f ca="1">'Saimnieciskas pamatdarbibas NP'!AF111</f>
        <v>121976.55749999998</v>
      </c>
      <c r="AG233" s="463">
        <f ca="1">'Saimnieciskas pamatdarbibas NP'!AG111</f>
        <v>120933.15750000003</v>
      </c>
      <c r="AH233" s="463">
        <f ca="1">'Saimnieciskas pamatdarbibas NP'!AH111</f>
        <v>121836.55249999999</v>
      </c>
      <c r="AI233" s="463"/>
      <c r="AM233" s="535"/>
      <c r="AO233" s="283"/>
      <c r="AP233" s="71"/>
      <c r="AQ233" s="283"/>
      <c r="AR233" s="71"/>
      <c r="AS233" s="283"/>
    </row>
    <row r="234" spans="1:253" s="419" customFormat="1" x14ac:dyDescent="0.2">
      <c r="A234" s="481" t="s">
        <v>388</v>
      </c>
      <c r="B234" s="463">
        <f t="shared" ref="B234:AH234" si="81">B104</f>
        <v>0</v>
      </c>
      <c r="C234" s="463">
        <f t="shared" si="81"/>
        <v>0</v>
      </c>
      <c r="D234" s="463">
        <f t="shared" si="81"/>
        <v>0</v>
      </c>
      <c r="E234" s="463">
        <f t="shared" si="81"/>
        <v>0</v>
      </c>
      <c r="F234" s="463">
        <f t="shared" si="81"/>
        <v>0</v>
      </c>
      <c r="G234" s="463">
        <f t="shared" si="81"/>
        <v>0</v>
      </c>
      <c r="H234" s="463">
        <f t="shared" si="81"/>
        <v>0</v>
      </c>
      <c r="I234" s="463">
        <f t="shared" si="81"/>
        <v>0</v>
      </c>
      <c r="J234" s="463">
        <f t="shared" si="81"/>
        <v>0</v>
      </c>
      <c r="K234" s="463">
        <f t="shared" si="81"/>
        <v>0</v>
      </c>
      <c r="L234" s="463">
        <f t="shared" si="81"/>
        <v>0</v>
      </c>
      <c r="M234" s="463">
        <f t="shared" si="81"/>
        <v>0</v>
      </c>
      <c r="N234" s="463">
        <f t="shared" si="81"/>
        <v>0</v>
      </c>
      <c r="O234" s="463">
        <f t="shared" si="81"/>
        <v>0</v>
      </c>
      <c r="P234" s="463">
        <f t="shared" si="81"/>
        <v>0</v>
      </c>
      <c r="Q234" s="463">
        <f t="shared" si="81"/>
        <v>0</v>
      </c>
      <c r="R234" s="463">
        <f t="shared" si="81"/>
        <v>0</v>
      </c>
      <c r="S234" s="463">
        <f t="shared" si="81"/>
        <v>0</v>
      </c>
      <c r="T234" s="463">
        <f t="shared" si="81"/>
        <v>0</v>
      </c>
      <c r="U234" s="463">
        <f t="shared" si="81"/>
        <v>0</v>
      </c>
      <c r="V234" s="463">
        <f t="shared" si="81"/>
        <v>0</v>
      </c>
      <c r="W234" s="463">
        <f t="shared" si="81"/>
        <v>0</v>
      </c>
      <c r="X234" s="463">
        <f t="shared" si="81"/>
        <v>0</v>
      </c>
      <c r="Y234" s="463">
        <f t="shared" si="81"/>
        <v>0</v>
      </c>
      <c r="Z234" s="463">
        <f t="shared" si="81"/>
        <v>0</v>
      </c>
      <c r="AA234" s="463">
        <f t="shared" si="81"/>
        <v>0</v>
      </c>
      <c r="AB234" s="463">
        <f t="shared" si="81"/>
        <v>0</v>
      </c>
      <c r="AC234" s="463">
        <f t="shared" si="81"/>
        <v>0</v>
      </c>
      <c r="AD234" s="463">
        <f t="shared" si="81"/>
        <v>0</v>
      </c>
      <c r="AE234" s="463">
        <f t="shared" si="81"/>
        <v>0</v>
      </c>
      <c r="AF234" s="463">
        <f t="shared" si="81"/>
        <v>0</v>
      </c>
      <c r="AG234" s="463">
        <f t="shared" si="81"/>
        <v>417846</v>
      </c>
      <c r="AH234" s="463">
        <f t="shared" si="81"/>
        <v>0</v>
      </c>
      <c r="AI234" s="463"/>
      <c r="AM234" s="535"/>
      <c r="AO234" s="283"/>
      <c r="AP234" s="71"/>
      <c r="AQ234" s="283"/>
      <c r="AR234" s="71"/>
      <c r="AS234" s="283"/>
    </row>
    <row r="235" spans="1:253" s="419" customFormat="1" x14ac:dyDescent="0.2">
      <c r="A235" s="464" t="s">
        <v>194</v>
      </c>
      <c r="B235" s="465">
        <f>SUM(B233:B234)</f>
        <v>0</v>
      </c>
      <c r="C235" s="465">
        <f t="shared" ref="C235:AH235" si="82">SUM(C233:C234)</f>
        <v>0</v>
      </c>
      <c r="D235" s="465">
        <f t="shared" si="82"/>
        <v>23572.399999999929</v>
      </c>
      <c r="E235" s="465">
        <f t="shared" ca="1" si="82"/>
        <v>48343.324999999975</v>
      </c>
      <c r="F235" s="465">
        <f t="shared" ca="1" si="82"/>
        <v>68866.760000000009</v>
      </c>
      <c r="G235" s="465">
        <f t="shared" ca="1" si="82"/>
        <v>69407.18999999993</v>
      </c>
      <c r="H235" s="465">
        <f t="shared" ca="1" si="82"/>
        <v>74759.725000000064</v>
      </c>
      <c r="I235" s="465">
        <f t="shared" ca="1" si="82"/>
        <v>79164.362499999988</v>
      </c>
      <c r="J235" s="465">
        <f t="shared" ca="1" si="82"/>
        <v>83613.5024999999</v>
      </c>
      <c r="K235" s="465">
        <f t="shared" ca="1" si="82"/>
        <v>85057.327500000058</v>
      </c>
      <c r="L235" s="465">
        <f t="shared" ca="1" si="82"/>
        <v>86626.89499999996</v>
      </c>
      <c r="M235" s="465">
        <f t="shared" ca="1" si="82"/>
        <v>93022.829999999958</v>
      </c>
      <c r="N235" s="465">
        <f t="shared" ca="1" si="82"/>
        <v>94340.912500000035</v>
      </c>
      <c r="O235" s="465">
        <f t="shared" ca="1" si="82"/>
        <v>94755.600000000079</v>
      </c>
      <c r="P235" s="465">
        <f t="shared" ca="1" si="82"/>
        <v>79281.934999999998</v>
      </c>
      <c r="Q235" s="465">
        <f t="shared" ca="1" si="82"/>
        <v>82909.777499999953</v>
      </c>
      <c r="R235" s="465">
        <f t="shared" ca="1" si="82"/>
        <v>83353.847500000076</v>
      </c>
      <c r="S235" s="465">
        <f t="shared" ca="1" si="82"/>
        <v>85744.712499999994</v>
      </c>
      <c r="T235" s="465">
        <f t="shared" ca="1" si="82"/>
        <v>87966.190000000148</v>
      </c>
      <c r="U235" s="465">
        <f t="shared" ca="1" si="82"/>
        <v>102801.21499999997</v>
      </c>
      <c r="V235" s="465">
        <f t="shared" ca="1" si="82"/>
        <v>103824.1675</v>
      </c>
      <c r="W235" s="465">
        <f t="shared" ca="1" si="82"/>
        <v>105311.63750000004</v>
      </c>
      <c r="X235" s="465">
        <f t="shared" ca="1" si="82"/>
        <v>107533.11499999995</v>
      </c>
      <c r="Y235" s="465">
        <f t="shared" ca="1" si="82"/>
        <v>109020.58499999998</v>
      </c>
      <c r="Z235" s="465">
        <f t="shared" ca="1" si="82"/>
        <v>111411.44999999998</v>
      </c>
      <c r="AA235" s="465">
        <f t="shared" ca="1" si="82"/>
        <v>111531.00750000009</v>
      </c>
      <c r="AB235" s="465">
        <f t="shared" ca="1" si="82"/>
        <v>113921.87249999988</v>
      </c>
      <c r="AC235" s="465">
        <f t="shared" ca="1" si="82"/>
        <v>116283.35499999994</v>
      </c>
      <c r="AD235" s="465">
        <f t="shared" ca="1" si="82"/>
        <v>116727.42499999996</v>
      </c>
      <c r="AE235" s="465">
        <f t="shared" ca="1" si="82"/>
        <v>118992.5475000001</v>
      </c>
      <c r="AF235" s="465">
        <f t="shared" ca="1" si="82"/>
        <v>121976.55749999998</v>
      </c>
      <c r="AG235" s="465">
        <f t="shared" ca="1" si="82"/>
        <v>538779.15749999997</v>
      </c>
      <c r="AH235" s="465">
        <f t="shared" ca="1" si="82"/>
        <v>121836.55249999999</v>
      </c>
      <c r="AI235" s="465"/>
      <c r="AM235" s="535"/>
      <c r="AO235" s="283"/>
      <c r="AP235" s="71"/>
      <c r="AQ235" s="283"/>
      <c r="AR235" s="71"/>
      <c r="AS235" s="283"/>
    </row>
    <row r="236" spans="1:253" s="419" customFormat="1" x14ac:dyDescent="0.2">
      <c r="A236" s="433" t="s">
        <v>195</v>
      </c>
      <c r="B236" s="463">
        <f>'Saimnieciskas pamatdarbibas NP'!B102</f>
        <v>0</v>
      </c>
      <c r="C236" s="463">
        <f>'Saimnieciskas pamatdarbibas NP'!C102</f>
        <v>0</v>
      </c>
      <c r="D236" s="463">
        <f>'Saimnieciskas pamatdarbibas NP'!D102</f>
        <v>23659.5</v>
      </c>
      <c r="E236" s="463">
        <f>'Saimnieciskas pamatdarbibas NP'!E102</f>
        <v>47319</v>
      </c>
      <c r="F236" s="463">
        <f>'Saimnieciskas pamatdarbibas NP'!F102</f>
        <v>53197.27999999997</v>
      </c>
      <c r="G236" s="463">
        <f>'Saimnieciskas pamatdarbibas NP'!G102</f>
        <v>54143.660000000033</v>
      </c>
      <c r="H236" s="463">
        <f>'Saimnieciskas pamatdarbibas NP'!H102</f>
        <v>60180.492799999949</v>
      </c>
      <c r="I236" s="463">
        <f>'Saimnieciskas pamatdarbibas NP'!I102</f>
        <v>62992.790399999998</v>
      </c>
      <c r="J236" s="463">
        <f>'Saimnieciskas pamatdarbibas NP'!J102</f>
        <v>64056.736000000034</v>
      </c>
      <c r="K236" s="463">
        <f>'Saimnieciskas pamatdarbibas NP'!K102</f>
        <v>65120.681600000011</v>
      </c>
      <c r="L236" s="463">
        <f>'Saimnieciskas pamatdarbibas NP'!L102</f>
        <v>66184.627199999988</v>
      </c>
      <c r="M236" s="463">
        <f>'Saimnieciskas pamatdarbibas NP'!M102</f>
        <v>67248.572800000024</v>
      </c>
      <c r="N236" s="463">
        <f>'Saimnieciskas pamatdarbibas NP'!N102</f>
        <v>68954.491200000106</v>
      </c>
      <c r="O236" s="463">
        <f>'Saimnieciskas pamatdarbibas NP'!O102</f>
        <v>70550.409600000072</v>
      </c>
      <c r="P236" s="463">
        <f>'Saimnieciskas pamatdarbibas NP'!P102</f>
        <v>72146.328000000038</v>
      </c>
      <c r="Q236" s="463">
        <f>'Saimnieciskas pamatdarbibas NP'!Q102</f>
        <v>73742.246399999945</v>
      </c>
      <c r="R236" s="463">
        <f>'Saimnieciskas pamatdarbibas NP'!R102</f>
        <v>75338.164800000028</v>
      </c>
      <c r="S236" s="463">
        <f>'Saimnieciskas pamatdarbibas NP'!S102</f>
        <v>76934.083199999935</v>
      </c>
      <c r="T236" s="463">
        <f>'Saimnieciskas pamatdarbibas NP'!T102</f>
        <v>78530.001600000018</v>
      </c>
      <c r="U236" s="463">
        <f>'Saimnieciskas pamatdarbibas NP'!U102</f>
        <v>80125.920000000042</v>
      </c>
      <c r="V236" s="463">
        <f>'Saimnieciskas pamatdarbibas NP'!V102</f>
        <v>81721.83839999995</v>
      </c>
      <c r="W236" s="463">
        <f>'Saimnieciskas pamatdarbibas NP'!W102</f>
        <v>83317.756800000032</v>
      </c>
      <c r="X236" s="463">
        <f>'Saimnieciskas pamatdarbibas NP'!X102</f>
        <v>84913.675199999998</v>
      </c>
      <c r="Y236" s="463">
        <f>'Saimnieciskas pamatdarbibas NP'!Y102</f>
        <v>86509.59360000008</v>
      </c>
      <c r="Z236" s="463">
        <f>'Saimnieciskas pamatdarbibas NP'!Z102</f>
        <v>88105.511999999988</v>
      </c>
      <c r="AA236" s="463">
        <f>'Saimnieciskas pamatdarbibas NP'!AA102</f>
        <v>89701.43040000007</v>
      </c>
      <c r="AB236" s="463">
        <f>'Saimnieciskas pamatdarbibas NP'!AB102</f>
        <v>91297.348800000036</v>
      </c>
      <c r="AC236" s="463">
        <f>'Saimnieciskas pamatdarbibas NP'!AC102</f>
        <v>92893.267200000002</v>
      </c>
      <c r="AD236" s="463">
        <f>'Saimnieciskas pamatdarbibas NP'!AD102</f>
        <v>94489.185600000026</v>
      </c>
      <c r="AE236" s="463">
        <f>'Saimnieciskas pamatdarbibas NP'!AE102</f>
        <v>96727.076799999923</v>
      </c>
      <c r="AF236" s="463">
        <f>'Saimnieciskas pamatdarbibas NP'!AF102</f>
        <v>98854.967999999993</v>
      </c>
      <c r="AG236" s="463">
        <f>'Saimnieciskas pamatdarbibas NP'!AG102</f>
        <v>98414.967999999993</v>
      </c>
      <c r="AH236" s="463">
        <f>'Saimnieciskas pamatdarbibas NP'!AH102</f>
        <v>97974.967999999993</v>
      </c>
      <c r="AI236" s="463"/>
      <c r="AM236" s="535"/>
      <c r="AO236" s="283"/>
      <c r="AP236" s="71"/>
      <c r="AQ236" s="283"/>
      <c r="AR236" s="71"/>
      <c r="AS236" s="283"/>
    </row>
    <row r="237" spans="1:253" s="419" customFormat="1" x14ac:dyDescent="0.2">
      <c r="A237" s="433" t="s">
        <v>216</v>
      </c>
      <c r="B237" s="463">
        <f>Aprekini!B253+Aprekini!B261+B272+B281</f>
        <v>0</v>
      </c>
      <c r="C237" s="463">
        <f>Aprekini!C253+Aprekini!C261+C272+C281</f>
        <v>0</v>
      </c>
      <c r="D237" s="463">
        <f>Aprekini!D253+Aprekini!D261+D272+D281</f>
        <v>0</v>
      </c>
      <c r="E237" s="463">
        <f ca="1">Aprekini!E253+Aprekini!E261+E272+E281</f>
        <v>0</v>
      </c>
      <c r="F237" s="463">
        <f ca="1">Aprekini!F253+Aprekini!F261+F272+F281</f>
        <v>0</v>
      </c>
      <c r="G237" s="463">
        <f ca="1">Aprekini!G253+Aprekini!G261+G272+G281</f>
        <v>0</v>
      </c>
      <c r="H237" s="463">
        <f ca="1">Aprekini!H253+Aprekini!H261+H272+H281</f>
        <v>0</v>
      </c>
      <c r="I237" s="463">
        <f ca="1">Aprekini!I253+Aprekini!I261+I272+I281</f>
        <v>0</v>
      </c>
      <c r="J237" s="463">
        <f ca="1">Aprekini!J253+Aprekini!J261+J272+J281</f>
        <v>0</v>
      </c>
      <c r="K237" s="463">
        <f ca="1">Aprekini!K253+Aprekini!K261+K272+K281</f>
        <v>0</v>
      </c>
      <c r="L237" s="463">
        <f ca="1">Aprekini!L253+Aprekini!L261+L272+L281</f>
        <v>0</v>
      </c>
      <c r="M237" s="463">
        <f ca="1">Aprekini!M253+Aprekini!M261+M272+M281</f>
        <v>0</v>
      </c>
      <c r="N237" s="463">
        <f ca="1">Aprekini!N253+Aprekini!N261+N272+N281</f>
        <v>0</v>
      </c>
      <c r="O237" s="463">
        <f ca="1">Aprekini!O253+Aprekini!O261+O272+O281</f>
        <v>0</v>
      </c>
      <c r="P237" s="463">
        <f ca="1">Aprekini!P253+Aprekini!P261+P272+P281</f>
        <v>0</v>
      </c>
      <c r="Q237" s="463">
        <f ca="1">Aprekini!Q253+Aprekini!Q261+Q272+Q281</f>
        <v>0</v>
      </c>
      <c r="R237" s="463">
        <f ca="1">Aprekini!R253+Aprekini!R261+R272+R281</f>
        <v>0</v>
      </c>
      <c r="S237" s="463">
        <f ca="1">Aprekini!S253+Aprekini!S261+S272+S281</f>
        <v>0</v>
      </c>
      <c r="T237" s="463">
        <f ca="1">Aprekini!T253+Aprekini!T261+T272+T281</f>
        <v>0</v>
      </c>
      <c r="U237" s="463">
        <f ca="1">Aprekini!U253+Aprekini!U261+U272+U281</f>
        <v>0</v>
      </c>
      <c r="V237" s="463">
        <f ca="1">Aprekini!V253+Aprekini!V261+V272+V281</f>
        <v>0</v>
      </c>
      <c r="W237" s="463">
        <f ca="1">Aprekini!W253+Aprekini!W261+W272+W281</f>
        <v>0</v>
      </c>
      <c r="X237" s="463">
        <f ca="1">Aprekini!X253+Aprekini!X261+X272+X281</f>
        <v>0</v>
      </c>
      <c r="Y237" s="463">
        <f ca="1">Aprekini!Y253+Aprekini!Y261+Y272+Y281</f>
        <v>0</v>
      </c>
      <c r="Z237" s="463">
        <f ca="1">Aprekini!Z253+Aprekini!Z261+Z272+Z281</f>
        <v>0</v>
      </c>
      <c r="AA237" s="463">
        <f ca="1">Aprekini!AA253+Aprekini!AA261+AA272+AA281</f>
        <v>0</v>
      </c>
      <c r="AB237" s="463">
        <f ca="1">Aprekini!AB253+Aprekini!AB261+AB272+AB281</f>
        <v>0</v>
      </c>
      <c r="AC237" s="463">
        <f ca="1">Aprekini!AC253+Aprekini!AC261+AC272+AC281</f>
        <v>0</v>
      </c>
      <c r="AD237" s="463">
        <f ca="1">Aprekini!AD253+Aprekini!AD261+AD272+AD281</f>
        <v>0</v>
      </c>
      <c r="AE237" s="463">
        <f ca="1">Aprekini!AE253+Aprekini!AE261+AE272+AE281</f>
        <v>0</v>
      </c>
      <c r="AF237" s="463">
        <f ca="1">Aprekini!AF253+Aprekini!AF261+AF272+AF281</f>
        <v>0</v>
      </c>
      <c r="AG237" s="463">
        <f ca="1">Aprekini!AG253+Aprekini!AG261+AG272+AG281</f>
        <v>0</v>
      </c>
      <c r="AH237" s="463">
        <f ca="1">Aprekini!AH253+Aprekini!AH261+AH272+AH281</f>
        <v>0</v>
      </c>
      <c r="AI237" s="463"/>
      <c r="AM237" s="535"/>
      <c r="AO237" s="283"/>
      <c r="AP237" s="71"/>
      <c r="AQ237" s="283"/>
      <c r="AR237" s="71"/>
      <c r="AS237" s="283"/>
    </row>
    <row r="238" spans="1:253" s="419" customFormat="1" x14ac:dyDescent="0.2">
      <c r="A238" s="433" t="s">
        <v>217</v>
      </c>
      <c r="B238" s="463">
        <f>Aprekini!B262+Aprekini!B254+B273+B282</f>
        <v>0</v>
      </c>
      <c r="C238" s="463">
        <f>Aprekini!C262+Aprekini!C254+C273+C282</f>
        <v>0</v>
      </c>
      <c r="D238" s="463">
        <f ca="1">Aprekini!D262+Aprekini!D254+D273+D282</f>
        <v>0</v>
      </c>
      <c r="E238" s="463">
        <f ca="1">Aprekini!E262+Aprekini!E254+E273+E282</f>
        <v>0</v>
      </c>
      <c r="F238" s="463">
        <f ca="1">Aprekini!F262+Aprekini!F254+F273+F282</f>
        <v>0</v>
      </c>
      <c r="G238" s="463">
        <f ca="1">Aprekini!G262+Aprekini!G254+G273+G282</f>
        <v>0</v>
      </c>
      <c r="H238" s="463">
        <f ca="1">Aprekini!H262+Aprekini!H254+H273+H282</f>
        <v>0</v>
      </c>
      <c r="I238" s="463">
        <f ca="1">Aprekini!I262+Aprekini!I254+I273+I282</f>
        <v>0</v>
      </c>
      <c r="J238" s="463">
        <f ca="1">Aprekini!J262+Aprekini!J254+J273+J282</f>
        <v>0</v>
      </c>
      <c r="K238" s="463">
        <f ca="1">Aprekini!K262+Aprekini!K254+K273+K282</f>
        <v>0</v>
      </c>
      <c r="L238" s="463">
        <f ca="1">Aprekini!L262+Aprekini!L254+L273+L282</f>
        <v>0</v>
      </c>
      <c r="M238" s="463">
        <f ca="1">Aprekini!M262+Aprekini!M254+M273+M282</f>
        <v>0</v>
      </c>
      <c r="N238" s="463">
        <f ca="1">Aprekini!N262+Aprekini!N254+N273+N282</f>
        <v>0</v>
      </c>
      <c r="O238" s="463">
        <f ca="1">Aprekini!O262+Aprekini!O254+O273+O282</f>
        <v>0</v>
      </c>
      <c r="P238" s="463">
        <f ca="1">Aprekini!P262+Aprekini!P254+P273+P282</f>
        <v>0</v>
      </c>
      <c r="Q238" s="463">
        <f ca="1">Aprekini!Q262+Aprekini!Q254+Q273+Q282</f>
        <v>0</v>
      </c>
      <c r="R238" s="463">
        <f ca="1">Aprekini!R262+Aprekini!R254+R273+R282</f>
        <v>0</v>
      </c>
      <c r="S238" s="463">
        <f ca="1">Aprekini!S262+Aprekini!S254+S273+S282</f>
        <v>0</v>
      </c>
      <c r="T238" s="463">
        <f ca="1">Aprekini!T262+Aprekini!T254+T273+T282</f>
        <v>0</v>
      </c>
      <c r="U238" s="463">
        <f ca="1">Aprekini!U262+Aprekini!U254+U273+U282</f>
        <v>0</v>
      </c>
      <c r="V238" s="463">
        <f ca="1">Aprekini!V262+Aprekini!V254+V273+V282</f>
        <v>0</v>
      </c>
      <c r="W238" s="463">
        <f ca="1">Aprekini!W262+Aprekini!W254+W273+W282</f>
        <v>0</v>
      </c>
      <c r="X238" s="463">
        <f ca="1">Aprekini!X262+Aprekini!X254+X273+X282</f>
        <v>0</v>
      </c>
      <c r="Y238" s="463">
        <f ca="1">Aprekini!Y262+Aprekini!Y254+Y273+Y282</f>
        <v>0</v>
      </c>
      <c r="Z238" s="463">
        <f ca="1">Aprekini!Z262+Aprekini!Z254+Z273+Z282</f>
        <v>0</v>
      </c>
      <c r="AA238" s="463">
        <f ca="1">Aprekini!AA262+Aprekini!AA254+AA273+AA282</f>
        <v>0</v>
      </c>
      <c r="AB238" s="463">
        <f ca="1">Aprekini!AB262+Aprekini!AB254+AB273+AB282</f>
        <v>0</v>
      </c>
      <c r="AC238" s="463">
        <f ca="1">Aprekini!AC262+Aprekini!AC254+AC273+AC282</f>
        <v>0</v>
      </c>
      <c r="AD238" s="463">
        <f ca="1">Aprekini!AD262+Aprekini!AD254+AD273+AD282</f>
        <v>0</v>
      </c>
      <c r="AE238" s="463">
        <f ca="1">Aprekini!AE262+Aprekini!AE254+AE273+AE282</f>
        <v>0</v>
      </c>
      <c r="AF238" s="463">
        <f ca="1">Aprekini!AF262+Aprekini!AF254+AF273+AF282</f>
        <v>0</v>
      </c>
      <c r="AG238" s="463">
        <f ca="1">Aprekini!AG262+Aprekini!AG254+AG273+AG282</f>
        <v>0</v>
      </c>
      <c r="AH238" s="463">
        <f ca="1">Aprekini!AH262+Aprekini!AH254+AH273+AH282</f>
        <v>0</v>
      </c>
      <c r="AI238" s="463"/>
      <c r="AM238" s="535"/>
      <c r="AO238" s="283"/>
      <c r="AP238" s="71"/>
      <c r="AQ238" s="283"/>
      <c r="AR238" s="71"/>
      <c r="AS238" s="283"/>
    </row>
    <row r="239" spans="1:253" s="419" customFormat="1" x14ac:dyDescent="0.2">
      <c r="A239" s="433" t="s">
        <v>218</v>
      </c>
      <c r="B239" s="463">
        <f ca="1">Aprekini!B152</f>
        <v>0</v>
      </c>
      <c r="C239" s="463">
        <f ca="1">Aprekini!C152</f>
        <v>0</v>
      </c>
      <c r="D239" s="463">
        <f ca="1">Aprekini!D152</f>
        <v>289413.52</v>
      </c>
      <c r="E239" s="463">
        <f ca="1">Aprekini!E152</f>
        <v>573150.62</v>
      </c>
      <c r="F239" s="463">
        <f ca="1">Aprekini!F152</f>
        <v>0</v>
      </c>
      <c r="G239" s="463">
        <f ca="1">Aprekini!G152</f>
        <v>0</v>
      </c>
      <c r="H239" s="463">
        <f>Aprekini!H152</f>
        <v>0</v>
      </c>
      <c r="I239" s="463">
        <f>Aprekini!I152</f>
        <v>0</v>
      </c>
      <c r="J239" s="463">
        <f>Aprekini!J152</f>
        <v>0</v>
      </c>
      <c r="K239" s="463">
        <f>Aprekini!K152</f>
        <v>0</v>
      </c>
      <c r="L239" s="463">
        <f>Aprekini!L152</f>
        <v>0</v>
      </c>
      <c r="M239" s="463">
        <f>Aprekini!M152</f>
        <v>0</v>
      </c>
      <c r="N239" s="463">
        <f>Aprekini!N152</f>
        <v>0</v>
      </c>
      <c r="O239" s="463">
        <f>Aprekini!O152</f>
        <v>0</v>
      </c>
      <c r="P239" s="463">
        <f>Aprekini!P152</f>
        <v>0</v>
      </c>
      <c r="Q239" s="463">
        <f>Aprekini!Q152</f>
        <v>0</v>
      </c>
      <c r="R239" s="463">
        <f>Aprekini!R152</f>
        <v>0</v>
      </c>
      <c r="S239" s="463">
        <f>Aprekini!S152</f>
        <v>0</v>
      </c>
      <c r="T239" s="463">
        <f>Aprekini!T152</f>
        <v>0</v>
      </c>
      <c r="U239" s="463">
        <f>Aprekini!U152</f>
        <v>0</v>
      </c>
      <c r="V239" s="463">
        <f>Aprekini!V152</f>
        <v>0</v>
      </c>
      <c r="W239" s="463">
        <f>Aprekini!W152</f>
        <v>0</v>
      </c>
      <c r="X239" s="463">
        <f>Aprekini!X152</f>
        <v>0</v>
      </c>
      <c r="Y239" s="463">
        <f>Aprekini!Y152</f>
        <v>0</v>
      </c>
      <c r="Z239" s="463">
        <f>Aprekini!Z152</f>
        <v>0</v>
      </c>
      <c r="AA239" s="463">
        <f>Aprekini!AA152</f>
        <v>0</v>
      </c>
      <c r="AB239" s="463">
        <f>Aprekini!AB152</f>
        <v>0</v>
      </c>
      <c r="AC239" s="463">
        <f>Aprekini!AC152</f>
        <v>0</v>
      </c>
      <c r="AD239" s="463">
        <f>Aprekini!AD152</f>
        <v>0</v>
      </c>
      <c r="AE239" s="463">
        <f>Aprekini!AE152</f>
        <v>0</v>
      </c>
      <c r="AF239" s="463">
        <f>Aprekini!AF152</f>
        <v>0</v>
      </c>
      <c r="AG239" s="463">
        <f>Aprekini!AG152</f>
        <v>0</v>
      </c>
      <c r="AH239" s="463">
        <f>Aprekini!AH152</f>
        <v>0</v>
      </c>
      <c r="AI239" s="463"/>
      <c r="AM239" s="535"/>
      <c r="AO239" s="283"/>
      <c r="AP239" s="71"/>
      <c r="AQ239" s="283"/>
      <c r="AR239" s="71"/>
      <c r="AS239" s="283"/>
    </row>
    <row r="240" spans="1:253" s="419" customFormat="1" x14ac:dyDescent="0.2">
      <c r="A240" s="464" t="s">
        <v>219</v>
      </c>
      <c r="B240" s="465">
        <f t="shared" ref="B240:AG240" ca="1" si="83">SUM(B236:B239)</f>
        <v>0</v>
      </c>
      <c r="C240" s="465">
        <f t="shared" ca="1" si="83"/>
        <v>0</v>
      </c>
      <c r="D240" s="465">
        <f t="shared" ca="1" si="83"/>
        <v>313073.02</v>
      </c>
      <c r="E240" s="465">
        <f t="shared" ca="1" si="83"/>
        <v>620469.62</v>
      </c>
      <c r="F240" s="465">
        <f t="shared" ca="1" si="83"/>
        <v>53197.27999999997</v>
      </c>
      <c r="G240" s="465">
        <f t="shared" ca="1" si="83"/>
        <v>54143.660000000033</v>
      </c>
      <c r="H240" s="465">
        <f t="shared" ca="1" si="83"/>
        <v>60180.492799999949</v>
      </c>
      <c r="I240" s="465">
        <f t="shared" ca="1" si="83"/>
        <v>62992.790399999998</v>
      </c>
      <c r="J240" s="465">
        <f t="shared" ca="1" si="83"/>
        <v>64056.736000000034</v>
      </c>
      <c r="K240" s="465">
        <f t="shared" ca="1" si="83"/>
        <v>65120.681600000011</v>
      </c>
      <c r="L240" s="465">
        <f t="shared" ca="1" si="83"/>
        <v>66184.627199999988</v>
      </c>
      <c r="M240" s="465">
        <f t="shared" ca="1" si="83"/>
        <v>67248.572800000024</v>
      </c>
      <c r="N240" s="465">
        <f t="shared" ca="1" si="83"/>
        <v>68954.491200000106</v>
      </c>
      <c r="O240" s="465">
        <f t="shared" ca="1" si="83"/>
        <v>70550.409600000072</v>
      </c>
      <c r="P240" s="465">
        <f t="shared" ca="1" si="83"/>
        <v>72146.328000000038</v>
      </c>
      <c r="Q240" s="465">
        <f t="shared" ca="1" si="83"/>
        <v>73742.246399999945</v>
      </c>
      <c r="R240" s="465">
        <f t="shared" ca="1" si="83"/>
        <v>75338.164800000028</v>
      </c>
      <c r="S240" s="465">
        <f t="shared" ca="1" si="83"/>
        <v>76934.083199999935</v>
      </c>
      <c r="T240" s="465">
        <f t="shared" ca="1" si="83"/>
        <v>78530.001600000018</v>
      </c>
      <c r="U240" s="465">
        <f t="shared" ca="1" si="83"/>
        <v>80125.920000000042</v>
      </c>
      <c r="V240" s="465">
        <f t="shared" ca="1" si="83"/>
        <v>81721.83839999995</v>
      </c>
      <c r="W240" s="465">
        <f t="shared" ca="1" si="83"/>
        <v>83317.756800000032</v>
      </c>
      <c r="X240" s="465">
        <f t="shared" ca="1" si="83"/>
        <v>84913.675199999998</v>
      </c>
      <c r="Y240" s="465">
        <f t="shared" ca="1" si="83"/>
        <v>86509.59360000008</v>
      </c>
      <c r="Z240" s="465">
        <f t="shared" ca="1" si="83"/>
        <v>88105.511999999988</v>
      </c>
      <c r="AA240" s="465">
        <f t="shared" ca="1" si="83"/>
        <v>89701.43040000007</v>
      </c>
      <c r="AB240" s="465">
        <f t="shared" ca="1" si="83"/>
        <v>91297.348800000036</v>
      </c>
      <c r="AC240" s="465">
        <f t="shared" ca="1" si="83"/>
        <v>92893.267200000002</v>
      </c>
      <c r="AD240" s="465">
        <f t="shared" ca="1" si="83"/>
        <v>94489.185600000026</v>
      </c>
      <c r="AE240" s="465">
        <f t="shared" ca="1" si="83"/>
        <v>96727.076799999923</v>
      </c>
      <c r="AF240" s="465">
        <f t="shared" ca="1" si="83"/>
        <v>98854.967999999993</v>
      </c>
      <c r="AG240" s="465">
        <f t="shared" ca="1" si="83"/>
        <v>98414.967999999993</v>
      </c>
      <c r="AH240" s="465">
        <f ca="1">SUM(AH236:AH239)</f>
        <v>97974.967999999993</v>
      </c>
      <c r="AI240" s="465"/>
      <c r="AM240" s="535"/>
      <c r="AO240" s="283"/>
      <c r="AP240" s="71"/>
      <c r="AQ240" s="283"/>
      <c r="AR240" s="71"/>
      <c r="AS240" s="283"/>
    </row>
    <row r="241" spans="1:253" s="419" customFormat="1" x14ac:dyDescent="0.2">
      <c r="A241" s="486" t="s">
        <v>197</v>
      </c>
      <c r="B241" s="487">
        <f t="shared" ref="B241:AG241" ca="1" si="84">B235-B240</f>
        <v>0</v>
      </c>
      <c r="C241" s="487">
        <f t="shared" ca="1" si="84"/>
        <v>0</v>
      </c>
      <c r="D241" s="487">
        <f t="shared" ca="1" si="84"/>
        <v>-289500.62000000011</v>
      </c>
      <c r="E241" s="487">
        <f t="shared" ca="1" si="84"/>
        <v>-572126.29500000004</v>
      </c>
      <c r="F241" s="487">
        <f t="shared" ca="1" si="84"/>
        <v>15669.48000000004</v>
      </c>
      <c r="G241" s="487">
        <f t="shared" ca="1" si="84"/>
        <v>15263.529999999897</v>
      </c>
      <c r="H241" s="487">
        <f t="shared" ca="1" si="84"/>
        <v>14579.232200000115</v>
      </c>
      <c r="I241" s="487">
        <f t="shared" ca="1" si="84"/>
        <v>16171.57209999999</v>
      </c>
      <c r="J241" s="487">
        <f t="shared" ca="1" si="84"/>
        <v>19556.766499999867</v>
      </c>
      <c r="K241" s="487">
        <f t="shared" ca="1" si="84"/>
        <v>19936.645900000047</v>
      </c>
      <c r="L241" s="487">
        <f t="shared" ca="1" si="84"/>
        <v>20442.267799999972</v>
      </c>
      <c r="M241" s="487">
        <f t="shared" ca="1" si="84"/>
        <v>25774.257199999935</v>
      </c>
      <c r="N241" s="487">
        <f t="shared" ca="1" si="84"/>
        <v>25386.421299999929</v>
      </c>
      <c r="O241" s="487">
        <f t="shared" ca="1" si="84"/>
        <v>24205.190400000007</v>
      </c>
      <c r="P241" s="487">
        <f t="shared" ca="1" si="84"/>
        <v>7135.60699999996</v>
      </c>
      <c r="Q241" s="487">
        <f t="shared" ca="1" si="84"/>
        <v>9167.5311000000074</v>
      </c>
      <c r="R241" s="487">
        <f t="shared" ca="1" si="84"/>
        <v>8015.6827000000485</v>
      </c>
      <c r="S241" s="487">
        <f t="shared" ca="1" si="84"/>
        <v>8810.6293000000587</v>
      </c>
      <c r="T241" s="487">
        <f t="shared" ca="1" si="84"/>
        <v>9436.1884000001301</v>
      </c>
      <c r="U241" s="487">
        <f t="shared" ca="1" si="84"/>
        <v>22675.294999999925</v>
      </c>
      <c r="V241" s="487">
        <f t="shared" ca="1" si="84"/>
        <v>22102.329100000046</v>
      </c>
      <c r="W241" s="487">
        <f t="shared" ca="1" si="84"/>
        <v>21993.880700000009</v>
      </c>
      <c r="X241" s="487">
        <f t="shared" ca="1" si="84"/>
        <v>22619.439799999949</v>
      </c>
      <c r="Y241" s="487">
        <f t="shared" ca="1" si="84"/>
        <v>22510.991399999897</v>
      </c>
      <c r="Z241" s="487">
        <f t="shared" ca="1" si="84"/>
        <v>23305.937999999995</v>
      </c>
      <c r="AA241" s="487">
        <f t="shared" ca="1" si="84"/>
        <v>21829.577100000024</v>
      </c>
      <c r="AB241" s="487">
        <f t="shared" ca="1" si="84"/>
        <v>22624.523699999845</v>
      </c>
      <c r="AC241" s="487">
        <f t="shared" ca="1" si="84"/>
        <v>23390.087799999936</v>
      </c>
      <c r="AD241" s="487">
        <f t="shared" ca="1" si="84"/>
        <v>22238.239399999933</v>
      </c>
      <c r="AE241" s="487">
        <f t="shared" ca="1" si="84"/>
        <v>22265.47070000018</v>
      </c>
      <c r="AF241" s="487">
        <f t="shared" ca="1" si="84"/>
        <v>23121.589499999987</v>
      </c>
      <c r="AG241" s="487">
        <f t="shared" ca="1" si="84"/>
        <v>440364.18949999998</v>
      </c>
      <c r="AH241" s="487">
        <f ca="1">AH235-AH240</f>
        <v>23861.584499999997</v>
      </c>
      <c r="AI241" s="487"/>
      <c r="AM241" s="535"/>
      <c r="AO241" s="283"/>
      <c r="AP241" s="71"/>
      <c r="AQ241" s="283"/>
      <c r="AR241" s="71"/>
      <c r="AS241" s="283"/>
    </row>
    <row r="242" spans="1:253" s="419" customFormat="1" x14ac:dyDescent="0.2">
      <c r="A242" s="443" t="s">
        <v>220</v>
      </c>
      <c r="B242" s="488"/>
      <c r="C242" s="488"/>
      <c r="D242" s="488"/>
      <c r="E242" s="488"/>
      <c r="F242" s="488"/>
      <c r="G242" s="488"/>
      <c r="H242" s="445"/>
      <c r="I242" s="488"/>
      <c r="J242" s="488"/>
      <c r="K242" s="488"/>
      <c r="L242" s="488"/>
      <c r="M242" s="793">
        <f ca="1">IF(ISERROR(IRR(D241:AG241,0)),"Nevar aprēķināt",IRR(D241:AG241,0))</f>
        <v>4.6692058548403192E-3</v>
      </c>
      <c r="N242" s="488"/>
      <c r="O242" s="488"/>
      <c r="P242" s="445"/>
      <c r="Q242" s="489"/>
      <c r="R242" s="488"/>
      <c r="S242" s="488"/>
      <c r="T242" s="488"/>
      <c r="U242" s="488"/>
      <c r="V242" s="488"/>
      <c r="W242" s="488"/>
      <c r="X242" s="488"/>
      <c r="Y242" s="488"/>
      <c r="Z242" s="488"/>
      <c r="AA242" s="488"/>
      <c r="AB242" s="488"/>
      <c r="AC242" s="488"/>
      <c r="AD242" s="488"/>
      <c r="AE242" s="488"/>
      <c r="AF242" s="488"/>
      <c r="AG242" s="488"/>
      <c r="AH242" s="488"/>
      <c r="AI242" s="488"/>
      <c r="AM242" s="535"/>
      <c r="AO242" s="283"/>
      <c r="AP242" s="71"/>
      <c r="AQ242" s="283"/>
      <c r="AR242" s="71"/>
      <c r="AS242" s="283"/>
    </row>
    <row r="243" spans="1:253" s="419" customFormat="1" x14ac:dyDescent="0.2">
      <c r="A243" s="443" t="s">
        <v>221</v>
      </c>
      <c r="B243" s="445"/>
      <c r="C243" s="445"/>
      <c r="D243" s="445"/>
      <c r="E243" s="445"/>
      <c r="F243" s="445"/>
      <c r="G243" s="445"/>
      <c r="H243" s="445"/>
      <c r="I243" s="445"/>
      <c r="J243" s="445"/>
      <c r="K243" s="445"/>
      <c r="L243" s="445"/>
      <c r="M243" s="794">
        <f ca="1">NPV('Datu ievade'!B447,D241:AG241)</f>
        <v>-544932.29996007599</v>
      </c>
      <c r="N243" s="445"/>
      <c r="O243" s="445"/>
      <c r="P243" s="445"/>
      <c r="Q243" s="491"/>
      <c r="R243" s="445"/>
      <c r="S243" s="445"/>
      <c r="T243" s="445"/>
      <c r="U243" s="445"/>
      <c r="V243" s="445"/>
      <c r="W243" s="445"/>
      <c r="X243" s="445"/>
      <c r="Y243" s="445"/>
      <c r="Z243" s="445"/>
      <c r="AA243" s="445"/>
      <c r="AB243" s="445"/>
      <c r="AC243" s="445"/>
      <c r="AD243" s="445"/>
      <c r="AE243" s="445"/>
      <c r="AF243" s="445"/>
      <c r="AG243" s="445"/>
      <c r="AH243" s="445"/>
      <c r="AI243" s="445"/>
      <c r="AM243" s="535"/>
      <c r="AO243" s="283"/>
      <c r="AP243" s="71"/>
      <c r="AQ243" s="283"/>
      <c r="AR243" s="71"/>
      <c r="AS243" s="283"/>
    </row>
    <row r="244" spans="1:253" s="419" customFormat="1" x14ac:dyDescent="0.2">
      <c r="AM244" s="535"/>
      <c r="AO244" s="283"/>
      <c r="AP244" s="71"/>
      <c r="AQ244" s="283"/>
      <c r="AR244" s="71"/>
      <c r="AS244" s="283"/>
    </row>
    <row r="245" spans="1:253" s="419" customFormat="1" x14ac:dyDescent="0.2">
      <c r="AM245" s="535"/>
      <c r="AO245" s="283"/>
      <c r="AP245" s="71"/>
      <c r="AQ245" s="283"/>
      <c r="AR245" s="71"/>
      <c r="AS245" s="283"/>
    </row>
    <row r="246" spans="1:253" s="419" customFormat="1" ht="32.85" customHeight="1" x14ac:dyDescent="0.25">
      <c r="A246" s="502" t="s">
        <v>459</v>
      </c>
      <c r="B246" s="503"/>
      <c r="C246" s="503"/>
      <c r="D246" s="503"/>
      <c r="E246" s="503"/>
      <c r="F246" s="503"/>
      <c r="G246" s="503"/>
      <c r="H246" s="503"/>
      <c r="I246" s="503"/>
      <c r="J246" s="503"/>
      <c r="K246" s="503"/>
      <c r="L246" s="503"/>
      <c r="M246" s="503"/>
      <c r="N246" s="503"/>
      <c r="O246" s="503"/>
      <c r="P246" s="503"/>
      <c r="Q246" s="503"/>
      <c r="R246" s="503"/>
      <c r="S246" s="503"/>
      <c r="T246" s="503"/>
      <c r="U246" s="503"/>
      <c r="V246" s="456"/>
      <c r="W246" s="456"/>
      <c r="X246" s="456"/>
      <c r="Y246" s="456"/>
      <c r="Z246" s="456"/>
      <c r="AA246" s="456"/>
      <c r="AB246" s="456"/>
      <c r="AC246" s="456"/>
      <c r="AD246" s="456"/>
      <c r="AE246" s="456"/>
      <c r="AF246" s="456"/>
      <c r="AG246" s="456"/>
      <c r="AH246" s="456"/>
      <c r="AI246" s="456"/>
      <c r="AJ246" s="260"/>
      <c r="AK246" s="260"/>
      <c r="AL246" s="260"/>
      <c r="AM246" s="535"/>
      <c r="AN246" s="260"/>
      <c r="AO246" s="283"/>
      <c r="AP246" s="71"/>
      <c r="AQ246" s="283"/>
      <c r="AR246" s="71"/>
      <c r="AS246" s="283"/>
      <c r="AT246" s="260"/>
      <c r="AU246" s="260"/>
      <c r="AV246" s="260"/>
      <c r="AW246" s="260"/>
      <c r="AX246" s="260"/>
      <c r="AY246" s="260"/>
      <c r="AZ246" s="260"/>
      <c r="BA246" s="260"/>
      <c r="BB246" s="260"/>
      <c r="BC246" s="260"/>
      <c r="BD246" s="260"/>
      <c r="BE246" s="260"/>
      <c r="BF246" s="260"/>
      <c r="BG246" s="260"/>
      <c r="BH246" s="260"/>
      <c r="BI246" s="260"/>
      <c r="BJ246" s="260"/>
      <c r="BK246" s="260"/>
      <c r="BL246" s="260"/>
      <c r="BM246" s="260"/>
      <c r="BN246" s="260"/>
      <c r="BO246" s="260"/>
      <c r="BP246" s="260"/>
      <c r="BQ246" s="260"/>
      <c r="BR246" s="260"/>
      <c r="BS246" s="260"/>
      <c r="BT246" s="260"/>
      <c r="BU246" s="260"/>
      <c r="BV246" s="260"/>
      <c r="BW246" s="260"/>
      <c r="BX246" s="260"/>
      <c r="BY246" s="260"/>
      <c r="BZ246" s="260"/>
      <c r="CA246" s="260"/>
      <c r="CB246" s="260"/>
      <c r="CC246" s="260"/>
      <c r="CD246" s="260"/>
      <c r="CE246" s="260"/>
      <c r="CF246" s="260"/>
      <c r="CG246" s="260"/>
      <c r="CH246" s="260"/>
      <c r="CI246" s="260"/>
      <c r="CJ246" s="260"/>
      <c r="CK246" s="260"/>
      <c r="CL246" s="260"/>
      <c r="CM246" s="260"/>
      <c r="CN246" s="260"/>
      <c r="CO246" s="260"/>
      <c r="CP246" s="260"/>
      <c r="CQ246" s="260"/>
      <c r="CR246" s="260"/>
      <c r="CS246" s="260"/>
      <c r="CT246" s="260"/>
      <c r="CU246" s="260"/>
      <c r="CV246" s="260"/>
      <c r="CW246" s="260"/>
      <c r="CX246" s="260"/>
      <c r="CY246" s="260"/>
      <c r="CZ246" s="260"/>
      <c r="DA246" s="260"/>
      <c r="DB246" s="260"/>
      <c r="DC246" s="260"/>
      <c r="DD246" s="260"/>
      <c r="DE246" s="260"/>
      <c r="DF246" s="260"/>
      <c r="DG246" s="260"/>
      <c r="DH246" s="260"/>
      <c r="DI246" s="260"/>
      <c r="DJ246" s="260"/>
      <c r="DK246" s="260"/>
      <c r="DL246" s="260"/>
      <c r="DM246" s="260"/>
      <c r="DN246" s="260"/>
      <c r="DO246" s="260"/>
      <c r="DP246" s="260"/>
      <c r="DQ246" s="260"/>
      <c r="DR246" s="260"/>
      <c r="DS246" s="260"/>
      <c r="DT246" s="260"/>
      <c r="DU246" s="260"/>
      <c r="DV246" s="260"/>
      <c r="DW246" s="260"/>
      <c r="DX246" s="260"/>
      <c r="DY246" s="260"/>
      <c r="DZ246" s="260"/>
      <c r="EA246" s="260"/>
      <c r="EB246" s="260"/>
      <c r="EC246" s="260"/>
      <c r="ED246" s="260"/>
      <c r="EE246" s="260"/>
      <c r="EF246" s="260"/>
      <c r="EG246" s="260"/>
      <c r="EH246" s="260"/>
      <c r="EI246" s="260"/>
      <c r="EJ246" s="260"/>
      <c r="EK246" s="260"/>
      <c r="EL246" s="260"/>
      <c r="EM246" s="260"/>
      <c r="EN246" s="260"/>
      <c r="EO246" s="260"/>
      <c r="EP246" s="260"/>
      <c r="EQ246" s="260"/>
      <c r="ER246" s="260"/>
      <c r="ES246" s="260"/>
      <c r="ET246" s="260"/>
      <c r="EU246" s="260"/>
      <c r="EV246" s="260"/>
      <c r="EW246" s="260"/>
      <c r="EX246" s="260"/>
      <c r="EY246" s="260"/>
      <c r="EZ246" s="260"/>
      <c r="FA246" s="260"/>
      <c r="FB246" s="260"/>
      <c r="FC246" s="260"/>
      <c r="FD246" s="260"/>
      <c r="FE246" s="260"/>
      <c r="FF246" s="260"/>
      <c r="FG246" s="260"/>
      <c r="FH246" s="260"/>
      <c r="FI246" s="260"/>
      <c r="FJ246" s="260"/>
      <c r="FK246" s="260"/>
      <c r="FL246" s="260"/>
      <c r="FM246" s="260"/>
      <c r="FN246" s="260"/>
      <c r="FO246" s="260"/>
      <c r="FP246" s="260"/>
      <c r="FQ246" s="260"/>
      <c r="FR246" s="260"/>
      <c r="FS246" s="260"/>
      <c r="FT246" s="260"/>
      <c r="FU246" s="260"/>
      <c r="FV246" s="260"/>
      <c r="FW246" s="260"/>
      <c r="FX246" s="260"/>
      <c r="FY246" s="260"/>
      <c r="FZ246" s="260"/>
      <c r="GA246" s="260"/>
      <c r="GB246" s="260"/>
      <c r="GC246" s="260"/>
      <c r="GD246" s="260"/>
      <c r="GE246" s="260"/>
      <c r="GF246" s="260"/>
      <c r="GG246" s="260"/>
      <c r="GH246" s="260"/>
      <c r="GI246" s="260"/>
      <c r="GJ246" s="260"/>
      <c r="GK246" s="260"/>
      <c r="GL246" s="260"/>
      <c r="GM246" s="260"/>
      <c r="GN246" s="260"/>
      <c r="GO246" s="260"/>
      <c r="GP246" s="260"/>
      <c r="GQ246" s="260"/>
      <c r="GR246" s="260"/>
      <c r="GS246" s="260"/>
      <c r="GT246" s="260"/>
      <c r="GU246" s="260"/>
      <c r="GV246" s="260"/>
      <c r="GW246" s="260"/>
      <c r="GX246" s="260"/>
      <c r="GY246" s="260"/>
      <c r="GZ246" s="260"/>
      <c r="HA246" s="260"/>
      <c r="HB246" s="260"/>
      <c r="HC246" s="260"/>
      <c r="HD246" s="260"/>
      <c r="HE246" s="260"/>
      <c r="HF246" s="260"/>
      <c r="HG246" s="260"/>
      <c r="HH246" s="260"/>
      <c r="HI246" s="260"/>
      <c r="HJ246" s="260"/>
      <c r="HK246" s="260"/>
      <c r="HL246" s="260"/>
      <c r="HM246" s="260"/>
      <c r="HN246" s="260"/>
      <c r="HO246" s="260"/>
      <c r="HP246" s="260"/>
      <c r="HQ246" s="260"/>
      <c r="HR246" s="260"/>
      <c r="HS246" s="260"/>
      <c r="HT246" s="260"/>
      <c r="HU246" s="260"/>
      <c r="HV246" s="260"/>
      <c r="HW246" s="260"/>
      <c r="HX246" s="260"/>
      <c r="HY246" s="260"/>
      <c r="HZ246" s="260"/>
      <c r="IA246" s="260"/>
      <c r="IB246" s="260"/>
      <c r="IC246" s="260"/>
      <c r="ID246" s="260"/>
      <c r="IE246" s="260"/>
      <c r="IF246" s="260"/>
      <c r="IG246" s="260"/>
      <c r="IH246" s="260"/>
      <c r="II246" s="260"/>
      <c r="IJ246" s="260"/>
      <c r="IK246" s="260"/>
      <c r="IL246" s="260"/>
      <c r="IM246" s="260"/>
      <c r="IN246" s="260"/>
      <c r="IO246" s="260"/>
      <c r="IP246" s="260"/>
      <c r="IQ246" s="260"/>
      <c r="IR246" s="260"/>
      <c r="IS246" s="260"/>
    </row>
    <row r="247" spans="1:253" s="419" customFormat="1" x14ac:dyDescent="0.2">
      <c r="A247" s="504"/>
      <c r="B247" s="423"/>
      <c r="C247" s="423"/>
      <c r="D247" s="423"/>
      <c r="E247" s="423"/>
      <c r="F247" s="458"/>
      <c r="G247" s="423"/>
      <c r="H247" s="423"/>
      <c r="I247" s="423"/>
      <c r="J247" s="458" t="s">
        <v>21</v>
      </c>
      <c r="K247" s="423"/>
      <c r="L247" s="458"/>
      <c r="M247" s="423"/>
      <c r="N247" s="423"/>
      <c r="O247" s="423"/>
      <c r="P247" s="505"/>
      <c r="Q247" s="505"/>
      <c r="R247" s="505"/>
      <c r="S247" s="505"/>
      <c r="T247" s="505"/>
      <c r="U247" s="505"/>
      <c r="V247" s="505"/>
      <c r="W247" s="505"/>
      <c r="X247" s="505"/>
      <c r="Y247" s="505"/>
      <c r="Z247" s="505"/>
      <c r="AA247" s="505"/>
      <c r="AB247" s="505"/>
      <c r="AC247" s="505"/>
      <c r="AD247" s="505"/>
      <c r="AE247" s="505"/>
      <c r="AF247" s="505"/>
      <c r="AG247" s="505"/>
      <c r="AH247" s="505"/>
      <c r="AI247" s="505"/>
      <c r="AJ247" s="260"/>
      <c r="AK247" s="260"/>
      <c r="AL247" s="260"/>
      <c r="AM247" s="535"/>
      <c r="AN247" s="260"/>
      <c r="AO247" s="283"/>
      <c r="AP247" s="71"/>
      <c r="AQ247" s="283"/>
      <c r="AR247" s="71"/>
      <c r="AS247" s="283"/>
      <c r="AT247" s="260"/>
      <c r="AU247" s="260"/>
      <c r="AV247" s="260"/>
      <c r="AW247" s="260"/>
      <c r="AX247" s="260"/>
      <c r="AY247" s="260"/>
      <c r="AZ247" s="260"/>
      <c r="BA247" s="260"/>
      <c r="BB247" s="260"/>
      <c r="BC247" s="260"/>
      <c r="BD247" s="260"/>
      <c r="BE247" s="260"/>
      <c r="BF247" s="260"/>
      <c r="BG247" s="260"/>
      <c r="BH247" s="260"/>
      <c r="BI247" s="260"/>
      <c r="BJ247" s="260"/>
      <c r="BK247" s="260"/>
      <c r="BL247" s="260"/>
      <c r="BM247" s="260"/>
      <c r="BN247" s="260"/>
      <c r="BO247" s="260"/>
      <c r="BP247" s="260"/>
      <c r="BQ247" s="260"/>
      <c r="BR247" s="260"/>
      <c r="BS247" s="260"/>
      <c r="BT247" s="260"/>
      <c r="BU247" s="260"/>
      <c r="BV247" s="260"/>
      <c r="BW247" s="260"/>
      <c r="BX247" s="260"/>
      <c r="BY247" s="260"/>
      <c r="BZ247" s="260"/>
      <c r="CA247" s="260"/>
      <c r="CB247" s="260"/>
      <c r="CC247" s="260"/>
      <c r="CD247" s="260"/>
      <c r="CE247" s="260"/>
      <c r="CF247" s="260"/>
      <c r="CG247" s="260"/>
      <c r="CH247" s="260"/>
      <c r="CI247" s="260"/>
      <c r="CJ247" s="260"/>
      <c r="CK247" s="260"/>
      <c r="CL247" s="260"/>
      <c r="CM247" s="260"/>
      <c r="CN247" s="260"/>
      <c r="CO247" s="260"/>
      <c r="CP247" s="260"/>
      <c r="CQ247" s="260"/>
      <c r="CR247" s="260"/>
      <c r="CS247" s="260"/>
      <c r="CT247" s="260"/>
      <c r="CU247" s="260"/>
      <c r="CV247" s="260"/>
      <c r="CW247" s="260"/>
      <c r="CX247" s="260"/>
      <c r="CY247" s="260"/>
      <c r="CZ247" s="260"/>
      <c r="DA247" s="260"/>
      <c r="DB247" s="260"/>
      <c r="DC247" s="260"/>
      <c r="DD247" s="260"/>
      <c r="DE247" s="260"/>
      <c r="DF247" s="260"/>
      <c r="DG247" s="260"/>
      <c r="DH247" s="260"/>
      <c r="DI247" s="260"/>
      <c r="DJ247" s="260"/>
      <c r="DK247" s="260"/>
      <c r="DL247" s="260"/>
      <c r="DM247" s="260"/>
      <c r="DN247" s="260"/>
      <c r="DO247" s="260"/>
      <c r="DP247" s="260"/>
      <c r="DQ247" s="260"/>
      <c r="DR247" s="260"/>
      <c r="DS247" s="260"/>
      <c r="DT247" s="260"/>
      <c r="DU247" s="260"/>
      <c r="DV247" s="260"/>
      <c r="DW247" s="260"/>
      <c r="DX247" s="260"/>
      <c r="DY247" s="260"/>
      <c r="DZ247" s="260"/>
      <c r="EA247" s="260"/>
      <c r="EB247" s="260"/>
      <c r="EC247" s="260"/>
      <c r="ED247" s="260"/>
      <c r="EE247" s="260"/>
      <c r="EF247" s="260"/>
      <c r="EG247" s="260"/>
      <c r="EH247" s="260"/>
      <c r="EI247" s="260"/>
      <c r="EJ247" s="260"/>
      <c r="EK247" s="260"/>
      <c r="EL247" s="260"/>
      <c r="EM247" s="260"/>
      <c r="EN247" s="260"/>
      <c r="EO247" s="260"/>
      <c r="EP247" s="260"/>
      <c r="EQ247" s="260"/>
      <c r="ER247" s="260"/>
      <c r="ES247" s="260"/>
      <c r="ET247" s="260"/>
      <c r="EU247" s="260"/>
      <c r="EV247" s="260"/>
      <c r="EW247" s="260"/>
      <c r="EX247" s="260"/>
      <c r="EY247" s="260"/>
      <c r="EZ247" s="260"/>
      <c r="FA247" s="260"/>
      <c r="FB247" s="260"/>
      <c r="FC247" s="260"/>
      <c r="FD247" s="260"/>
      <c r="FE247" s="260"/>
      <c r="FF247" s="260"/>
      <c r="FG247" s="260"/>
      <c r="FH247" s="260"/>
      <c r="FI247" s="260"/>
      <c r="FJ247" s="260"/>
      <c r="FK247" s="260"/>
      <c r="FL247" s="260"/>
      <c r="FM247" s="260"/>
      <c r="FN247" s="260"/>
      <c r="FO247" s="260"/>
      <c r="FP247" s="260"/>
      <c r="FQ247" s="260"/>
      <c r="FR247" s="260"/>
      <c r="FS247" s="260"/>
      <c r="FT247" s="260"/>
      <c r="FU247" s="260"/>
      <c r="FV247" s="260"/>
      <c r="FW247" s="260"/>
      <c r="FX247" s="260"/>
      <c r="FY247" s="260"/>
      <c r="FZ247" s="260"/>
      <c r="GA247" s="260"/>
      <c r="GB247" s="260"/>
      <c r="GC247" s="260"/>
      <c r="GD247" s="260"/>
      <c r="GE247" s="260"/>
      <c r="GF247" s="260"/>
      <c r="GG247" s="260"/>
      <c r="GH247" s="260"/>
      <c r="GI247" s="260"/>
      <c r="GJ247" s="260"/>
      <c r="GK247" s="260"/>
      <c r="GL247" s="260"/>
      <c r="GM247" s="260"/>
      <c r="GN247" s="260"/>
      <c r="GO247" s="260"/>
      <c r="GP247" s="260"/>
      <c r="GQ247" s="260"/>
      <c r="GR247" s="260"/>
      <c r="GS247" s="260"/>
      <c r="GT247" s="260"/>
      <c r="GU247" s="260"/>
      <c r="GV247" s="260"/>
      <c r="GW247" s="260"/>
      <c r="GX247" s="260"/>
      <c r="GY247" s="260"/>
      <c r="GZ247" s="260"/>
      <c r="HA247" s="260"/>
      <c r="HB247" s="260"/>
      <c r="HC247" s="260"/>
      <c r="HD247" s="260"/>
      <c r="HE247" s="260"/>
      <c r="HF247" s="260"/>
      <c r="HG247" s="260"/>
      <c r="HH247" s="260"/>
      <c r="HI247" s="260"/>
      <c r="HJ247" s="260"/>
      <c r="HK247" s="260"/>
      <c r="HL247" s="260"/>
      <c r="HM247" s="260"/>
      <c r="HN247" s="260"/>
      <c r="HO247" s="260"/>
      <c r="HP247" s="260"/>
      <c r="HQ247" s="260"/>
      <c r="HR247" s="260"/>
      <c r="HS247" s="260"/>
      <c r="HT247" s="260"/>
      <c r="HU247" s="260"/>
      <c r="HV247" s="260"/>
      <c r="HW247" s="260"/>
      <c r="HX247" s="260"/>
      <c r="HY247" s="260"/>
      <c r="HZ247" s="260"/>
      <c r="IA247" s="260"/>
      <c r="IB247" s="260"/>
      <c r="IC247" s="260"/>
      <c r="ID247" s="260"/>
      <c r="IE247" s="260"/>
      <c r="IF247" s="260"/>
      <c r="IG247" s="260"/>
      <c r="IH247" s="260"/>
      <c r="II247" s="260"/>
      <c r="IJ247" s="260"/>
      <c r="IK247" s="260"/>
      <c r="IL247" s="260"/>
      <c r="IM247" s="260"/>
      <c r="IN247" s="260"/>
      <c r="IO247" s="260"/>
      <c r="IP247" s="260"/>
      <c r="IQ247" s="260"/>
      <c r="IR247" s="260"/>
      <c r="IS247" s="260"/>
    </row>
    <row r="248" spans="1:253" s="419" customFormat="1" x14ac:dyDescent="0.2">
      <c r="A248" s="506"/>
      <c r="B248" s="431">
        <f>Aprekini!B5</f>
        <v>2014</v>
      </c>
      <c r="C248" s="431">
        <f t="shared" ref="C248:AG248" si="85">B248+1</f>
        <v>2015</v>
      </c>
      <c r="D248" s="431">
        <f t="shared" si="85"/>
        <v>2016</v>
      </c>
      <c r="E248" s="431">
        <f t="shared" si="85"/>
        <v>2017</v>
      </c>
      <c r="F248" s="431">
        <f t="shared" si="85"/>
        <v>2018</v>
      </c>
      <c r="G248" s="431">
        <f t="shared" si="85"/>
        <v>2019</v>
      </c>
      <c r="H248" s="431">
        <f t="shared" si="85"/>
        <v>2020</v>
      </c>
      <c r="I248" s="431">
        <f t="shared" si="85"/>
        <v>2021</v>
      </c>
      <c r="J248" s="431">
        <f t="shared" si="85"/>
        <v>2022</v>
      </c>
      <c r="K248" s="431">
        <f t="shared" si="85"/>
        <v>2023</v>
      </c>
      <c r="L248" s="507">
        <f t="shared" si="85"/>
        <v>2024</v>
      </c>
      <c r="M248" s="508">
        <f t="shared" si="85"/>
        <v>2025</v>
      </c>
      <c r="N248" s="508">
        <f t="shared" si="85"/>
        <v>2026</v>
      </c>
      <c r="O248" s="508">
        <f t="shared" si="85"/>
        <v>2027</v>
      </c>
      <c r="P248" s="508">
        <f t="shared" si="85"/>
        <v>2028</v>
      </c>
      <c r="Q248" s="508">
        <f t="shared" si="85"/>
        <v>2029</v>
      </c>
      <c r="R248" s="508">
        <f t="shared" si="85"/>
        <v>2030</v>
      </c>
      <c r="S248" s="508">
        <f t="shared" si="85"/>
        <v>2031</v>
      </c>
      <c r="T248" s="508">
        <f t="shared" si="85"/>
        <v>2032</v>
      </c>
      <c r="U248" s="508">
        <f t="shared" si="85"/>
        <v>2033</v>
      </c>
      <c r="V248" s="508">
        <f t="shared" si="85"/>
        <v>2034</v>
      </c>
      <c r="W248" s="508">
        <f t="shared" si="85"/>
        <v>2035</v>
      </c>
      <c r="X248" s="508">
        <f t="shared" si="85"/>
        <v>2036</v>
      </c>
      <c r="Y248" s="508">
        <f t="shared" si="85"/>
        <v>2037</v>
      </c>
      <c r="Z248" s="508">
        <f t="shared" si="85"/>
        <v>2038</v>
      </c>
      <c r="AA248" s="508">
        <f t="shared" si="85"/>
        <v>2039</v>
      </c>
      <c r="AB248" s="508">
        <f t="shared" si="85"/>
        <v>2040</v>
      </c>
      <c r="AC248" s="508">
        <f t="shared" si="85"/>
        <v>2041</v>
      </c>
      <c r="AD248" s="508">
        <f t="shared" si="85"/>
        <v>2042</v>
      </c>
      <c r="AE248" s="508">
        <f t="shared" si="85"/>
        <v>2043</v>
      </c>
      <c r="AF248" s="508">
        <f t="shared" si="85"/>
        <v>2044</v>
      </c>
      <c r="AG248" s="508">
        <f t="shared" si="85"/>
        <v>2045</v>
      </c>
      <c r="AH248" s="508">
        <f>AG248+1</f>
        <v>2046</v>
      </c>
      <c r="AI248" s="508"/>
      <c r="AJ248" s="260"/>
      <c r="AK248" s="260"/>
      <c r="AL248" s="260"/>
      <c r="AM248" s="535"/>
      <c r="AN248" s="260"/>
      <c r="AO248" s="283"/>
      <c r="AP248" s="71"/>
      <c r="AQ248" s="283"/>
      <c r="AR248" s="71"/>
      <c r="AS248" s="283"/>
      <c r="AT248" s="260"/>
      <c r="AU248" s="260"/>
      <c r="AV248" s="260"/>
      <c r="AW248" s="260"/>
      <c r="AX248" s="260"/>
      <c r="AY248" s="260"/>
      <c r="AZ248" s="260"/>
      <c r="BA248" s="260"/>
      <c r="BB248" s="260"/>
      <c r="BC248" s="260"/>
      <c r="BD248" s="260"/>
      <c r="BE248" s="260"/>
      <c r="BF248" s="260"/>
      <c r="BG248" s="260"/>
      <c r="BH248" s="260"/>
      <c r="BI248" s="260"/>
      <c r="BJ248" s="260"/>
      <c r="BK248" s="260"/>
      <c r="BL248" s="260"/>
      <c r="BM248" s="260"/>
      <c r="BN248" s="260"/>
      <c r="BO248" s="260"/>
      <c r="BP248" s="260"/>
      <c r="BQ248" s="260"/>
      <c r="BR248" s="260"/>
      <c r="BS248" s="260"/>
      <c r="BT248" s="260"/>
      <c r="BU248" s="260"/>
      <c r="BV248" s="260"/>
      <c r="BW248" s="260"/>
      <c r="BX248" s="260"/>
      <c r="BY248" s="260"/>
      <c r="BZ248" s="260"/>
      <c r="CA248" s="260"/>
      <c r="CB248" s="260"/>
      <c r="CC248" s="260"/>
      <c r="CD248" s="260"/>
      <c r="CE248" s="260"/>
      <c r="CF248" s="260"/>
      <c r="CG248" s="260"/>
      <c r="CH248" s="260"/>
      <c r="CI248" s="260"/>
      <c r="CJ248" s="260"/>
      <c r="CK248" s="260"/>
      <c r="CL248" s="260"/>
      <c r="CM248" s="260"/>
      <c r="CN248" s="260"/>
      <c r="CO248" s="260"/>
      <c r="CP248" s="260"/>
      <c r="CQ248" s="260"/>
      <c r="CR248" s="260"/>
      <c r="CS248" s="260"/>
      <c r="CT248" s="260"/>
      <c r="CU248" s="260"/>
      <c r="CV248" s="260"/>
      <c r="CW248" s="260"/>
      <c r="CX248" s="260"/>
      <c r="CY248" s="260"/>
      <c r="CZ248" s="260"/>
      <c r="DA248" s="260"/>
      <c r="DB248" s="260"/>
      <c r="DC248" s="260"/>
      <c r="DD248" s="260"/>
      <c r="DE248" s="260"/>
      <c r="DF248" s="260"/>
      <c r="DG248" s="260"/>
      <c r="DH248" s="260"/>
      <c r="DI248" s="260"/>
      <c r="DJ248" s="260"/>
      <c r="DK248" s="260"/>
      <c r="DL248" s="260"/>
      <c r="DM248" s="260"/>
      <c r="DN248" s="260"/>
      <c r="DO248" s="260"/>
      <c r="DP248" s="260"/>
      <c r="DQ248" s="260"/>
      <c r="DR248" s="260"/>
      <c r="DS248" s="260"/>
      <c r="DT248" s="260"/>
      <c r="DU248" s="260"/>
      <c r="DV248" s="260"/>
      <c r="DW248" s="260"/>
      <c r="DX248" s="260"/>
      <c r="DY248" s="260"/>
      <c r="DZ248" s="260"/>
      <c r="EA248" s="260"/>
      <c r="EB248" s="260"/>
      <c r="EC248" s="260"/>
      <c r="ED248" s="260"/>
      <c r="EE248" s="260"/>
      <c r="EF248" s="260"/>
      <c r="EG248" s="260"/>
      <c r="EH248" s="260"/>
      <c r="EI248" s="260"/>
      <c r="EJ248" s="260"/>
      <c r="EK248" s="260"/>
      <c r="EL248" s="260"/>
      <c r="EM248" s="260"/>
      <c r="EN248" s="260"/>
      <c r="EO248" s="260"/>
      <c r="EP248" s="260"/>
      <c r="EQ248" s="260"/>
      <c r="ER248" s="260"/>
      <c r="ES248" s="260"/>
      <c r="ET248" s="260"/>
      <c r="EU248" s="260"/>
      <c r="EV248" s="260"/>
      <c r="EW248" s="260"/>
      <c r="EX248" s="260"/>
      <c r="EY248" s="260"/>
      <c r="EZ248" s="260"/>
      <c r="FA248" s="260"/>
      <c r="FB248" s="260"/>
      <c r="FC248" s="260"/>
      <c r="FD248" s="260"/>
      <c r="FE248" s="260"/>
      <c r="FF248" s="260"/>
      <c r="FG248" s="260"/>
      <c r="FH248" s="260"/>
      <c r="FI248" s="260"/>
      <c r="FJ248" s="260"/>
      <c r="FK248" s="260"/>
      <c r="FL248" s="260"/>
      <c r="FM248" s="260"/>
      <c r="FN248" s="260"/>
      <c r="FO248" s="260"/>
      <c r="FP248" s="260"/>
      <c r="FQ248" s="260"/>
      <c r="FR248" s="260"/>
      <c r="FS248" s="260"/>
      <c r="FT248" s="260"/>
      <c r="FU248" s="260"/>
      <c r="FV248" s="260"/>
      <c r="FW248" s="260"/>
      <c r="FX248" s="260"/>
      <c r="FY248" s="260"/>
      <c r="FZ248" s="260"/>
      <c r="GA248" s="260"/>
      <c r="GB248" s="260"/>
      <c r="GC248" s="260"/>
      <c r="GD248" s="260"/>
      <c r="GE248" s="260"/>
      <c r="GF248" s="260"/>
      <c r="GG248" s="260"/>
      <c r="GH248" s="260"/>
      <c r="GI248" s="260"/>
      <c r="GJ248" s="260"/>
      <c r="GK248" s="260"/>
      <c r="GL248" s="260"/>
      <c r="GM248" s="260"/>
      <c r="GN248" s="260"/>
      <c r="GO248" s="260"/>
      <c r="GP248" s="260"/>
      <c r="GQ248" s="260"/>
      <c r="GR248" s="260"/>
      <c r="GS248" s="260"/>
      <c r="GT248" s="260"/>
      <c r="GU248" s="260"/>
      <c r="GV248" s="260"/>
      <c r="GW248" s="260"/>
      <c r="GX248" s="260"/>
      <c r="GY248" s="260"/>
      <c r="GZ248" s="260"/>
      <c r="HA248" s="260"/>
      <c r="HB248" s="260"/>
      <c r="HC248" s="260"/>
      <c r="HD248" s="260"/>
      <c r="HE248" s="260"/>
      <c r="HF248" s="260"/>
      <c r="HG248" s="260"/>
      <c r="HH248" s="260"/>
      <c r="HI248" s="260"/>
      <c r="HJ248" s="260"/>
      <c r="HK248" s="260"/>
      <c r="HL248" s="260"/>
      <c r="HM248" s="260"/>
      <c r="HN248" s="260"/>
      <c r="HO248" s="260"/>
      <c r="HP248" s="260"/>
      <c r="HQ248" s="260"/>
      <c r="HR248" s="260"/>
      <c r="HS248" s="260"/>
      <c r="HT248" s="260"/>
      <c r="HU248" s="260"/>
      <c r="HV248" s="260"/>
      <c r="HW248" s="260"/>
      <c r="HX248" s="260"/>
      <c r="HY248" s="260"/>
      <c r="HZ248" s="260"/>
      <c r="IA248" s="260"/>
      <c r="IB248" s="260"/>
      <c r="IC248" s="260"/>
      <c r="ID248" s="260"/>
      <c r="IE248" s="260"/>
      <c r="IF248" s="260"/>
      <c r="IG248" s="260"/>
      <c r="IH248" s="260"/>
      <c r="II248" s="260"/>
      <c r="IJ248" s="260"/>
      <c r="IK248" s="260"/>
      <c r="IL248" s="260"/>
      <c r="IM248" s="260"/>
      <c r="IN248" s="260"/>
      <c r="IO248" s="260"/>
      <c r="IP248" s="260"/>
      <c r="IQ248" s="260"/>
      <c r="IR248" s="260"/>
      <c r="IS248" s="260"/>
    </row>
    <row r="249" spans="1:253" s="419" customFormat="1" ht="25.5" x14ac:dyDescent="0.2">
      <c r="A249" s="424" t="s">
        <v>593</v>
      </c>
      <c r="B249" s="509"/>
      <c r="C249" s="509"/>
      <c r="D249" s="509"/>
      <c r="E249" s="509"/>
      <c r="F249" s="509"/>
      <c r="G249" s="509"/>
      <c r="H249" s="509"/>
      <c r="I249" s="509"/>
      <c r="J249" s="509"/>
      <c r="K249" s="509"/>
      <c r="L249" s="509"/>
      <c r="M249" s="509"/>
      <c r="N249" s="509"/>
      <c r="O249" s="509"/>
      <c r="P249" s="509"/>
      <c r="Q249" s="509"/>
      <c r="R249" s="509"/>
      <c r="S249" s="509"/>
      <c r="T249" s="509"/>
      <c r="U249" s="509"/>
      <c r="V249" s="509"/>
      <c r="W249" s="509"/>
      <c r="X249" s="509"/>
      <c r="Y249" s="509"/>
      <c r="Z249" s="510"/>
      <c r="AA249" s="510"/>
      <c r="AB249" s="510"/>
      <c r="AC249" s="510"/>
      <c r="AD249" s="510"/>
      <c r="AE249" s="510"/>
      <c r="AF249" s="510"/>
      <c r="AG249" s="510"/>
      <c r="AH249" s="510"/>
      <c r="AI249" s="510"/>
      <c r="AJ249" s="260"/>
      <c r="AK249" s="260"/>
      <c r="AL249" s="260"/>
      <c r="AM249" s="535"/>
      <c r="AN249" s="260"/>
      <c r="AO249" s="283"/>
      <c r="AP249" s="71"/>
      <c r="AQ249" s="283"/>
      <c r="AR249" s="71"/>
      <c r="AS249" s="283"/>
      <c r="AT249" s="260"/>
      <c r="AU249" s="260"/>
      <c r="AV249" s="260"/>
      <c r="AW249" s="260"/>
      <c r="AX249" s="260"/>
      <c r="AY249" s="260"/>
      <c r="AZ249" s="260"/>
      <c r="BA249" s="260"/>
      <c r="BB249" s="260"/>
      <c r="BC249" s="260"/>
      <c r="BD249" s="260"/>
      <c r="BE249" s="260"/>
      <c r="BF249" s="260"/>
      <c r="BG249" s="260"/>
      <c r="BH249" s="260"/>
      <c r="BI249" s="260"/>
      <c r="BJ249" s="260"/>
      <c r="BK249" s="260"/>
      <c r="BL249" s="260"/>
      <c r="BM249" s="260"/>
      <c r="BN249" s="260"/>
      <c r="BO249" s="260"/>
      <c r="BP249" s="260"/>
      <c r="BQ249" s="260"/>
      <c r="BR249" s="260"/>
      <c r="BS249" s="260"/>
      <c r="BT249" s="260"/>
      <c r="BU249" s="260"/>
      <c r="BV249" s="260"/>
      <c r="BW249" s="260"/>
      <c r="BX249" s="260"/>
      <c r="BY249" s="260"/>
      <c r="BZ249" s="260"/>
      <c r="CA249" s="260"/>
      <c r="CB249" s="260"/>
      <c r="CC249" s="260"/>
      <c r="CD249" s="260"/>
      <c r="CE249" s="260"/>
      <c r="CF249" s="260"/>
      <c r="CG249" s="260"/>
      <c r="CH249" s="260"/>
      <c r="CI249" s="260"/>
      <c r="CJ249" s="260"/>
      <c r="CK249" s="260"/>
      <c r="CL249" s="260"/>
      <c r="CM249" s="260"/>
      <c r="CN249" s="260"/>
      <c r="CO249" s="260"/>
      <c r="CP249" s="260"/>
      <c r="CQ249" s="260"/>
      <c r="CR249" s="260"/>
      <c r="CS249" s="260"/>
      <c r="CT249" s="260"/>
      <c r="CU249" s="260"/>
      <c r="CV249" s="260"/>
      <c r="CW249" s="260"/>
      <c r="CX249" s="260"/>
      <c r="CY249" s="260"/>
      <c r="CZ249" s="260"/>
      <c r="DA249" s="260"/>
      <c r="DB249" s="260"/>
      <c r="DC249" s="260"/>
      <c r="DD249" s="260"/>
      <c r="DE249" s="260"/>
      <c r="DF249" s="260"/>
      <c r="DG249" s="260"/>
      <c r="DH249" s="260"/>
      <c r="DI249" s="260"/>
      <c r="DJ249" s="260"/>
      <c r="DK249" s="260"/>
      <c r="DL249" s="260"/>
      <c r="DM249" s="260"/>
      <c r="DN249" s="260"/>
      <c r="DO249" s="260"/>
      <c r="DP249" s="260"/>
      <c r="DQ249" s="260"/>
      <c r="DR249" s="260"/>
      <c r="DS249" s="260"/>
      <c r="DT249" s="260"/>
      <c r="DU249" s="260"/>
      <c r="DV249" s="260"/>
      <c r="DW249" s="260"/>
      <c r="DX249" s="260"/>
      <c r="DY249" s="260"/>
      <c r="DZ249" s="260"/>
      <c r="EA249" s="260"/>
      <c r="EB249" s="260"/>
      <c r="EC249" s="260"/>
      <c r="ED249" s="260"/>
      <c r="EE249" s="260"/>
      <c r="EF249" s="260"/>
      <c r="EG249" s="260"/>
      <c r="EH249" s="260"/>
      <c r="EI249" s="260"/>
      <c r="EJ249" s="260"/>
      <c r="EK249" s="260"/>
      <c r="EL249" s="260"/>
      <c r="EM249" s="260"/>
      <c r="EN249" s="260"/>
      <c r="EO249" s="260"/>
      <c r="EP249" s="260"/>
      <c r="EQ249" s="260"/>
      <c r="ER249" s="260"/>
      <c r="ES249" s="260"/>
      <c r="ET249" s="260"/>
      <c r="EU249" s="260"/>
      <c r="EV249" s="260"/>
      <c r="EW249" s="260"/>
      <c r="EX249" s="260"/>
      <c r="EY249" s="260"/>
      <c r="EZ249" s="260"/>
      <c r="FA249" s="260"/>
      <c r="FB249" s="260"/>
      <c r="FC249" s="260"/>
      <c r="FD249" s="260"/>
      <c r="FE249" s="260"/>
      <c r="FF249" s="260"/>
      <c r="FG249" s="260"/>
      <c r="FH249" s="260"/>
      <c r="FI249" s="260"/>
      <c r="FJ249" s="260"/>
      <c r="FK249" s="260"/>
      <c r="FL249" s="260"/>
      <c r="FM249" s="260"/>
      <c r="FN249" s="260"/>
      <c r="FO249" s="260"/>
      <c r="FP249" s="260"/>
      <c r="FQ249" s="260"/>
      <c r="FR249" s="260"/>
      <c r="FS249" s="260"/>
      <c r="FT249" s="260"/>
      <c r="FU249" s="260"/>
      <c r="FV249" s="260"/>
      <c r="FW249" s="260"/>
      <c r="FX249" s="260"/>
      <c r="FY249" s="260"/>
      <c r="FZ249" s="260"/>
      <c r="GA249" s="260"/>
      <c r="GB249" s="260"/>
      <c r="GC249" s="260"/>
      <c r="GD249" s="260"/>
      <c r="GE249" s="260"/>
      <c r="GF249" s="260"/>
      <c r="GG249" s="260"/>
      <c r="GH249" s="260"/>
      <c r="GI249" s="260"/>
      <c r="GJ249" s="260"/>
      <c r="GK249" s="260"/>
      <c r="GL249" s="260"/>
      <c r="GM249" s="260"/>
      <c r="GN249" s="260"/>
      <c r="GO249" s="260"/>
      <c r="GP249" s="260"/>
      <c r="GQ249" s="260"/>
      <c r="GR249" s="260"/>
      <c r="GS249" s="260"/>
      <c r="GT249" s="260"/>
      <c r="GU249" s="260"/>
      <c r="GV249" s="260"/>
      <c r="GW249" s="260"/>
      <c r="GX249" s="260"/>
      <c r="GY249" s="260"/>
      <c r="GZ249" s="260"/>
      <c r="HA249" s="260"/>
      <c r="HB249" s="260"/>
      <c r="HC249" s="260"/>
      <c r="HD249" s="260"/>
      <c r="HE249" s="260"/>
      <c r="HF249" s="260"/>
      <c r="HG249" s="260"/>
      <c r="HH249" s="260"/>
      <c r="HI249" s="260"/>
      <c r="HJ249" s="260"/>
      <c r="HK249" s="260"/>
      <c r="HL249" s="260"/>
      <c r="HM249" s="260"/>
      <c r="HN249" s="260"/>
      <c r="HO249" s="260"/>
      <c r="HP249" s="260"/>
      <c r="HQ249" s="260"/>
      <c r="HR249" s="260"/>
      <c r="HS249" s="260"/>
      <c r="HT249" s="260"/>
      <c r="HU249" s="260"/>
      <c r="HV249" s="260"/>
      <c r="HW249" s="260"/>
      <c r="HX249" s="260"/>
      <c r="HY249" s="260"/>
      <c r="HZ249" s="260"/>
      <c r="IA249" s="260"/>
      <c r="IB249" s="260"/>
      <c r="IC249" s="260"/>
      <c r="ID249" s="260"/>
      <c r="IE249" s="260"/>
      <c r="IF249" s="260"/>
      <c r="IG249" s="260"/>
      <c r="IH249" s="260"/>
      <c r="II249" s="260"/>
      <c r="IJ249" s="260"/>
      <c r="IK249" s="260"/>
      <c r="IL249" s="260"/>
      <c r="IM249" s="260"/>
      <c r="IN249" s="260"/>
      <c r="IO249" s="260"/>
      <c r="IP249" s="260"/>
      <c r="IQ249" s="260"/>
      <c r="IR249" s="260"/>
      <c r="IS249" s="260"/>
    </row>
    <row r="250" spans="1:253" s="419" customFormat="1" x14ac:dyDescent="0.2">
      <c r="A250" s="481" t="s">
        <v>222</v>
      </c>
      <c r="B250" s="511">
        <f>'Datu ievade'!$B$93</f>
        <v>1.349E-2</v>
      </c>
      <c r="C250" s="511"/>
      <c r="D250" s="511"/>
      <c r="E250" s="511"/>
      <c r="F250" s="511"/>
      <c r="G250" s="511"/>
      <c r="H250" s="511"/>
      <c r="I250" s="511"/>
      <c r="J250" s="511"/>
      <c r="K250" s="511"/>
      <c r="L250" s="511"/>
      <c r="M250" s="511"/>
      <c r="N250" s="511"/>
      <c r="O250" s="511"/>
      <c r="P250" s="511"/>
      <c r="Q250" s="511"/>
      <c r="R250" s="511"/>
      <c r="S250" s="511"/>
      <c r="T250" s="511"/>
      <c r="U250" s="511"/>
      <c r="V250" s="511"/>
      <c r="W250" s="511"/>
      <c r="X250" s="511"/>
      <c r="Y250" s="511"/>
      <c r="Z250" s="511"/>
      <c r="AA250" s="511"/>
      <c r="AB250" s="511"/>
      <c r="AC250" s="511"/>
      <c r="AD250" s="511"/>
      <c r="AE250" s="511"/>
      <c r="AF250" s="511"/>
      <c r="AG250" s="511"/>
      <c r="AH250" s="511"/>
      <c r="AI250" s="511"/>
      <c r="AJ250" s="260"/>
      <c r="AK250" s="260"/>
      <c r="AL250" s="260"/>
      <c r="AM250" s="535"/>
      <c r="AN250" s="260"/>
      <c r="AO250" s="283"/>
      <c r="AP250" s="71"/>
      <c r="AQ250" s="283"/>
      <c r="AR250" s="71"/>
      <c r="AS250" s="283"/>
      <c r="AT250" s="260"/>
      <c r="AU250" s="260"/>
      <c r="AV250" s="260"/>
      <c r="AW250" s="260"/>
      <c r="AX250" s="260"/>
      <c r="AY250" s="260"/>
      <c r="AZ250" s="260"/>
      <c r="BA250" s="260"/>
      <c r="BB250" s="260"/>
      <c r="BC250" s="260"/>
      <c r="BD250" s="260"/>
      <c r="BE250" s="260"/>
      <c r="BF250" s="260"/>
      <c r="BG250" s="260"/>
      <c r="BH250" s="260"/>
      <c r="BI250" s="260"/>
      <c r="BJ250" s="260"/>
      <c r="BK250" s="260"/>
      <c r="BL250" s="260"/>
      <c r="BM250" s="260"/>
      <c r="BN250" s="260"/>
      <c r="BO250" s="260"/>
      <c r="BP250" s="260"/>
      <c r="BQ250" s="260"/>
      <c r="BR250" s="260"/>
      <c r="BS250" s="260"/>
      <c r="BT250" s="260"/>
      <c r="BU250" s="260"/>
      <c r="BV250" s="260"/>
      <c r="BW250" s="260"/>
      <c r="BX250" s="260"/>
      <c r="BY250" s="260"/>
      <c r="BZ250" s="260"/>
      <c r="CA250" s="260"/>
      <c r="CB250" s="260"/>
      <c r="CC250" s="260"/>
      <c r="CD250" s="260"/>
      <c r="CE250" s="260"/>
      <c r="CF250" s="260"/>
      <c r="CG250" s="260"/>
      <c r="CH250" s="260"/>
      <c r="CI250" s="260"/>
      <c r="CJ250" s="260"/>
      <c r="CK250" s="260"/>
      <c r="CL250" s="260"/>
      <c r="CM250" s="260"/>
      <c r="CN250" s="260"/>
      <c r="CO250" s="260"/>
      <c r="CP250" s="260"/>
      <c r="CQ250" s="260"/>
      <c r="CR250" s="260"/>
      <c r="CS250" s="260"/>
      <c r="CT250" s="260"/>
      <c r="CU250" s="260"/>
      <c r="CV250" s="260"/>
      <c r="CW250" s="260"/>
      <c r="CX250" s="260"/>
      <c r="CY250" s="260"/>
      <c r="CZ250" s="260"/>
      <c r="DA250" s="260"/>
      <c r="DB250" s="260"/>
      <c r="DC250" s="260"/>
      <c r="DD250" s="260"/>
      <c r="DE250" s="260"/>
      <c r="DF250" s="260"/>
      <c r="DG250" s="260"/>
      <c r="DH250" s="260"/>
      <c r="DI250" s="260"/>
      <c r="DJ250" s="260"/>
      <c r="DK250" s="260"/>
      <c r="DL250" s="260"/>
      <c r="DM250" s="260"/>
      <c r="DN250" s="260"/>
      <c r="DO250" s="260"/>
      <c r="DP250" s="260"/>
      <c r="DQ250" s="260"/>
      <c r="DR250" s="260"/>
      <c r="DS250" s="260"/>
      <c r="DT250" s="260"/>
      <c r="DU250" s="260"/>
      <c r="DV250" s="260"/>
      <c r="DW250" s="260"/>
      <c r="DX250" s="260"/>
      <c r="DY250" s="260"/>
      <c r="DZ250" s="260"/>
      <c r="EA250" s="260"/>
      <c r="EB250" s="260"/>
      <c r="EC250" s="260"/>
      <c r="ED250" s="260"/>
      <c r="EE250" s="260"/>
      <c r="EF250" s="260"/>
      <c r="EG250" s="260"/>
      <c r="EH250" s="260"/>
      <c r="EI250" s="260"/>
      <c r="EJ250" s="260"/>
      <c r="EK250" s="260"/>
      <c r="EL250" s="260"/>
      <c r="EM250" s="260"/>
      <c r="EN250" s="260"/>
      <c r="EO250" s="260"/>
      <c r="EP250" s="260"/>
      <c r="EQ250" s="260"/>
      <c r="ER250" s="260"/>
      <c r="ES250" s="260"/>
      <c r="ET250" s="260"/>
      <c r="EU250" s="260"/>
      <c r="EV250" s="260"/>
      <c r="EW250" s="260"/>
      <c r="EX250" s="260"/>
      <c r="EY250" s="260"/>
      <c r="EZ250" s="260"/>
      <c r="FA250" s="260"/>
      <c r="FB250" s="260"/>
      <c r="FC250" s="260"/>
      <c r="FD250" s="260"/>
      <c r="FE250" s="260"/>
      <c r="FF250" s="260"/>
      <c r="FG250" s="260"/>
      <c r="FH250" s="260"/>
      <c r="FI250" s="260"/>
      <c r="FJ250" s="260"/>
      <c r="FK250" s="260"/>
      <c r="FL250" s="260"/>
      <c r="FM250" s="260"/>
      <c r="FN250" s="260"/>
      <c r="FO250" s="260"/>
      <c r="FP250" s="260"/>
      <c r="FQ250" s="260"/>
      <c r="FR250" s="260"/>
      <c r="FS250" s="260"/>
      <c r="FT250" s="260"/>
      <c r="FU250" s="260"/>
      <c r="FV250" s="260"/>
      <c r="FW250" s="260"/>
      <c r="FX250" s="260"/>
      <c r="FY250" s="260"/>
      <c r="FZ250" s="260"/>
      <c r="GA250" s="260"/>
      <c r="GB250" s="260"/>
      <c r="GC250" s="260"/>
      <c r="GD250" s="260"/>
      <c r="GE250" s="260"/>
      <c r="GF250" s="260"/>
      <c r="GG250" s="260"/>
      <c r="GH250" s="260"/>
      <c r="GI250" s="260"/>
      <c r="GJ250" s="260"/>
      <c r="GK250" s="260"/>
      <c r="GL250" s="260"/>
      <c r="GM250" s="260"/>
      <c r="GN250" s="260"/>
      <c r="GO250" s="260"/>
      <c r="GP250" s="260"/>
      <c r="GQ250" s="260"/>
      <c r="GR250" s="260"/>
      <c r="GS250" s="260"/>
      <c r="GT250" s="260"/>
      <c r="GU250" s="260"/>
      <c r="GV250" s="260"/>
      <c r="GW250" s="260"/>
      <c r="GX250" s="260"/>
      <c r="GY250" s="260"/>
      <c r="GZ250" s="260"/>
      <c r="HA250" s="260"/>
      <c r="HB250" s="260"/>
      <c r="HC250" s="260"/>
      <c r="HD250" s="260"/>
      <c r="HE250" s="260"/>
      <c r="HF250" s="260"/>
      <c r="HG250" s="260"/>
      <c r="HH250" s="260"/>
      <c r="HI250" s="260"/>
      <c r="HJ250" s="260"/>
      <c r="HK250" s="260"/>
      <c r="HL250" s="260"/>
      <c r="HM250" s="260"/>
      <c r="HN250" s="260"/>
      <c r="HO250" s="260"/>
      <c r="HP250" s="260"/>
      <c r="HQ250" s="260"/>
      <c r="HR250" s="260"/>
      <c r="HS250" s="260"/>
      <c r="HT250" s="260"/>
      <c r="HU250" s="260"/>
      <c r="HV250" s="260"/>
      <c r="HW250" s="260"/>
      <c r="HX250" s="260"/>
      <c r="HY250" s="260"/>
      <c r="HZ250" s="260"/>
      <c r="IA250" s="260"/>
      <c r="IB250" s="260"/>
      <c r="IC250" s="260"/>
      <c r="ID250" s="260"/>
      <c r="IE250" s="260"/>
      <c r="IF250" s="260"/>
      <c r="IG250" s="260"/>
      <c r="IH250" s="260"/>
      <c r="II250" s="260"/>
      <c r="IJ250" s="260"/>
      <c r="IK250" s="260"/>
      <c r="IL250" s="260"/>
      <c r="IM250" s="260"/>
      <c r="IN250" s="260"/>
      <c r="IO250" s="260"/>
      <c r="IP250" s="260"/>
      <c r="IQ250" s="260"/>
      <c r="IR250" s="260"/>
      <c r="IS250" s="260"/>
    </row>
    <row r="251" spans="1:253" s="419" customFormat="1" x14ac:dyDescent="0.2">
      <c r="A251" s="433" t="s">
        <v>223</v>
      </c>
      <c r="B251" s="463">
        <f>IF('Datu ievade'!$B$98="Jā",IF('Datu ievade'!$B$102='Datu ievade'!$B$103,'Datu ievade'!B133,0),0)</f>
        <v>0</v>
      </c>
      <c r="C251" s="463">
        <f>IF('Datu ievade'!$B$98="Jā",IF('Datu ievade'!$B$102='Datu ievade'!$B$103,'Datu ievade'!C133,0),0)</f>
        <v>0</v>
      </c>
      <c r="D251" s="463">
        <f>IF('Datu ievade'!$B$98="Jā",IF('Datu ievade'!$B$102='Datu ievade'!$B$103,'Datu ievade'!D133,0),0)</f>
        <v>0</v>
      </c>
      <c r="E251" s="463">
        <f>IF('Datu ievade'!$B$98="Jā",IF('Datu ievade'!$B$102='Datu ievade'!$B$103,'Datu ievade'!E133,0),0)</f>
        <v>0</v>
      </c>
      <c r="F251" s="463">
        <f>IF('Datu ievade'!$B$98="Jā",IF('Datu ievade'!$B$102='Datu ievade'!$B$103,'Datu ievade'!F133,0),0)</f>
        <v>0</v>
      </c>
      <c r="G251" s="463">
        <f>IF('Datu ievade'!$B$98="Jā",IF('Datu ievade'!$B$102='Datu ievade'!$B$103,'Datu ievade'!G133,0),0)</f>
        <v>0</v>
      </c>
      <c r="H251" s="463">
        <f>IF('Datu ievade'!$B$98="Jā",IF('Datu ievade'!$B$102='Datu ievade'!$B$103,'Datu ievade'!H133,0),0)</f>
        <v>0</v>
      </c>
      <c r="I251" s="463">
        <f>IF('Datu ievade'!$B$98="Jā",IF('Datu ievade'!$B$102='Datu ievade'!$B$103,'Datu ievade'!I133,0),0)</f>
        <v>0</v>
      </c>
      <c r="J251" s="463">
        <f>IF('Datu ievade'!$B$98="Jā",IF('Datu ievade'!$B$102='Datu ievade'!$B$103,'Datu ievade'!J133,0),0)</f>
        <v>0</v>
      </c>
      <c r="K251" s="463">
        <f>IF('Datu ievade'!$B$98="Jā",IF('Datu ievade'!$B$102='Datu ievade'!$B$103,'Datu ievade'!K133,0),0)</f>
        <v>0</v>
      </c>
      <c r="L251" s="463">
        <f>IF('Datu ievade'!$B$98="Jā",IF('Datu ievade'!$B$102='Datu ievade'!$B$103,'Datu ievade'!L133,0),0)</f>
        <v>0</v>
      </c>
      <c r="M251" s="463">
        <f>IF('Datu ievade'!$B$98="Jā",IF('Datu ievade'!$B$102='Datu ievade'!$B$103,'Datu ievade'!M133,0),0)</f>
        <v>0</v>
      </c>
      <c r="N251" s="463">
        <f>IF('Datu ievade'!$B$98="Jā",IF('Datu ievade'!$B$102='Datu ievade'!$B$103,'Datu ievade'!N133,0),0)</f>
        <v>0</v>
      </c>
      <c r="O251" s="463">
        <f>IF('Datu ievade'!$B$98="Jā",IF('Datu ievade'!$B$102='Datu ievade'!$B$103,'Datu ievade'!O133,0),0)</f>
        <v>0</v>
      </c>
      <c r="P251" s="463">
        <f>IF('Datu ievade'!$B$98="Jā",IF('Datu ievade'!$B$102='Datu ievade'!$B$103,'Datu ievade'!P133,0),0)</f>
        <v>0</v>
      </c>
      <c r="Q251" s="463">
        <f>IF('Datu ievade'!$B$98="Jā",IF('Datu ievade'!$B$102='Datu ievade'!$B$103,'Datu ievade'!Q133,0),0)</f>
        <v>0</v>
      </c>
      <c r="R251" s="463">
        <f>IF('Datu ievade'!$B$98="Jā",IF('Datu ievade'!$B$102='Datu ievade'!$B$103,'Datu ievade'!R133,0),0)</f>
        <v>0</v>
      </c>
      <c r="S251" s="463">
        <f>IF('Datu ievade'!$B$98="Jā",IF('Datu ievade'!$B$102='Datu ievade'!$B$103,'Datu ievade'!S133,0),0)</f>
        <v>0</v>
      </c>
      <c r="T251" s="463">
        <f>IF('Datu ievade'!$B$98="Jā",IF('Datu ievade'!$B$102='Datu ievade'!$B$103,'Datu ievade'!T133,0),0)</f>
        <v>0</v>
      </c>
      <c r="U251" s="463">
        <f>IF('Datu ievade'!$B$98="Jā",IF('Datu ievade'!$B$102='Datu ievade'!$B$103,'Datu ievade'!U133,0),0)</f>
        <v>0</v>
      </c>
      <c r="V251" s="463">
        <f>IF('Datu ievade'!$B$98="Jā",IF('Datu ievade'!$B$102='Datu ievade'!$B$103,'Datu ievade'!V133,0),0)</f>
        <v>0</v>
      </c>
      <c r="W251" s="463">
        <f>IF('Datu ievade'!$B$98="Jā",IF('Datu ievade'!$B$102='Datu ievade'!$B$103,'Datu ievade'!W133,0),0)</f>
        <v>0</v>
      </c>
      <c r="X251" s="463">
        <f>IF('Datu ievade'!$B$98="Jā",IF('Datu ievade'!$B$102='Datu ievade'!$B$103,'Datu ievade'!X133,0),0)</f>
        <v>0</v>
      </c>
      <c r="Y251" s="463">
        <f>IF('Datu ievade'!$B$98="Jā",IF('Datu ievade'!$B$102='Datu ievade'!$B$103,'Datu ievade'!Y133,0),0)</f>
        <v>0</v>
      </c>
      <c r="Z251" s="463">
        <f>IF('Datu ievade'!$B$98="Jā",IF('Datu ievade'!$B$102='Datu ievade'!$B$103,'Datu ievade'!Z133,0),0)</f>
        <v>0</v>
      </c>
      <c r="AA251" s="463">
        <f>IF('Datu ievade'!$B$98="Jā",IF('Datu ievade'!$B$102='Datu ievade'!$B$103,'Datu ievade'!AA133,0),0)</f>
        <v>0</v>
      </c>
      <c r="AB251" s="463">
        <f>IF('Datu ievade'!$B$98="Jā",IF('Datu ievade'!$B$102='Datu ievade'!$B$103,'Datu ievade'!AB133,0),0)</f>
        <v>0</v>
      </c>
      <c r="AC251" s="463">
        <f>IF('Datu ievade'!$B$98="Jā",IF('Datu ievade'!$B$102='Datu ievade'!$B$103,'Datu ievade'!AC133,0),0)</f>
        <v>0</v>
      </c>
      <c r="AD251" s="463">
        <f>IF('Datu ievade'!$B$98="Jā",IF('Datu ievade'!$B$102='Datu ievade'!$B$103,'Datu ievade'!AD133,0),0)</f>
        <v>0</v>
      </c>
      <c r="AE251" s="463">
        <f>IF('Datu ievade'!$B$98="Jā",IF('Datu ievade'!$B$102='Datu ievade'!$B$103,'Datu ievade'!AE133,0),0)</f>
        <v>0</v>
      </c>
      <c r="AF251" s="463">
        <f>IF('Datu ievade'!$B$98="Jā",IF('Datu ievade'!$B$102='Datu ievade'!$B$103,'Datu ievade'!AF133,0),0)</f>
        <v>0</v>
      </c>
      <c r="AG251" s="463">
        <f>IF('Datu ievade'!$B$98="Jā",IF('Datu ievade'!$B$102='Datu ievade'!$B$103,'Datu ievade'!AG133,0),0)</f>
        <v>0</v>
      </c>
      <c r="AH251" s="463">
        <f>IF('Datu ievade'!$B$98="Jā",IF('Datu ievade'!$B$102='Datu ievade'!$B$103,'Datu ievade'!AH133,0),0)</f>
        <v>0</v>
      </c>
      <c r="AI251" s="463"/>
      <c r="AJ251" s="260"/>
      <c r="AK251" s="260"/>
      <c r="AL251" s="260"/>
      <c r="AM251" s="535"/>
      <c r="AN251" s="260"/>
      <c r="AO251" s="283"/>
      <c r="AP251" s="71"/>
      <c r="AQ251" s="283"/>
      <c r="AR251" s="71"/>
      <c r="AS251" s="283"/>
      <c r="AT251" s="260"/>
      <c r="AU251" s="260"/>
      <c r="AV251" s="260"/>
      <c r="AW251" s="260"/>
      <c r="AX251" s="260"/>
      <c r="AY251" s="260"/>
      <c r="AZ251" s="260"/>
      <c r="BA251" s="260"/>
      <c r="BB251" s="260"/>
      <c r="BC251" s="260"/>
      <c r="BD251" s="260"/>
      <c r="BE251" s="260"/>
      <c r="BF251" s="260"/>
      <c r="BG251" s="260"/>
      <c r="BH251" s="260"/>
      <c r="BI251" s="260"/>
      <c r="BJ251" s="260"/>
      <c r="BK251" s="260"/>
      <c r="BL251" s="260"/>
      <c r="BM251" s="260"/>
      <c r="BN251" s="260"/>
      <c r="BO251" s="260"/>
      <c r="BP251" s="260"/>
      <c r="BQ251" s="260"/>
      <c r="BR251" s="260"/>
      <c r="BS251" s="260"/>
      <c r="BT251" s="260"/>
      <c r="BU251" s="260"/>
      <c r="BV251" s="260"/>
      <c r="BW251" s="260"/>
      <c r="BX251" s="260"/>
      <c r="BY251" s="260"/>
      <c r="BZ251" s="260"/>
      <c r="CA251" s="260"/>
      <c r="CB251" s="260"/>
      <c r="CC251" s="260"/>
      <c r="CD251" s="260"/>
      <c r="CE251" s="260"/>
      <c r="CF251" s="260"/>
      <c r="CG251" s="260"/>
      <c r="CH251" s="260"/>
      <c r="CI251" s="260"/>
      <c r="CJ251" s="260"/>
      <c r="CK251" s="260"/>
      <c r="CL251" s="260"/>
      <c r="CM251" s="260"/>
      <c r="CN251" s="260"/>
      <c r="CO251" s="260"/>
      <c r="CP251" s="260"/>
      <c r="CQ251" s="260"/>
      <c r="CR251" s="260"/>
      <c r="CS251" s="260"/>
      <c r="CT251" s="260"/>
      <c r="CU251" s="260"/>
      <c r="CV251" s="260"/>
      <c r="CW251" s="260"/>
      <c r="CX251" s="260"/>
      <c r="CY251" s="260"/>
      <c r="CZ251" s="260"/>
      <c r="DA251" s="260"/>
      <c r="DB251" s="260"/>
      <c r="DC251" s="260"/>
      <c r="DD251" s="260"/>
      <c r="DE251" s="260"/>
      <c r="DF251" s="260"/>
      <c r="DG251" s="260"/>
      <c r="DH251" s="260"/>
      <c r="DI251" s="260"/>
      <c r="DJ251" s="260"/>
      <c r="DK251" s="260"/>
      <c r="DL251" s="260"/>
      <c r="DM251" s="260"/>
      <c r="DN251" s="260"/>
      <c r="DO251" s="260"/>
      <c r="DP251" s="260"/>
      <c r="DQ251" s="260"/>
      <c r="DR251" s="260"/>
      <c r="DS251" s="260"/>
      <c r="DT251" s="260"/>
      <c r="DU251" s="260"/>
      <c r="DV251" s="260"/>
      <c r="DW251" s="260"/>
      <c r="DX251" s="260"/>
      <c r="DY251" s="260"/>
      <c r="DZ251" s="260"/>
      <c r="EA251" s="260"/>
      <c r="EB251" s="260"/>
      <c r="EC251" s="260"/>
      <c r="ED251" s="260"/>
      <c r="EE251" s="260"/>
      <c r="EF251" s="260"/>
      <c r="EG251" s="260"/>
      <c r="EH251" s="260"/>
      <c r="EI251" s="260"/>
      <c r="EJ251" s="260"/>
      <c r="EK251" s="260"/>
      <c r="EL251" s="260"/>
      <c r="EM251" s="260"/>
      <c r="EN251" s="260"/>
      <c r="EO251" s="260"/>
      <c r="EP251" s="260"/>
      <c r="EQ251" s="260"/>
      <c r="ER251" s="260"/>
      <c r="ES251" s="260"/>
      <c r="ET251" s="260"/>
      <c r="EU251" s="260"/>
      <c r="EV251" s="260"/>
      <c r="EW251" s="260"/>
      <c r="EX251" s="260"/>
      <c r="EY251" s="260"/>
      <c r="EZ251" s="260"/>
      <c r="FA251" s="260"/>
      <c r="FB251" s="260"/>
      <c r="FC251" s="260"/>
      <c r="FD251" s="260"/>
      <c r="FE251" s="260"/>
      <c r="FF251" s="260"/>
      <c r="FG251" s="260"/>
      <c r="FH251" s="260"/>
      <c r="FI251" s="260"/>
      <c r="FJ251" s="260"/>
      <c r="FK251" s="260"/>
      <c r="FL251" s="260"/>
      <c r="FM251" s="260"/>
      <c r="FN251" s="260"/>
      <c r="FO251" s="260"/>
      <c r="FP251" s="260"/>
      <c r="FQ251" s="260"/>
      <c r="FR251" s="260"/>
      <c r="FS251" s="260"/>
      <c r="FT251" s="260"/>
      <c r="FU251" s="260"/>
      <c r="FV251" s="260"/>
      <c r="FW251" s="260"/>
      <c r="FX251" s="260"/>
      <c r="FY251" s="260"/>
      <c r="FZ251" s="260"/>
      <c r="GA251" s="260"/>
      <c r="GB251" s="260"/>
      <c r="GC251" s="260"/>
      <c r="GD251" s="260"/>
      <c r="GE251" s="260"/>
      <c r="GF251" s="260"/>
      <c r="GG251" s="260"/>
      <c r="GH251" s="260"/>
      <c r="GI251" s="260"/>
      <c r="GJ251" s="260"/>
      <c r="GK251" s="260"/>
      <c r="GL251" s="260"/>
      <c r="GM251" s="260"/>
      <c r="GN251" s="260"/>
      <c r="GO251" s="260"/>
      <c r="GP251" s="260"/>
      <c r="GQ251" s="260"/>
      <c r="GR251" s="260"/>
      <c r="GS251" s="260"/>
      <c r="GT251" s="260"/>
      <c r="GU251" s="260"/>
      <c r="GV251" s="260"/>
      <c r="GW251" s="260"/>
      <c r="GX251" s="260"/>
      <c r="GY251" s="260"/>
      <c r="GZ251" s="260"/>
      <c r="HA251" s="260"/>
      <c r="HB251" s="260"/>
      <c r="HC251" s="260"/>
      <c r="HD251" s="260"/>
      <c r="HE251" s="260"/>
      <c r="HF251" s="260"/>
      <c r="HG251" s="260"/>
      <c r="HH251" s="260"/>
      <c r="HI251" s="260"/>
      <c r="HJ251" s="260"/>
      <c r="HK251" s="260"/>
      <c r="HL251" s="260"/>
      <c r="HM251" s="260"/>
      <c r="HN251" s="260"/>
      <c r="HO251" s="260"/>
      <c r="HP251" s="260"/>
      <c r="HQ251" s="260"/>
      <c r="HR251" s="260"/>
      <c r="HS251" s="260"/>
      <c r="HT251" s="260"/>
      <c r="HU251" s="260"/>
      <c r="HV251" s="260"/>
      <c r="HW251" s="260"/>
      <c r="HX251" s="260"/>
      <c r="HY251" s="260"/>
      <c r="HZ251" s="260"/>
      <c r="IA251" s="260"/>
      <c r="IB251" s="260"/>
      <c r="IC251" s="260"/>
      <c r="ID251" s="260"/>
      <c r="IE251" s="260"/>
      <c r="IF251" s="260"/>
      <c r="IG251" s="260"/>
      <c r="IH251" s="260"/>
      <c r="II251" s="260"/>
      <c r="IJ251" s="260"/>
      <c r="IK251" s="260"/>
      <c r="IL251" s="260"/>
      <c r="IM251" s="260"/>
      <c r="IN251" s="260"/>
      <c r="IO251" s="260"/>
      <c r="IP251" s="260"/>
      <c r="IQ251" s="260"/>
      <c r="IR251" s="260"/>
      <c r="IS251" s="260"/>
    </row>
    <row r="252" spans="1:253" s="419" customFormat="1" x14ac:dyDescent="0.2">
      <c r="A252" s="464" t="s">
        <v>224</v>
      </c>
      <c r="B252" s="465">
        <f t="shared" ref="B252:AG252" si="86">SUM(B253:B254)</f>
        <v>0</v>
      </c>
      <c r="C252" s="465">
        <f t="shared" si="86"/>
        <v>0</v>
      </c>
      <c r="D252" s="465">
        <f t="shared" ca="1" si="86"/>
        <v>0</v>
      </c>
      <c r="E252" s="465">
        <f t="shared" ca="1" si="86"/>
        <v>0</v>
      </c>
      <c r="F252" s="465">
        <f t="shared" ca="1" si="86"/>
        <v>0</v>
      </c>
      <c r="G252" s="465">
        <f t="shared" ca="1" si="86"/>
        <v>0</v>
      </c>
      <c r="H252" s="465">
        <f t="shared" ca="1" si="86"/>
        <v>0</v>
      </c>
      <c r="I252" s="465">
        <f t="shared" ca="1" si="86"/>
        <v>0</v>
      </c>
      <c r="J252" s="465">
        <f t="shared" ca="1" si="86"/>
        <v>0</v>
      </c>
      <c r="K252" s="465">
        <f t="shared" ca="1" si="86"/>
        <v>0</v>
      </c>
      <c r="L252" s="465">
        <f t="shared" ca="1" si="86"/>
        <v>0</v>
      </c>
      <c r="M252" s="465">
        <f t="shared" ca="1" si="86"/>
        <v>0</v>
      </c>
      <c r="N252" s="465">
        <f t="shared" ca="1" si="86"/>
        <v>0</v>
      </c>
      <c r="O252" s="465">
        <f t="shared" ca="1" si="86"/>
        <v>0</v>
      </c>
      <c r="P252" s="465">
        <f t="shared" ca="1" si="86"/>
        <v>0</v>
      </c>
      <c r="Q252" s="465">
        <f t="shared" ca="1" si="86"/>
        <v>0</v>
      </c>
      <c r="R252" s="465">
        <f t="shared" ca="1" si="86"/>
        <v>0</v>
      </c>
      <c r="S252" s="465">
        <f t="shared" ca="1" si="86"/>
        <v>0</v>
      </c>
      <c r="T252" s="465">
        <f t="shared" ca="1" si="86"/>
        <v>0</v>
      </c>
      <c r="U252" s="465">
        <f t="shared" ca="1" si="86"/>
        <v>0</v>
      </c>
      <c r="V252" s="465">
        <f t="shared" ca="1" si="86"/>
        <v>0</v>
      </c>
      <c r="W252" s="465">
        <f t="shared" ca="1" si="86"/>
        <v>0</v>
      </c>
      <c r="X252" s="465">
        <f t="shared" ca="1" si="86"/>
        <v>0</v>
      </c>
      <c r="Y252" s="465">
        <f t="shared" ca="1" si="86"/>
        <v>0</v>
      </c>
      <c r="Z252" s="465">
        <f t="shared" ca="1" si="86"/>
        <v>0</v>
      </c>
      <c r="AA252" s="465">
        <f t="shared" ca="1" si="86"/>
        <v>0</v>
      </c>
      <c r="AB252" s="465">
        <f t="shared" ca="1" si="86"/>
        <v>0</v>
      </c>
      <c r="AC252" s="465">
        <f t="shared" ca="1" si="86"/>
        <v>0</v>
      </c>
      <c r="AD252" s="465">
        <f t="shared" ca="1" si="86"/>
        <v>0</v>
      </c>
      <c r="AE252" s="465">
        <f t="shared" ca="1" si="86"/>
        <v>0</v>
      </c>
      <c r="AF252" s="465">
        <f t="shared" ca="1" si="86"/>
        <v>0</v>
      </c>
      <c r="AG252" s="465">
        <f t="shared" ca="1" si="86"/>
        <v>0</v>
      </c>
      <c r="AH252" s="465">
        <f ca="1">SUM(AH253:AH254)</f>
        <v>0</v>
      </c>
      <c r="AI252" s="465"/>
      <c r="AJ252" s="260"/>
      <c r="AK252" s="260"/>
      <c r="AL252" s="260"/>
      <c r="AM252" s="535"/>
      <c r="AN252" s="260"/>
      <c r="AO252" s="283"/>
      <c r="AP252" s="71"/>
      <c r="AQ252" s="283"/>
      <c r="AR252" s="71"/>
      <c r="AS252" s="283"/>
      <c r="AT252" s="260"/>
      <c r="AU252" s="260"/>
      <c r="AV252" s="260"/>
      <c r="AW252" s="260"/>
      <c r="AX252" s="260"/>
      <c r="AY252" s="260"/>
      <c r="AZ252" s="260"/>
      <c r="BA252" s="260"/>
      <c r="BB252" s="260"/>
      <c r="BC252" s="260"/>
      <c r="BD252" s="260"/>
      <c r="BE252" s="260"/>
      <c r="BF252" s="260"/>
      <c r="BG252" s="260"/>
      <c r="BH252" s="260"/>
      <c r="BI252" s="260"/>
      <c r="BJ252" s="260"/>
      <c r="BK252" s="260"/>
      <c r="BL252" s="260"/>
      <c r="BM252" s="260"/>
      <c r="BN252" s="260"/>
      <c r="BO252" s="260"/>
      <c r="BP252" s="260"/>
      <c r="BQ252" s="260"/>
      <c r="BR252" s="260"/>
      <c r="BS252" s="260"/>
      <c r="BT252" s="260"/>
      <c r="BU252" s="260"/>
      <c r="BV252" s="260"/>
      <c r="BW252" s="260"/>
      <c r="BX252" s="260"/>
      <c r="BY252" s="260"/>
      <c r="BZ252" s="260"/>
      <c r="CA252" s="260"/>
      <c r="CB252" s="260"/>
      <c r="CC252" s="260"/>
      <c r="CD252" s="260"/>
      <c r="CE252" s="260"/>
      <c r="CF252" s="260"/>
      <c r="CG252" s="260"/>
      <c r="CH252" s="260"/>
      <c r="CI252" s="260"/>
      <c r="CJ252" s="260"/>
      <c r="CK252" s="260"/>
      <c r="CL252" s="260"/>
      <c r="CM252" s="260"/>
      <c r="CN252" s="260"/>
      <c r="CO252" s="260"/>
      <c r="CP252" s="260"/>
      <c r="CQ252" s="260"/>
      <c r="CR252" s="260"/>
      <c r="CS252" s="260"/>
      <c r="CT252" s="260"/>
      <c r="CU252" s="260"/>
      <c r="CV252" s="260"/>
      <c r="CW252" s="260"/>
      <c r="CX252" s="260"/>
      <c r="CY252" s="260"/>
      <c r="CZ252" s="260"/>
      <c r="DA252" s="260"/>
      <c r="DB252" s="260"/>
      <c r="DC252" s="260"/>
      <c r="DD252" s="260"/>
      <c r="DE252" s="260"/>
      <c r="DF252" s="260"/>
      <c r="DG252" s="260"/>
      <c r="DH252" s="260"/>
      <c r="DI252" s="260"/>
      <c r="DJ252" s="260"/>
      <c r="DK252" s="260"/>
      <c r="DL252" s="260"/>
      <c r="DM252" s="260"/>
      <c r="DN252" s="260"/>
      <c r="DO252" s="260"/>
      <c r="DP252" s="260"/>
      <c r="DQ252" s="260"/>
      <c r="DR252" s="260"/>
      <c r="DS252" s="260"/>
      <c r="DT252" s="260"/>
      <c r="DU252" s="260"/>
      <c r="DV252" s="260"/>
      <c r="DW252" s="260"/>
      <c r="DX252" s="260"/>
      <c r="DY252" s="260"/>
      <c r="DZ252" s="260"/>
      <c r="EA252" s="260"/>
      <c r="EB252" s="260"/>
      <c r="EC252" s="260"/>
      <c r="ED252" s="260"/>
      <c r="EE252" s="260"/>
      <c r="EF252" s="260"/>
      <c r="EG252" s="260"/>
      <c r="EH252" s="260"/>
      <c r="EI252" s="260"/>
      <c r="EJ252" s="260"/>
      <c r="EK252" s="260"/>
      <c r="EL252" s="260"/>
      <c r="EM252" s="260"/>
      <c r="EN252" s="260"/>
      <c r="EO252" s="260"/>
      <c r="EP252" s="260"/>
      <c r="EQ252" s="260"/>
      <c r="ER252" s="260"/>
      <c r="ES252" s="260"/>
      <c r="ET252" s="260"/>
      <c r="EU252" s="260"/>
      <c r="EV252" s="260"/>
      <c r="EW252" s="260"/>
      <c r="EX252" s="260"/>
      <c r="EY252" s="260"/>
      <c r="EZ252" s="260"/>
      <c r="FA252" s="260"/>
      <c r="FB252" s="260"/>
      <c r="FC252" s="260"/>
      <c r="FD252" s="260"/>
      <c r="FE252" s="260"/>
      <c r="FF252" s="260"/>
      <c r="FG252" s="260"/>
      <c r="FH252" s="260"/>
      <c r="FI252" s="260"/>
      <c r="FJ252" s="260"/>
      <c r="FK252" s="260"/>
      <c r="FL252" s="260"/>
      <c r="FM252" s="260"/>
      <c r="FN252" s="260"/>
      <c r="FO252" s="260"/>
      <c r="FP252" s="260"/>
      <c r="FQ252" s="260"/>
      <c r="FR252" s="260"/>
      <c r="FS252" s="260"/>
      <c r="FT252" s="260"/>
      <c r="FU252" s="260"/>
      <c r="FV252" s="260"/>
      <c r="FW252" s="260"/>
      <c r="FX252" s="260"/>
      <c r="FY252" s="260"/>
      <c r="FZ252" s="260"/>
      <c r="GA252" s="260"/>
      <c r="GB252" s="260"/>
      <c r="GC252" s="260"/>
      <c r="GD252" s="260"/>
      <c r="GE252" s="260"/>
      <c r="GF252" s="260"/>
      <c r="GG252" s="260"/>
      <c r="GH252" s="260"/>
      <c r="GI252" s="260"/>
      <c r="GJ252" s="260"/>
      <c r="GK252" s="260"/>
      <c r="GL252" s="260"/>
      <c r="GM252" s="260"/>
      <c r="GN252" s="260"/>
      <c r="GO252" s="260"/>
      <c r="GP252" s="260"/>
      <c r="GQ252" s="260"/>
      <c r="GR252" s="260"/>
      <c r="GS252" s="260"/>
      <c r="GT252" s="260"/>
      <c r="GU252" s="260"/>
      <c r="GV252" s="260"/>
      <c r="GW252" s="260"/>
      <c r="GX252" s="260"/>
      <c r="GY252" s="260"/>
      <c r="GZ252" s="260"/>
      <c r="HA252" s="260"/>
      <c r="HB252" s="260"/>
      <c r="HC252" s="260"/>
      <c r="HD252" s="260"/>
      <c r="HE252" s="260"/>
      <c r="HF252" s="260"/>
      <c r="HG252" s="260"/>
      <c r="HH252" s="260"/>
      <c r="HI252" s="260"/>
      <c r="HJ252" s="260"/>
      <c r="HK252" s="260"/>
      <c r="HL252" s="260"/>
      <c r="HM252" s="260"/>
      <c r="HN252" s="260"/>
      <c r="HO252" s="260"/>
      <c r="HP252" s="260"/>
      <c r="HQ252" s="260"/>
      <c r="HR252" s="260"/>
      <c r="HS252" s="260"/>
      <c r="HT252" s="260"/>
      <c r="HU252" s="260"/>
      <c r="HV252" s="260"/>
      <c r="HW252" s="260"/>
      <c r="HX252" s="260"/>
      <c r="HY252" s="260"/>
      <c r="HZ252" s="260"/>
      <c r="IA252" s="260"/>
      <c r="IB252" s="260"/>
      <c r="IC252" s="260"/>
      <c r="ID252" s="260"/>
      <c r="IE252" s="260"/>
      <c r="IF252" s="260"/>
      <c r="IG252" s="260"/>
      <c r="IH252" s="260"/>
      <c r="II252" s="260"/>
      <c r="IJ252" s="260"/>
      <c r="IK252" s="260"/>
      <c r="IL252" s="260"/>
      <c r="IM252" s="260"/>
      <c r="IN252" s="260"/>
      <c r="IO252" s="260"/>
      <c r="IP252" s="260"/>
      <c r="IQ252" s="260"/>
      <c r="IR252" s="260"/>
      <c r="IS252" s="260"/>
    </row>
    <row r="253" spans="1:253" s="419" customFormat="1" x14ac:dyDescent="0.2">
      <c r="A253" s="433" t="s">
        <v>225</v>
      </c>
      <c r="B253" s="463">
        <f>B255*$B$250</f>
        <v>0</v>
      </c>
      <c r="C253" s="463">
        <f>B255*$B$250</f>
        <v>0</v>
      </c>
      <c r="D253" s="463">
        <f t="shared" ref="D253:AG253" si="87">C255*$B$250</f>
        <v>0</v>
      </c>
      <c r="E253" s="463">
        <f t="shared" ca="1" si="87"/>
        <v>0</v>
      </c>
      <c r="F253" s="463">
        <f t="shared" ca="1" si="87"/>
        <v>0</v>
      </c>
      <c r="G253" s="463">
        <f t="shared" ca="1" si="87"/>
        <v>0</v>
      </c>
      <c r="H253" s="463">
        <f t="shared" ca="1" si="87"/>
        <v>0</v>
      </c>
      <c r="I253" s="463">
        <f t="shared" ca="1" si="87"/>
        <v>0</v>
      </c>
      <c r="J253" s="463">
        <f t="shared" ca="1" si="87"/>
        <v>0</v>
      </c>
      <c r="K253" s="463">
        <f t="shared" ca="1" si="87"/>
        <v>0</v>
      </c>
      <c r="L253" s="463">
        <f t="shared" ca="1" si="87"/>
        <v>0</v>
      </c>
      <c r="M253" s="463">
        <f t="shared" ca="1" si="87"/>
        <v>0</v>
      </c>
      <c r="N253" s="463">
        <f t="shared" ca="1" si="87"/>
        <v>0</v>
      </c>
      <c r="O253" s="463">
        <f t="shared" ca="1" si="87"/>
        <v>0</v>
      </c>
      <c r="P253" s="463">
        <f t="shared" ca="1" si="87"/>
        <v>0</v>
      </c>
      <c r="Q253" s="463">
        <f t="shared" ca="1" si="87"/>
        <v>0</v>
      </c>
      <c r="R253" s="463">
        <f t="shared" ca="1" si="87"/>
        <v>0</v>
      </c>
      <c r="S253" s="463">
        <f t="shared" ca="1" si="87"/>
        <v>0</v>
      </c>
      <c r="T253" s="463">
        <f t="shared" ca="1" si="87"/>
        <v>0</v>
      </c>
      <c r="U253" s="463">
        <f t="shared" ca="1" si="87"/>
        <v>0</v>
      </c>
      <c r="V253" s="463">
        <f t="shared" ca="1" si="87"/>
        <v>0</v>
      </c>
      <c r="W253" s="463">
        <f t="shared" ca="1" si="87"/>
        <v>0</v>
      </c>
      <c r="X253" s="463">
        <f t="shared" ca="1" si="87"/>
        <v>0</v>
      </c>
      <c r="Y253" s="463">
        <f t="shared" ca="1" si="87"/>
        <v>0</v>
      </c>
      <c r="Z253" s="463">
        <f t="shared" ca="1" si="87"/>
        <v>0</v>
      </c>
      <c r="AA253" s="463">
        <f t="shared" ca="1" si="87"/>
        <v>0</v>
      </c>
      <c r="AB253" s="463">
        <f t="shared" ca="1" si="87"/>
        <v>0</v>
      </c>
      <c r="AC253" s="463">
        <f t="shared" ca="1" si="87"/>
        <v>0</v>
      </c>
      <c r="AD253" s="463">
        <f t="shared" ca="1" si="87"/>
        <v>0</v>
      </c>
      <c r="AE253" s="463">
        <f t="shared" ca="1" si="87"/>
        <v>0</v>
      </c>
      <c r="AF253" s="463">
        <f t="shared" ca="1" si="87"/>
        <v>0</v>
      </c>
      <c r="AG253" s="463">
        <f t="shared" ca="1" si="87"/>
        <v>0</v>
      </c>
      <c r="AH253" s="463">
        <f ca="1">AG255*$B$250</f>
        <v>0</v>
      </c>
      <c r="AI253" s="463"/>
      <c r="AJ253" s="260"/>
      <c r="AK253" s="260"/>
      <c r="AL253" s="260"/>
      <c r="AM253" s="535"/>
      <c r="AN253" s="260"/>
      <c r="AO253" s="283"/>
      <c r="AP253" s="71"/>
      <c r="AQ253" s="283"/>
      <c r="AR253" s="71"/>
      <c r="AS253" s="283"/>
      <c r="AT253" s="260"/>
      <c r="AU253" s="260"/>
      <c r="AV253" s="260"/>
      <c r="AW253" s="260"/>
      <c r="AX253" s="260"/>
      <c r="AY253" s="260"/>
      <c r="AZ253" s="260"/>
      <c r="BA253" s="260"/>
      <c r="BB253" s="260"/>
      <c r="BC253" s="260"/>
      <c r="BD253" s="260"/>
      <c r="BE253" s="260"/>
      <c r="BF253" s="260"/>
      <c r="BG253" s="260"/>
      <c r="BH253" s="260"/>
      <c r="BI253" s="260"/>
      <c r="BJ253" s="260"/>
      <c r="BK253" s="260"/>
      <c r="BL253" s="260"/>
      <c r="BM253" s="260"/>
      <c r="BN253" s="260"/>
      <c r="BO253" s="260"/>
      <c r="BP253" s="260"/>
      <c r="BQ253" s="260"/>
      <c r="BR253" s="260"/>
      <c r="BS253" s="260"/>
      <c r="BT253" s="260"/>
      <c r="BU253" s="260"/>
      <c r="BV253" s="260"/>
      <c r="BW253" s="260"/>
      <c r="BX253" s="260"/>
      <c r="BY253" s="260"/>
      <c r="BZ253" s="260"/>
      <c r="CA253" s="260"/>
      <c r="CB253" s="260"/>
      <c r="CC253" s="260"/>
      <c r="CD253" s="260"/>
      <c r="CE253" s="260"/>
      <c r="CF253" s="260"/>
      <c r="CG253" s="260"/>
      <c r="CH253" s="260"/>
      <c r="CI253" s="260"/>
      <c r="CJ253" s="260"/>
      <c r="CK253" s="260"/>
      <c r="CL253" s="260"/>
      <c r="CM253" s="260"/>
      <c r="CN253" s="260"/>
      <c r="CO253" s="260"/>
      <c r="CP253" s="260"/>
      <c r="CQ253" s="260"/>
      <c r="CR253" s="260"/>
      <c r="CS253" s="260"/>
      <c r="CT253" s="260"/>
      <c r="CU253" s="260"/>
      <c r="CV253" s="260"/>
      <c r="CW253" s="260"/>
      <c r="CX253" s="260"/>
      <c r="CY253" s="260"/>
      <c r="CZ253" s="260"/>
      <c r="DA253" s="260"/>
      <c r="DB253" s="260"/>
      <c r="DC253" s="260"/>
      <c r="DD253" s="260"/>
      <c r="DE253" s="260"/>
      <c r="DF253" s="260"/>
      <c r="DG253" s="260"/>
      <c r="DH253" s="260"/>
      <c r="DI253" s="260"/>
      <c r="DJ253" s="260"/>
      <c r="DK253" s="260"/>
      <c r="DL253" s="260"/>
      <c r="DM253" s="260"/>
      <c r="DN253" s="260"/>
      <c r="DO253" s="260"/>
      <c r="DP253" s="260"/>
      <c r="DQ253" s="260"/>
      <c r="DR253" s="260"/>
      <c r="DS253" s="260"/>
      <c r="DT253" s="260"/>
      <c r="DU253" s="260"/>
      <c r="DV253" s="260"/>
      <c r="DW253" s="260"/>
      <c r="DX253" s="260"/>
      <c r="DY253" s="260"/>
      <c r="DZ253" s="260"/>
      <c r="EA253" s="260"/>
      <c r="EB253" s="260"/>
      <c r="EC253" s="260"/>
      <c r="ED253" s="260"/>
      <c r="EE253" s="260"/>
      <c r="EF253" s="260"/>
      <c r="EG253" s="260"/>
      <c r="EH253" s="260"/>
      <c r="EI253" s="260"/>
      <c r="EJ253" s="260"/>
      <c r="EK253" s="260"/>
      <c r="EL253" s="260"/>
      <c r="EM253" s="260"/>
      <c r="EN253" s="260"/>
      <c r="EO253" s="260"/>
      <c r="EP253" s="260"/>
      <c r="EQ253" s="260"/>
      <c r="ER253" s="260"/>
      <c r="ES253" s="260"/>
      <c r="ET253" s="260"/>
      <c r="EU253" s="260"/>
      <c r="EV253" s="260"/>
      <c r="EW253" s="260"/>
      <c r="EX253" s="260"/>
      <c r="EY253" s="260"/>
      <c r="EZ253" s="260"/>
      <c r="FA253" s="260"/>
      <c r="FB253" s="260"/>
      <c r="FC253" s="260"/>
      <c r="FD253" s="260"/>
      <c r="FE253" s="260"/>
      <c r="FF253" s="260"/>
      <c r="FG253" s="260"/>
      <c r="FH253" s="260"/>
      <c r="FI253" s="260"/>
      <c r="FJ253" s="260"/>
      <c r="FK253" s="260"/>
      <c r="FL253" s="260"/>
      <c r="FM253" s="260"/>
      <c r="FN253" s="260"/>
      <c r="FO253" s="260"/>
      <c r="FP253" s="260"/>
      <c r="FQ253" s="260"/>
      <c r="FR253" s="260"/>
      <c r="FS253" s="260"/>
      <c r="FT253" s="260"/>
      <c r="FU253" s="260"/>
      <c r="FV253" s="260"/>
      <c r="FW253" s="260"/>
      <c r="FX253" s="260"/>
      <c r="FY253" s="260"/>
      <c r="FZ253" s="260"/>
      <c r="GA253" s="260"/>
      <c r="GB253" s="260"/>
      <c r="GC253" s="260"/>
      <c r="GD253" s="260"/>
      <c r="GE253" s="260"/>
      <c r="GF253" s="260"/>
      <c r="GG253" s="260"/>
      <c r="GH253" s="260"/>
      <c r="GI253" s="260"/>
      <c r="GJ253" s="260"/>
      <c r="GK253" s="260"/>
      <c r="GL253" s="260"/>
      <c r="GM253" s="260"/>
      <c r="GN253" s="260"/>
      <c r="GO253" s="260"/>
      <c r="GP253" s="260"/>
      <c r="GQ253" s="260"/>
      <c r="GR253" s="260"/>
      <c r="GS253" s="260"/>
      <c r="GT253" s="260"/>
      <c r="GU253" s="260"/>
      <c r="GV253" s="260"/>
      <c r="GW253" s="260"/>
      <c r="GX253" s="260"/>
      <c r="GY253" s="260"/>
      <c r="GZ253" s="260"/>
      <c r="HA253" s="260"/>
      <c r="HB253" s="260"/>
      <c r="HC253" s="260"/>
      <c r="HD253" s="260"/>
      <c r="HE253" s="260"/>
      <c r="HF253" s="260"/>
      <c r="HG253" s="260"/>
      <c r="HH253" s="260"/>
      <c r="HI253" s="260"/>
      <c r="HJ253" s="260"/>
      <c r="HK253" s="260"/>
      <c r="HL253" s="260"/>
      <c r="HM253" s="260"/>
      <c r="HN253" s="260"/>
      <c r="HO253" s="260"/>
      <c r="HP253" s="260"/>
      <c r="HQ253" s="260"/>
      <c r="HR253" s="260"/>
      <c r="HS253" s="260"/>
      <c r="HT253" s="260"/>
      <c r="HU253" s="260"/>
      <c r="HV253" s="260"/>
      <c r="HW253" s="260"/>
      <c r="HX253" s="260"/>
      <c r="HY253" s="260"/>
      <c r="HZ253" s="260"/>
      <c r="IA253" s="260"/>
      <c r="IB253" s="260"/>
      <c r="IC253" s="260"/>
      <c r="ID253" s="260"/>
      <c r="IE253" s="260"/>
      <c r="IF253" s="260"/>
      <c r="IG253" s="260"/>
      <c r="IH253" s="260"/>
      <c r="II253" s="260"/>
      <c r="IJ253" s="260"/>
      <c r="IK253" s="260"/>
      <c r="IL253" s="260"/>
      <c r="IM253" s="260"/>
      <c r="IN253" s="260"/>
      <c r="IO253" s="260"/>
      <c r="IP253" s="260"/>
      <c r="IQ253" s="260"/>
      <c r="IR253" s="260"/>
      <c r="IS253" s="260"/>
    </row>
    <row r="254" spans="1:253" s="419" customFormat="1" x14ac:dyDescent="0.2">
      <c r="A254" s="433" t="s">
        <v>226</v>
      </c>
      <c r="B254" s="463">
        <v>0</v>
      </c>
      <c r="C254" s="463">
        <v>0</v>
      </c>
      <c r="D254" s="463">
        <f ca="1">IF(COUNT(C$254:$D254)&gt;'Datu ievade'!$B$95,0,$D$255/'Datu ievade'!$B$95)</f>
        <v>0</v>
      </c>
      <c r="E254" s="463">
        <f ca="1">IF(COUNT($D$254:D254)&gt;'Datu ievade'!$B$95,0,$E$255/'Datu ievade'!$B$95)</f>
        <v>0</v>
      </c>
      <c r="F254" s="463">
        <f ca="1">IF(COUNT($D$254:E254)&gt;'Datu ievade'!$B$95,0,$E$255/'Datu ievade'!$B$95)</f>
        <v>0</v>
      </c>
      <c r="G254" s="463">
        <f ca="1">IF(COUNT($D$254:F254)&gt;'Datu ievade'!$B$95,0,$E$255/'Datu ievade'!$B$95)</f>
        <v>0</v>
      </c>
      <c r="H254" s="463">
        <f ca="1">IF(COUNT($D$254:G254)&gt;'Datu ievade'!$B$95,0,$E$255/'Datu ievade'!$B$95)</f>
        <v>0</v>
      </c>
      <c r="I254" s="463">
        <f ca="1">IF(COUNT($D$254:H254)&gt;'Datu ievade'!$B$95,0,$E$255/'Datu ievade'!$B$95)</f>
        <v>0</v>
      </c>
      <c r="J254" s="463">
        <f ca="1">IF(COUNT($D$254:I254)&gt;'Datu ievade'!$B$95,0,$E$255/'Datu ievade'!$B$95)</f>
        <v>0</v>
      </c>
      <c r="K254" s="463">
        <f ca="1">IF(COUNT($D$254:J254)&gt;'Datu ievade'!$B$95,0,$E$255/'Datu ievade'!$B$95)</f>
        <v>0</v>
      </c>
      <c r="L254" s="463">
        <f ca="1">IF(COUNT($D$254:K254)&gt;'Datu ievade'!$B$95,0,$E$255/'Datu ievade'!$B$95)</f>
        <v>0</v>
      </c>
      <c r="M254" s="463">
        <f ca="1">IF(COUNT($D$254:L254)&gt;'Datu ievade'!$B$95,0,$E$255/'Datu ievade'!$B$95)</f>
        <v>0</v>
      </c>
      <c r="N254" s="463">
        <f ca="1">IF(COUNT($D$254:M254)&gt;'Datu ievade'!$B$95,0,$E$255/'Datu ievade'!$B$95)</f>
        <v>0</v>
      </c>
      <c r="O254" s="463">
        <f ca="1">IF(COUNT($D$254:N254)&gt;'Datu ievade'!$B$95,0,$E$255/'Datu ievade'!$B$95)</f>
        <v>0</v>
      </c>
      <c r="P254" s="463">
        <f ca="1">IF(COUNT($D$254:O254)&gt;'Datu ievade'!$B$95,0,$E$255/'Datu ievade'!$B$95)</f>
        <v>0</v>
      </c>
      <c r="Q254" s="463">
        <f ca="1">IF(COUNT($D$254:P254)&gt;'Datu ievade'!$B$95,0,$E$255/'Datu ievade'!$B$95)</f>
        <v>0</v>
      </c>
      <c r="R254" s="463">
        <f ca="1">IF(COUNT($D$254:Q254)&gt;'Datu ievade'!$B$95,0,$E$255/'Datu ievade'!$B$95)</f>
        <v>0</v>
      </c>
      <c r="S254" s="463">
        <f ca="1">IF(COUNT($D$254:R254)&gt;'Datu ievade'!$B$95,0,$E$255/'Datu ievade'!$B$95)</f>
        <v>0</v>
      </c>
      <c r="T254" s="463">
        <f ca="1">IF(COUNT($D$254:S254)&gt;'Datu ievade'!$B$95,0,$E$255/'Datu ievade'!$B$95)</f>
        <v>0</v>
      </c>
      <c r="U254" s="463">
        <f ca="1">IF(COUNT($D$254:T254)&gt;'Datu ievade'!$B$95,0,$E$255/'Datu ievade'!$B$95)</f>
        <v>0</v>
      </c>
      <c r="V254" s="463">
        <f ca="1">IF(COUNT($D$254:U254)&gt;'Datu ievade'!$B$95,0,$E$255/'Datu ievade'!$B$95)</f>
        <v>0</v>
      </c>
      <c r="W254" s="463">
        <f ca="1">IF(COUNT($D$254:V254)&gt;'Datu ievade'!$B$95,0,$E$255/'Datu ievade'!$B$95)</f>
        <v>0</v>
      </c>
      <c r="X254" s="463">
        <f ca="1">IF(COUNT($D$254:W254)&gt;'Datu ievade'!$B$95,0,$E$255/'Datu ievade'!$B$95)</f>
        <v>0</v>
      </c>
      <c r="Y254" s="463">
        <f ca="1">IF(COUNT($D$254:X254)&gt;'Datu ievade'!$B$95,0,$E$255/'Datu ievade'!$B$95)</f>
        <v>0</v>
      </c>
      <c r="Z254" s="463">
        <f ca="1">IF(COUNT($D$254:Y254)&gt;'Datu ievade'!$B$95,0,$E$255/'Datu ievade'!$B$95)</f>
        <v>0</v>
      </c>
      <c r="AA254" s="463">
        <f ca="1">IF(COUNT($D$254:Z254)&gt;'Datu ievade'!$B$95,0,$E$255/'Datu ievade'!$B$95)</f>
        <v>0</v>
      </c>
      <c r="AB254" s="463">
        <f ca="1">IF(COUNT($D$254:AA254)&gt;'Datu ievade'!$B$95,0,$E$255/'Datu ievade'!$B$95)</f>
        <v>0</v>
      </c>
      <c r="AC254" s="463">
        <f ca="1">IF(COUNT($D$254:AB254)&gt;'Datu ievade'!$B$95,0,$E$255/'Datu ievade'!$B$95)</f>
        <v>0</v>
      </c>
      <c r="AD254" s="463">
        <f ca="1">IF(COUNT($E$254:AC254)&gt;'Datu ievade'!$B$95,0,$E$255/'Datu ievade'!$B$95)</f>
        <v>0</v>
      </c>
      <c r="AE254" s="463">
        <f ca="1">IF(COUNT($D$254:AD254)&gt;'Datu ievade'!$B$95,0,$E$255/'Datu ievade'!$B$95)</f>
        <v>0</v>
      </c>
      <c r="AF254" s="463">
        <f ca="1">IF(COUNT($D$254:AE254)&gt;'Datu ievade'!$B$95,0,$E$255/'Datu ievade'!$B$95)</f>
        <v>0</v>
      </c>
      <c r="AG254" s="463">
        <f ca="1">IF(COUNT($D$254:AF254)&gt;'Datu ievade'!$B$95,0,$E$255/'Datu ievade'!$B$95)</f>
        <v>0</v>
      </c>
      <c r="AH254" s="463">
        <f ca="1">IF(COUNT($D$254:AG254)&gt;'Datu ievade'!$B$95,0,$D$255/'Datu ievade'!$B$95)</f>
        <v>0</v>
      </c>
      <c r="AI254" s="463"/>
      <c r="AJ254" s="260"/>
      <c r="AK254" s="260"/>
      <c r="AL254" s="260"/>
      <c r="AM254" s="535"/>
      <c r="AN254" s="260"/>
      <c r="AO254" s="283"/>
      <c r="AP254" s="71"/>
      <c r="AQ254" s="283"/>
      <c r="AR254" s="71"/>
      <c r="AS254" s="283"/>
      <c r="AT254" s="260"/>
      <c r="AU254" s="260"/>
      <c r="AV254" s="260"/>
      <c r="AW254" s="260"/>
      <c r="AX254" s="260"/>
      <c r="AY254" s="260"/>
      <c r="AZ254" s="260"/>
      <c r="BA254" s="260"/>
      <c r="BB254" s="260"/>
      <c r="BC254" s="260"/>
      <c r="BD254" s="260"/>
      <c r="BE254" s="260"/>
      <c r="BF254" s="260"/>
      <c r="BG254" s="260"/>
      <c r="BH254" s="260"/>
      <c r="BI254" s="260"/>
      <c r="BJ254" s="260"/>
      <c r="BK254" s="260"/>
      <c r="BL254" s="260"/>
      <c r="BM254" s="260"/>
      <c r="BN254" s="260"/>
      <c r="BO254" s="260"/>
      <c r="BP254" s="260"/>
      <c r="BQ254" s="260"/>
      <c r="BR254" s="260"/>
      <c r="BS254" s="260"/>
      <c r="BT254" s="260"/>
      <c r="BU254" s="260"/>
      <c r="BV254" s="260"/>
      <c r="BW254" s="260"/>
      <c r="BX254" s="260"/>
      <c r="BY254" s="260"/>
      <c r="BZ254" s="260"/>
      <c r="CA254" s="260"/>
      <c r="CB254" s="260"/>
      <c r="CC254" s="260"/>
      <c r="CD254" s="260"/>
      <c r="CE254" s="260"/>
      <c r="CF254" s="260"/>
      <c r="CG254" s="260"/>
      <c r="CH254" s="260"/>
      <c r="CI254" s="260"/>
      <c r="CJ254" s="260"/>
      <c r="CK254" s="260"/>
      <c r="CL254" s="260"/>
      <c r="CM254" s="260"/>
      <c r="CN254" s="260"/>
      <c r="CO254" s="260"/>
      <c r="CP254" s="260"/>
      <c r="CQ254" s="260"/>
      <c r="CR254" s="260"/>
      <c r="CS254" s="260"/>
      <c r="CT254" s="260"/>
      <c r="CU254" s="260"/>
      <c r="CV254" s="260"/>
      <c r="CW254" s="260"/>
      <c r="CX254" s="260"/>
      <c r="CY254" s="260"/>
      <c r="CZ254" s="260"/>
      <c r="DA254" s="260"/>
      <c r="DB254" s="260"/>
      <c r="DC254" s="260"/>
      <c r="DD254" s="260"/>
      <c r="DE254" s="260"/>
      <c r="DF254" s="260"/>
      <c r="DG254" s="260"/>
      <c r="DH254" s="260"/>
      <c r="DI254" s="260"/>
      <c r="DJ254" s="260"/>
      <c r="DK254" s="260"/>
      <c r="DL254" s="260"/>
      <c r="DM254" s="260"/>
      <c r="DN254" s="260"/>
      <c r="DO254" s="260"/>
      <c r="DP254" s="260"/>
      <c r="DQ254" s="260"/>
      <c r="DR254" s="260"/>
      <c r="DS254" s="260"/>
      <c r="DT254" s="260"/>
      <c r="DU254" s="260"/>
      <c r="DV254" s="260"/>
      <c r="DW254" s="260"/>
      <c r="DX254" s="260"/>
      <c r="DY254" s="260"/>
      <c r="DZ254" s="260"/>
      <c r="EA254" s="260"/>
      <c r="EB254" s="260"/>
      <c r="EC254" s="260"/>
      <c r="ED254" s="260"/>
      <c r="EE254" s="260"/>
      <c r="EF254" s="260"/>
      <c r="EG254" s="260"/>
      <c r="EH254" s="260"/>
      <c r="EI254" s="260"/>
      <c r="EJ254" s="260"/>
      <c r="EK254" s="260"/>
      <c r="EL254" s="260"/>
      <c r="EM254" s="260"/>
      <c r="EN254" s="260"/>
      <c r="EO254" s="260"/>
      <c r="EP254" s="260"/>
      <c r="EQ254" s="260"/>
      <c r="ER254" s="260"/>
      <c r="ES254" s="260"/>
      <c r="ET254" s="260"/>
      <c r="EU254" s="260"/>
      <c r="EV254" s="260"/>
      <c r="EW254" s="260"/>
      <c r="EX254" s="260"/>
      <c r="EY254" s="260"/>
      <c r="EZ254" s="260"/>
      <c r="FA254" s="260"/>
      <c r="FB254" s="260"/>
      <c r="FC254" s="260"/>
      <c r="FD254" s="260"/>
      <c r="FE254" s="260"/>
      <c r="FF254" s="260"/>
      <c r="FG254" s="260"/>
      <c r="FH254" s="260"/>
      <c r="FI254" s="260"/>
      <c r="FJ254" s="260"/>
      <c r="FK254" s="260"/>
      <c r="FL254" s="260"/>
      <c r="FM254" s="260"/>
      <c r="FN254" s="260"/>
      <c r="FO254" s="260"/>
      <c r="FP254" s="260"/>
      <c r="FQ254" s="260"/>
      <c r="FR254" s="260"/>
      <c r="FS254" s="260"/>
      <c r="FT254" s="260"/>
      <c r="FU254" s="260"/>
      <c r="FV254" s="260"/>
      <c r="FW254" s="260"/>
      <c r="FX254" s="260"/>
      <c r="FY254" s="260"/>
      <c r="FZ254" s="260"/>
      <c r="GA254" s="260"/>
      <c r="GB254" s="260"/>
      <c r="GC254" s="260"/>
      <c r="GD254" s="260"/>
      <c r="GE254" s="260"/>
      <c r="GF254" s="260"/>
      <c r="GG254" s="260"/>
      <c r="GH254" s="260"/>
      <c r="GI254" s="260"/>
      <c r="GJ254" s="260"/>
      <c r="GK254" s="260"/>
      <c r="GL254" s="260"/>
      <c r="GM254" s="260"/>
      <c r="GN254" s="260"/>
      <c r="GO254" s="260"/>
      <c r="GP254" s="260"/>
      <c r="GQ254" s="260"/>
      <c r="GR254" s="260"/>
      <c r="GS254" s="260"/>
      <c r="GT254" s="260"/>
      <c r="GU254" s="260"/>
      <c r="GV254" s="260"/>
      <c r="GW254" s="260"/>
      <c r="GX254" s="260"/>
      <c r="GY254" s="260"/>
      <c r="GZ254" s="260"/>
      <c r="HA254" s="260"/>
      <c r="HB254" s="260"/>
      <c r="HC254" s="260"/>
      <c r="HD254" s="260"/>
      <c r="HE254" s="260"/>
      <c r="HF254" s="260"/>
      <c r="HG254" s="260"/>
      <c r="HH254" s="260"/>
      <c r="HI254" s="260"/>
      <c r="HJ254" s="260"/>
      <c r="HK254" s="260"/>
      <c r="HL254" s="260"/>
      <c r="HM254" s="260"/>
      <c r="HN254" s="260"/>
      <c r="HO254" s="260"/>
      <c r="HP254" s="260"/>
      <c r="HQ254" s="260"/>
      <c r="HR254" s="260"/>
      <c r="HS254" s="260"/>
      <c r="HT254" s="260"/>
      <c r="HU254" s="260"/>
      <c r="HV254" s="260"/>
      <c r="HW254" s="260"/>
      <c r="HX254" s="260"/>
      <c r="HY254" s="260"/>
      <c r="HZ254" s="260"/>
      <c r="IA254" s="260"/>
      <c r="IB254" s="260"/>
      <c r="IC254" s="260"/>
      <c r="ID254" s="260"/>
      <c r="IE254" s="260"/>
      <c r="IF254" s="260"/>
      <c r="IG254" s="260"/>
      <c r="IH254" s="260"/>
      <c r="II254" s="260"/>
      <c r="IJ254" s="260"/>
      <c r="IK254" s="260"/>
      <c r="IL254" s="260"/>
      <c r="IM254" s="260"/>
      <c r="IN254" s="260"/>
      <c r="IO254" s="260"/>
      <c r="IP254" s="260"/>
      <c r="IQ254" s="260"/>
      <c r="IR254" s="260"/>
      <c r="IS254" s="260"/>
    </row>
    <row r="255" spans="1:253" s="419" customFormat="1" x14ac:dyDescent="0.2">
      <c r="A255" s="464" t="s">
        <v>227</v>
      </c>
      <c r="B255" s="487">
        <f>B251</f>
        <v>0</v>
      </c>
      <c r="C255" s="465">
        <f t="shared" ref="C255:AG255" si="88">(B255+C251)-C254</f>
        <v>0</v>
      </c>
      <c r="D255" s="465">
        <f t="shared" ca="1" si="88"/>
        <v>0</v>
      </c>
      <c r="E255" s="465">
        <f t="shared" ca="1" si="88"/>
        <v>0</v>
      </c>
      <c r="F255" s="465">
        <f t="shared" ca="1" si="88"/>
        <v>0</v>
      </c>
      <c r="G255" s="465">
        <f t="shared" ca="1" si="88"/>
        <v>0</v>
      </c>
      <c r="H255" s="465">
        <f t="shared" ca="1" si="88"/>
        <v>0</v>
      </c>
      <c r="I255" s="465">
        <f t="shared" ca="1" si="88"/>
        <v>0</v>
      </c>
      <c r="J255" s="465">
        <f t="shared" ca="1" si="88"/>
        <v>0</v>
      </c>
      <c r="K255" s="465">
        <f t="shared" ca="1" si="88"/>
        <v>0</v>
      </c>
      <c r="L255" s="465">
        <f t="shared" ca="1" si="88"/>
        <v>0</v>
      </c>
      <c r="M255" s="465">
        <f t="shared" ca="1" si="88"/>
        <v>0</v>
      </c>
      <c r="N255" s="465">
        <f t="shared" ca="1" si="88"/>
        <v>0</v>
      </c>
      <c r="O255" s="465">
        <f t="shared" ca="1" si="88"/>
        <v>0</v>
      </c>
      <c r="P255" s="465">
        <f t="shared" ca="1" si="88"/>
        <v>0</v>
      </c>
      <c r="Q255" s="465">
        <f t="shared" ca="1" si="88"/>
        <v>0</v>
      </c>
      <c r="R255" s="465">
        <f t="shared" ca="1" si="88"/>
        <v>0</v>
      </c>
      <c r="S255" s="465">
        <f t="shared" ca="1" si="88"/>
        <v>0</v>
      </c>
      <c r="T255" s="465">
        <f t="shared" ca="1" si="88"/>
        <v>0</v>
      </c>
      <c r="U255" s="465">
        <f t="shared" ca="1" si="88"/>
        <v>0</v>
      </c>
      <c r="V255" s="465">
        <f t="shared" ca="1" si="88"/>
        <v>0</v>
      </c>
      <c r="W255" s="465">
        <f t="shared" ca="1" si="88"/>
        <v>0</v>
      </c>
      <c r="X255" s="465">
        <f t="shared" ca="1" si="88"/>
        <v>0</v>
      </c>
      <c r="Y255" s="465">
        <f t="shared" ca="1" si="88"/>
        <v>0</v>
      </c>
      <c r="Z255" s="465">
        <f t="shared" ca="1" si="88"/>
        <v>0</v>
      </c>
      <c r="AA255" s="465">
        <f t="shared" ca="1" si="88"/>
        <v>0</v>
      </c>
      <c r="AB255" s="465">
        <f t="shared" ca="1" si="88"/>
        <v>0</v>
      </c>
      <c r="AC255" s="465">
        <f t="shared" ca="1" si="88"/>
        <v>0</v>
      </c>
      <c r="AD255" s="465">
        <f t="shared" ca="1" si="88"/>
        <v>0</v>
      </c>
      <c r="AE255" s="465">
        <f t="shared" ca="1" si="88"/>
        <v>0</v>
      </c>
      <c r="AF255" s="465">
        <f t="shared" ca="1" si="88"/>
        <v>0</v>
      </c>
      <c r="AG255" s="465">
        <f t="shared" ca="1" si="88"/>
        <v>0</v>
      </c>
      <c r="AH255" s="465">
        <f ca="1">(AG255+AH251)-AH254</f>
        <v>0</v>
      </c>
      <c r="AI255" s="465"/>
      <c r="AJ255" s="260"/>
      <c r="AK255" s="260"/>
      <c r="AL255" s="260"/>
      <c r="AM255" s="535"/>
      <c r="AN255" s="260"/>
      <c r="AO255" s="283"/>
      <c r="AP255" s="71"/>
      <c r="AQ255" s="283"/>
      <c r="AR255" s="71"/>
      <c r="AS255" s="283"/>
      <c r="AT255" s="260"/>
      <c r="AU255" s="260"/>
      <c r="AV255" s="260"/>
      <c r="AW255" s="260"/>
      <c r="AX255" s="260"/>
      <c r="AY255" s="260"/>
      <c r="AZ255" s="260"/>
      <c r="BA255" s="260"/>
      <c r="BB255" s="260"/>
      <c r="BC255" s="260"/>
      <c r="BD255" s="260"/>
      <c r="BE255" s="260"/>
      <c r="BF255" s="260"/>
      <c r="BG255" s="260"/>
      <c r="BH255" s="260"/>
      <c r="BI255" s="260"/>
      <c r="BJ255" s="260"/>
      <c r="BK255" s="260"/>
      <c r="BL255" s="260"/>
      <c r="BM255" s="260"/>
      <c r="BN255" s="260"/>
      <c r="BO255" s="260"/>
      <c r="BP255" s="260"/>
      <c r="BQ255" s="260"/>
      <c r="BR255" s="260"/>
      <c r="BS255" s="260"/>
      <c r="BT255" s="260"/>
      <c r="BU255" s="260"/>
      <c r="BV255" s="260"/>
      <c r="BW255" s="260"/>
      <c r="BX255" s="260"/>
      <c r="BY255" s="260"/>
      <c r="BZ255" s="260"/>
      <c r="CA255" s="260"/>
      <c r="CB255" s="260"/>
      <c r="CC255" s="260"/>
      <c r="CD255" s="260"/>
      <c r="CE255" s="260"/>
      <c r="CF255" s="260"/>
      <c r="CG255" s="260"/>
      <c r="CH255" s="260"/>
      <c r="CI255" s="260"/>
      <c r="CJ255" s="260"/>
      <c r="CK255" s="260"/>
      <c r="CL255" s="260"/>
      <c r="CM255" s="260"/>
      <c r="CN255" s="260"/>
      <c r="CO255" s="260"/>
      <c r="CP255" s="260"/>
      <c r="CQ255" s="260"/>
      <c r="CR255" s="260"/>
      <c r="CS255" s="260"/>
      <c r="CT255" s="260"/>
      <c r="CU255" s="260"/>
      <c r="CV255" s="260"/>
      <c r="CW255" s="260"/>
      <c r="CX255" s="260"/>
      <c r="CY255" s="260"/>
      <c r="CZ255" s="260"/>
      <c r="DA255" s="260"/>
      <c r="DB255" s="260"/>
      <c r="DC255" s="260"/>
      <c r="DD255" s="260"/>
      <c r="DE255" s="260"/>
      <c r="DF255" s="260"/>
      <c r="DG255" s="260"/>
      <c r="DH255" s="260"/>
      <c r="DI255" s="260"/>
      <c r="DJ255" s="260"/>
      <c r="DK255" s="260"/>
      <c r="DL255" s="260"/>
      <c r="DM255" s="260"/>
      <c r="DN255" s="260"/>
      <c r="DO255" s="260"/>
      <c r="DP255" s="260"/>
      <c r="DQ255" s="260"/>
      <c r="DR255" s="260"/>
      <c r="DS255" s="260"/>
      <c r="DT255" s="260"/>
      <c r="DU255" s="260"/>
      <c r="DV255" s="260"/>
      <c r="DW255" s="260"/>
      <c r="DX255" s="260"/>
      <c r="DY255" s="260"/>
      <c r="DZ255" s="260"/>
      <c r="EA255" s="260"/>
      <c r="EB255" s="260"/>
      <c r="EC255" s="260"/>
      <c r="ED255" s="260"/>
      <c r="EE255" s="260"/>
      <c r="EF255" s="260"/>
      <c r="EG255" s="260"/>
      <c r="EH255" s="260"/>
      <c r="EI255" s="260"/>
      <c r="EJ255" s="260"/>
      <c r="EK255" s="260"/>
      <c r="EL255" s="260"/>
      <c r="EM255" s="260"/>
      <c r="EN255" s="260"/>
      <c r="EO255" s="260"/>
      <c r="EP255" s="260"/>
      <c r="EQ255" s="260"/>
      <c r="ER255" s="260"/>
      <c r="ES255" s="260"/>
      <c r="ET255" s="260"/>
      <c r="EU255" s="260"/>
      <c r="EV255" s="260"/>
      <c r="EW255" s="260"/>
      <c r="EX255" s="260"/>
      <c r="EY255" s="260"/>
      <c r="EZ255" s="260"/>
      <c r="FA255" s="260"/>
      <c r="FB255" s="260"/>
      <c r="FC255" s="260"/>
      <c r="FD255" s="260"/>
      <c r="FE255" s="260"/>
      <c r="FF255" s="260"/>
      <c r="FG255" s="260"/>
      <c r="FH255" s="260"/>
      <c r="FI255" s="260"/>
      <c r="FJ255" s="260"/>
      <c r="FK255" s="260"/>
      <c r="FL255" s="260"/>
      <c r="FM255" s="260"/>
      <c r="FN255" s="260"/>
      <c r="FO255" s="260"/>
      <c r="FP255" s="260"/>
      <c r="FQ255" s="260"/>
      <c r="FR255" s="260"/>
      <c r="FS255" s="260"/>
      <c r="FT255" s="260"/>
      <c r="FU255" s="260"/>
      <c r="FV255" s="260"/>
      <c r="FW255" s="260"/>
      <c r="FX255" s="260"/>
      <c r="FY255" s="260"/>
      <c r="FZ255" s="260"/>
      <c r="GA255" s="260"/>
      <c r="GB255" s="260"/>
      <c r="GC255" s="260"/>
      <c r="GD255" s="260"/>
      <c r="GE255" s="260"/>
      <c r="GF255" s="260"/>
      <c r="GG255" s="260"/>
      <c r="GH255" s="260"/>
      <c r="GI255" s="260"/>
      <c r="GJ255" s="260"/>
      <c r="GK255" s="260"/>
      <c r="GL255" s="260"/>
      <c r="GM255" s="260"/>
      <c r="GN255" s="260"/>
      <c r="GO255" s="260"/>
      <c r="GP255" s="260"/>
      <c r="GQ255" s="260"/>
      <c r="GR255" s="260"/>
      <c r="GS255" s="260"/>
      <c r="GT255" s="260"/>
      <c r="GU255" s="260"/>
      <c r="GV255" s="260"/>
      <c r="GW255" s="260"/>
      <c r="GX255" s="260"/>
      <c r="GY255" s="260"/>
      <c r="GZ255" s="260"/>
      <c r="HA255" s="260"/>
      <c r="HB255" s="260"/>
      <c r="HC255" s="260"/>
      <c r="HD255" s="260"/>
      <c r="HE255" s="260"/>
      <c r="HF255" s="260"/>
      <c r="HG255" s="260"/>
      <c r="HH255" s="260"/>
      <c r="HI255" s="260"/>
      <c r="HJ255" s="260"/>
      <c r="HK255" s="260"/>
      <c r="HL255" s="260"/>
      <c r="HM255" s="260"/>
      <c r="HN255" s="260"/>
      <c r="HO255" s="260"/>
      <c r="HP255" s="260"/>
      <c r="HQ255" s="260"/>
      <c r="HR255" s="260"/>
      <c r="HS255" s="260"/>
      <c r="HT255" s="260"/>
      <c r="HU255" s="260"/>
      <c r="HV255" s="260"/>
      <c r="HW255" s="260"/>
      <c r="HX255" s="260"/>
      <c r="HY255" s="260"/>
      <c r="HZ255" s="260"/>
      <c r="IA255" s="260"/>
      <c r="IB255" s="260"/>
      <c r="IC255" s="260"/>
      <c r="ID255" s="260"/>
      <c r="IE255" s="260"/>
      <c r="IF255" s="260"/>
      <c r="IG255" s="260"/>
      <c r="IH255" s="260"/>
      <c r="II255" s="260"/>
      <c r="IJ255" s="260"/>
      <c r="IK255" s="260"/>
      <c r="IL255" s="260"/>
      <c r="IM255" s="260"/>
      <c r="IN255" s="260"/>
      <c r="IO255" s="260"/>
      <c r="IP255" s="260"/>
      <c r="IQ255" s="260"/>
      <c r="IR255" s="260"/>
      <c r="IS255" s="260"/>
    </row>
    <row r="256" spans="1:253" s="419" customFormat="1" x14ac:dyDescent="0.2">
      <c r="A256" s="424"/>
      <c r="B256" s="488"/>
      <c r="C256" s="488"/>
      <c r="D256" s="488"/>
      <c r="E256" s="488"/>
      <c r="F256" s="488"/>
      <c r="G256" s="488"/>
      <c r="H256" s="488"/>
      <c r="I256" s="488"/>
      <c r="J256" s="488"/>
      <c r="K256" s="488"/>
      <c r="L256" s="488"/>
      <c r="M256" s="509"/>
      <c r="N256" s="509"/>
      <c r="O256" s="509"/>
      <c r="P256" s="509"/>
      <c r="Q256" s="509"/>
      <c r="R256" s="509"/>
      <c r="S256" s="509"/>
      <c r="T256" s="509"/>
      <c r="U256" s="509"/>
      <c r="V256" s="509"/>
      <c r="W256" s="509"/>
      <c r="X256" s="509"/>
      <c r="Y256" s="509"/>
      <c r="Z256" s="510"/>
      <c r="AA256" s="510"/>
      <c r="AB256" s="510"/>
      <c r="AC256" s="510"/>
      <c r="AD256" s="510"/>
      <c r="AE256" s="510"/>
      <c r="AF256" s="510"/>
      <c r="AG256" s="510"/>
      <c r="AH256" s="510"/>
      <c r="AI256" s="510"/>
      <c r="AJ256" s="260"/>
      <c r="AK256" s="260"/>
      <c r="AL256" s="260"/>
      <c r="AM256" s="535"/>
      <c r="AN256" s="260"/>
      <c r="AO256" s="283"/>
      <c r="AP256" s="71"/>
      <c r="AQ256" s="283"/>
      <c r="AR256" s="71"/>
      <c r="AS256" s="283"/>
      <c r="AT256" s="260"/>
      <c r="AU256" s="260"/>
      <c r="AV256" s="260"/>
      <c r="AW256" s="260"/>
      <c r="AX256" s="260"/>
      <c r="AY256" s="260"/>
      <c r="AZ256" s="260"/>
      <c r="BA256" s="260"/>
      <c r="BB256" s="260"/>
      <c r="BC256" s="260"/>
      <c r="BD256" s="260"/>
      <c r="BE256" s="260"/>
      <c r="BF256" s="260"/>
      <c r="BG256" s="260"/>
      <c r="BH256" s="260"/>
      <c r="BI256" s="260"/>
      <c r="BJ256" s="260"/>
      <c r="BK256" s="260"/>
      <c r="BL256" s="260"/>
      <c r="BM256" s="260"/>
      <c r="BN256" s="260"/>
      <c r="BO256" s="260"/>
      <c r="BP256" s="260"/>
      <c r="BQ256" s="260"/>
      <c r="BR256" s="260"/>
      <c r="BS256" s="260"/>
      <c r="BT256" s="260"/>
      <c r="BU256" s="260"/>
      <c r="BV256" s="260"/>
      <c r="BW256" s="260"/>
      <c r="BX256" s="260"/>
      <c r="BY256" s="260"/>
      <c r="BZ256" s="260"/>
      <c r="CA256" s="260"/>
      <c r="CB256" s="260"/>
      <c r="CC256" s="260"/>
      <c r="CD256" s="260"/>
      <c r="CE256" s="260"/>
      <c r="CF256" s="260"/>
      <c r="CG256" s="260"/>
      <c r="CH256" s="260"/>
      <c r="CI256" s="260"/>
      <c r="CJ256" s="260"/>
      <c r="CK256" s="260"/>
      <c r="CL256" s="260"/>
      <c r="CM256" s="260"/>
      <c r="CN256" s="260"/>
      <c r="CO256" s="260"/>
      <c r="CP256" s="260"/>
      <c r="CQ256" s="260"/>
      <c r="CR256" s="260"/>
      <c r="CS256" s="260"/>
      <c r="CT256" s="260"/>
      <c r="CU256" s="260"/>
      <c r="CV256" s="260"/>
      <c r="CW256" s="260"/>
      <c r="CX256" s="260"/>
      <c r="CY256" s="260"/>
      <c r="CZ256" s="260"/>
      <c r="DA256" s="260"/>
      <c r="DB256" s="260"/>
      <c r="DC256" s="260"/>
      <c r="DD256" s="260"/>
      <c r="DE256" s="260"/>
      <c r="DF256" s="260"/>
      <c r="DG256" s="260"/>
      <c r="DH256" s="260"/>
      <c r="DI256" s="260"/>
      <c r="DJ256" s="260"/>
      <c r="DK256" s="260"/>
      <c r="DL256" s="260"/>
      <c r="DM256" s="260"/>
      <c r="DN256" s="260"/>
      <c r="DO256" s="260"/>
      <c r="DP256" s="260"/>
      <c r="DQ256" s="260"/>
      <c r="DR256" s="260"/>
      <c r="DS256" s="260"/>
      <c r="DT256" s="260"/>
      <c r="DU256" s="260"/>
      <c r="DV256" s="260"/>
      <c r="DW256" s="260"/>
      <c r="DX256" s="260"/>
      <c r="DY256" s="260"/>
      <c r="DZ256" s="260"/>
      <c r="EA256" s="260"/>
      <c r="EB256" s="260"/>
      <c r="EC256" s="260"/>
      <c r="ED256" s="260"/>
      <c r="EE256" s="260"/>
      <c r="EF256" s="260"/>
      <c r="EG256" s="260"/>
      <c r="EH256" s="260"/>
      <c r="EI256" s="260"/>
      <c r="EJ256" s="260"/>
      <c r="EK256" s="260"/>
      <c r="EL256" s="260"/>
      <c r="EM256" s="260"/>
      <c r="EN256" s="260"/>
      <c r="EO256" s="260"/>
      <c r="EP256" s="260"/>
      <c r="EQ256" s="260"/>
      <c r="ER256" s="260"/>
      <c r="ES256" s="260"/>
      <c r="ET256" s="260"/>
      <c r="EU256" s="260"/>
      <c r="EV256" s="260"/>
      <c r="EW256" s="260"/>
      <c r="EX256" s="260"/>
      <c r="EY256" s="260"/>
      <c r="EZ256" s="260"/>
      <c r="FA256" s="260"/>
      <c r="FB256" s="260"/>
      <c r="FC256" s="260"/>
      <c r="FD256" s="260"/>
      <c r="FE256" s="260"/>
      <c r="FF256" s="260"/>
      <c r="FG256" s="260"/>
      <c r="FH256" s="260"/>
      <c r="FI256" s="260"/>
      <c r="FJ256" s="260"/>
      <c r="FK256" s="260"/>
      <c r="FL256" s="260"/>
      <c r="FM256" s="260"/>
      <c r="FN256" s="260"/>
      <c r="FO256" s="260"/>
      <c r="FP256" s="260"/>
      <c r="FQ256" s="260"/>
      <c r="FR256" s="260"/>
      <c r="FS256" s="260"/>
      <c r="FT256" s="260"/>
      <c r="FU256" s="260"/>
      <c r="FV256" s="260"/>
      <c r="FW256" s="260"/>
      <c r="FX256" s="260"/>
      <c r="FY256" s="260"/>
      <c r="FZ256" s="260"/>
      <c r="GA256" s="260"/>
      <c r="GB256" s="260"/>
      <c r="GC256" s="260"/>
      <c r="GD256" s="260"/>
      <c r="GE256" s="260"/>
      <c r="GF256" s="260"/>
      <c r="GG256" s="260"/>
      <c r="GH256" s="260"/>
      <c r="GI256" s="260"/>
      <c r="GJ256" s="260"/>
      <c r="GK256" s="260"/>
      <c r="GL256" s="260"/>
      <c r="GM256" s="260"/>
      <c r="GN256" s="260"/>
      <c r="GO256" s="260"/>
      <c r="GP256" s="260"/>
      <c r="GQ256" s="260"/>
      <c r="GR256" s="260"/>
      <c r="GS256" s="260"/>
      <c r="GT256" s="260"/>
      <c r="GU256" s="260"/>
      <c r="GV256" s="260"/>
      <c r="GW256" s="260"/>
      <c r="GX256" s="260"/>
      <c r="GY256" s="260"/>
      <c r="GZ256" s="260"/>
      <c r="HA256" s="260"/>
      <c r="HB256" s="260"/>
      <c r="HC256" s="260"/>
      <c r="HD256" s="260"/>
      <c r="HE256" s="260"/>
      <c r="HF256" s="260"/>
      <c r="HG256" s="260"/>
      <c r="HH256" s="260"/>
      <c r="HI256" s="260"/>
      <c r="HJ256" s="260"/>
      <c r="HK256" s="260"/>
      <c r="HL256" s="260"/>
      <c r="HM256" s="260"/>
      <c r="HN256" s="260"/>
      <c r="HO256" s="260"/>
      <c r="HP256" s="260"/>
      <c r="HQ256" s="260"/>
      <c r="HR256" s="260"/>
      <c r="HS256" s="260"/>
      <c r="HT256" s="260"/>
      <c r="HU256" s="260"/>
      <c r="HV256" s="260"/>
      <c r="HW256" s="260"/>
      <c r="HX256" s="260"/>
      <c r="HY256" s="260"/>
      <c r="HZ256" s="260"/>
      <c r="IA256" s="260"/>
      <c r="IB256" s="260"/>
      <c r="IC256" s="260"/>
      <c r="ID256" s="260"/>
      <c r="IE256" s="260"/>
      <c r="IF256" s="260"/>
      <c r="IG256" s="260"/>
      <c r="IH256" s="260"/>
      <c r="II256" s="260"/>
      <c r="IJ256" s="260"/>
      <c r="IK256" s="260"/>
      <c r="IL256" s="260"/>
      <c r="IM256" s="260"/>
      <c r="IN256" s="260"/>
      <c r="IO256" s="260"/>
      <c r="IP256" s="260"/>
      <c r="IQ256" s="260"/>
      <c r="IR256" s="260"/>
      <c r="IS256" s="260"/>
    </row>
    <row r="257" spans="1:253" s="419" customFormat="1" ht="25.5" x14ac:dyDescent="0.2">
      <c r="A257" s="424" t="s">
        <v>594</v>
      </c>
      <c r="B257" s="509"/>
      <c r="C257" s="509"/>
      <c r="D257" s="509"/>
      <c r="E257" s="509"/>
      <c r="F257" s="509"/>
      <c r="G257" s="509"/>
      <c r="H257" s="509"/>
      <c r="I257" s="509"/>
      <c r="J257" s="509"/>
      <c r="K257" s="509"/>
      <c r="L257" s="509"/>
      <c r="M257" s="509"/>
      <c r="N257" s="509"/>
      <c r="O257" s="509"/>
      <c r="P257" s="509"/>
      <c r="Q257" s="509"/>
      <c r="R257" s="509"/>
      <c r="S257" s="509"/>
      <c r="T257" s="509"/>
      <c r="U257" s="509"/>
      <c r="V257" s="509"/>
      <c r="W257" s="509"/>
      <c r="X257" s="509"/>
      <c r="Y257" s="509"/>
      <c r="Z257" s="510"/>
      <c r="AA257" s="510"/>
      <c r="AB257" s="510"/>
      <c r="AC257" s="510"/>
      <c r="AD257" s="510"/>
      <c r="AE257" s="510"/>
      <c r="AF257" s="510"/>
      <c r="AG257" s="510"/>
      <c r="AH257" s="510"/>
      <c r="AI257" s="510"/>
      <c r="AJ257" s="260"/>
      <c r="AK257" s="260"/>
      <c r="AL257" s="260"/>
      <c r="AM257" s="535"/>
      <c r="AN257" s="260"/>
      <c r="AO257" s="283"/>
      <c r="AP257" s="71"/>
      <c r="AQ257" s="283"/>
      <c r="AR257" s="71"/>
      <c r="AS257" s="283"/>
      <c r="AT257" s="260"/>
      <c r="AU257" s="260"/>
      <c r="AV257" s="260"/>
      <c r="AW257" s="260"/>
      <c r="AX257" s="260"/>
      <c r="AY257" s="260"/>
      <c r="AZ257" s="260"/>
      <c r="BA257" s="260"/>
      <c r="BB257" s="260"/>
      <c r="BC257" s="260"/>
      <c r="BD257" s="260"/>
      <c r="BE257" s="260"/>
      <c r="BF257" s="260"/>
      <c r="BG257" s="260"/>
      <c r="BH257" s="260"/>
      <c r="BI257" s="260"/>
      <c r="BJ257" s="260"/>
      <c r="BK257" s="260"/>
      <c r="BL257" s="260"/>
      <c r="BM257" s="260"/>
      <c r="BN257" s="260"/>
      <c r="BO257" s="260"/>
      <c r="BP257" s="260"/>
      <c r="BQ257" s="260"/>
      <c r="BR257" s="260"/>
      <c r="BS257" s="260"/>
      <c r="BT257" s="260"/>
      <c r="BU257" s="260"/>
      <c r="BV257" s="260"/>
      <c r="BW257" s="260"/>
      <c r="BX257" s="260"/>
      <c r="BY257" s="260"/>
      <c r="BZ257" s="260"/>
      <c r="CA257" s="260"/>
      <c r="CB257" s="260"/>
      <c r="CC257" s="260"/>
      <c r="CD257" s="260"/>
      <c r="CE257" s="260"/>
      <c r="CF257" s="260"/>
      <c r="CG257" s="260"/>
      <c r="CH257" s="260"/>
      <c r="CI257" s="260"/>
      <c r="CJ257" s="260"/>
      <c r="CK257" s="260"/>
      <c r="CL257" s="260"/>
      <c r="CM257" s="260"/>
      <c r="CN257" s="260"/>
      <c r="CO257" s="260"/>
      <c r="CP257" s="260"/>
      <c r="CQ257" s="260"/>
      <c r="CR257" s="260"/>
      <c r="CS257" s="260"/>
      <c r="CT257" s="260"/>
      <c r="CU257" s="260"/>
      <c r="CV257" s="260"/>
      <c r="CW257" s="260"/>
      <c r="CX257" s="260"/>
      <c r="CY257" s="260"/>
      <c r="CZ257" s="260"/>
      <c r="DA257" s="260"/>
      <c r="DB257" s="260"/>
      <c r="DC257" s="260"/>
      <c r="DD257" s="260"/>
      <c r="DE257" s="260"/>
      <c r="DF257" s="260"/>
      <c r="DG257" s="260"/>
      <c r="DH257" s="260"/>
      <c r="DI257" s="260"/>
      <c r="DJ257" s="260"/>
      <c r="DK257" s="260"/>
      <c r="DL257" s="260"/>
      <c r="DM257" s="260"/>
      <c r="DN257" s="260"/>
      <c r="DO257" s="260"/>
      <c r="DP257" s="260"/>
      <c r="DQ257" s="260"/>
      <c r="DR257" s="260"/>
      <c r="DS257" s="260"/>
      <c r="DT257" s="260"/>
      <c r="DU257" s="260"/>
      <c r="DV257" s="260"/>
      <c r="DW257" s="260"/>
      <c r="DX257" s="260"/>
      <c r="DY257" s="260"/>
      <c r="DZ257" s="260"/>
      <c r="EA257" s="260"/>
      <c r="EB257" s="260"/>
      <c r="EC257" s="260"/>
      <c r="ED257" s="260"/>
      <c r="EE257" s="260"/>
      <c r="EF257" s="260"/>
      <c r="EG257" s="260"/>
      <c r="EH257" s="260"/>
      <c r="EI257" s="260"/>
      <c r="EJ257" s="260"/>
      <c r="EK257" s="260"/>
      <c r="EL257" s="260"/>
      <c r="EM257" s="260"/>
      <c r="EN257" s="260"/>
      <c r="EO257" s="260"/>
      <c r="EP257" s="260"/>
      <c r="EQ257" s="260"/>
      <c r="ER257" s="260"/>
      <c r="ES257" s="260"/>
      <c r="ET257" s="260"/>
      <c r="EU257" s="260"/>
      <c r="EV257" s="260"/>
      <c r="EW257" s="260"/>
      <c r="EX257" s="260"/>
      <c r="EY257" s="260"/>
      <c r="EZ257" s="260"/>
      <c r="FA257" s="260"/>
      <c r="FB257" s="260"/>
      <c r="FC257" s="260"/>
      <c r="FD257" s="260"/>
      <c r="FE257" s="260"/>
      <c r="FF257" s="260"/>
      <c r="FG257" s="260"/>
      <c r="FH257" s="260"/>
      <c r="FI257" s="260"/>
      <c r="FJ257" s="260"/>
      <c r="FK257" s="260"/>
      <c r="FL257" s="260"/>
      <c r="FM257" s="260"/>
      <c r="FN257" s="260"/>
      <c r="FO257" s="260"/>
      <c r="FP257" s="260"/>
      <c r="FQ257" s="260"/>
      <c r="FR257" s="260"/>
      <c r="FS257" s="260"/>
      <c r="FT257" s="260"/>
      <c r="FU257" s="260"/>
      <c r="FV257" s="260"/>
      <c r="FW257" s="260"/>
      <c r="FX257" s="260"/>
      <c r="FY257" s="260"/>
      <c r="FZ257" s="260"/>
      <c r="GA257" s="260"/>
      <c r="GB257" s="260"/>
      <c r="GC257" s="260"/>
      <c r="GD257" s="260"/>
      <c r="GE257" s="260"/>
      <c r="GF257" s="260"/>
      <c r="GG257" s="260"/>
      <c r="GH257" s="260"/>
      <c r="GI257" s="260"/>
      <c r="GJ257" s="260"/>
      <c r="GK257" s="260"/>
      <c r="GL257" s="260"/>
      <c r="GM257" s="260"/>
      <c r="GN257" s="260"/>
      <c r="GO257" s="260"/>
      <c r="GP257" s="260"/>
      <c r="GQ257" s="260"/>
      <c r="GR257" s="260"/>
      <c r="GS257" s="260"/>
      <c r="GT257" s="260"/>
      <c r="GU257" s="260"/>
      <c r="GV257" s="260"/>
      <c r="GW257" s="260"/>
      <c r="GX257" s="260"/>
      <c r="GY257" s="260"/>
      <c r="GZ257" s="260"/>
      <c r="HA257" s="260"/>
      <c r="HB257" s="260"/>
      <c r="HC257" s="260"/>
      <c r="HD257" s="260"/>
      <c r="HE257" s="260"/>
      <c r="HF257" s="260"/>
      <c r="HG257" s="260"/>
      <c r="HH257" s="260"/>
      <c r="HI257" s="260"/>
      <c r="HJ257" s="260"/>
      <c r="HK257" s="260"/>
      <c r="HL257" s="260"/>
      <c r="HM257" s="260"/>
      <c r="HN257" s="260"/>
      <c r="HO257" s="260"/>
      <c r="HP257" s="260"/>
      <c r="HQ257" s="260"/>
      <c r="HR257" s="260"/>
      <c r="HS257" s="260"/>
      <c r="HT257" s="260"/>
      <c r="HU257" s="260"/>
      <c r="HV257" s="260"/>
      <c r="HW257" s="260"/>
      <c r="HX257" s="260"/>
      <c r="HY257" s="260"/>
      <c r="HZ257" s="260"/>
      <c r="IA257" s="260"/>
      <c r="IB257" s="260"/>
      <c r="IC257" s="260"/>
      <c r="ID257" s="260"/>
      <c r="IE257" s="260"/>
      <c r="IF257" s="260"/>
      <c r="IG257" s="260"/>
      <c r="IH257" s="260"/>
      <c r="II257" s="260"/>
      <c r="IJ257" s="260"/>
      <c r="IK257" s="260"/>
      <c r="IL257" s="260"/>
      <c r="IM257" s="260"/>
      <c r="IN257" s="260"/>
      <c r="IO257" s="260"/>
      <c r="IP257" s="260"/>
      <c r="IQ257" s="260"/>
      <c r="IR257" s="260"/>
      <c r="IS257" s="260"/>
    </row>
    <row r="258" spans="1:253" s="419" customFormat="1" x14ac:dyDescent="0.2">
      <c r="A258" s="481" t="s">
        <v>473</v>
      </c>
      <c r="B258" s="511">
        <f>'Datu ievade'!$B$94</f>
        <v>0.02</v>
      </c>
      <c r="C258" s="511"/>
      <c r="D258" s="511"/>
      <c r="E258" s="511"/>
      <c r="F258" s="511"/>
      <c r="G258" s="511"/>
      <c r="H258" s="511"/>
      <c r="I258" s="511"/>
      <c r="J258" s="511"/>
      <c r="K258" s="511"/>
      <c r="L258" s="511"/>
      <c r="M258" s="511"/>
      <c r="N258" s="511"/>
      <c r="O258" s="511"/>
      <c r="P258" s="511"/>
      <c r="Q258" s="511"/>
      <c r="R258" s="511"/>
      <c r="S258" s="511"/>
      <c r="T258" s="511"/>
      <c r="U258" s="511"/>
      <c r="V258" s="511"/>
      <c r="W258" s="511"/>
      <c r="X258" s="511"/>
      <c r="Y258" s="511"/>
      <c r="Z258" s="511"/>
      <c r="AA258" s="511"/>
      <c r="AB258" s="511"/>
      <c r="AC258" s="511"/>
      <c r="AD258" s="511"/>
      <c r="AE258" s="511"/>
      <c r="AF258" s="511"/>
      <c r="AG258" s="511"/>
      <c r="AH258" s="511"/>
      <c r="AI258" s="511"/>
      <c r="AJ258" s="260"/>
      <c r="AK258" s="260"/>
      <c r="AL258" s="260"/>
      <c r="AM258" s="535"/>
      <c r="AN258" s="260"/>
      <c r="AO258" s="283"/>
      <c r="AP258" s="71"/>
      <c r="AQ258" s="283"/>
      <c r="AR258" s="71"/>
      <c r="AS258" s="283"/>
      <c r="AT258" s="260"/>
      <c r="AU258" s="260"/>
      <c r="AV258" s="260"/>
      <c r="AW258" s="260"/>
      <c r="AX258" s="260"/>
      <c r="AY258" s="260"/>
      <c r="AZ258" s="260"/>
      <c r="BA258" s="260"/>
      <c r="BB258" s="260"/>
      <c r="BC258" s="260"/>
      <c r="BD258" s="260"/>
      <c r="BE258" s="260"/>
      <c r="BF258" s="260"/>
      <c r="BG258" s="260"/>
      <c r="BH258" s="260"/>
      <c r="BI258" s="260"/>
      <c r="BJ258" s="260"/>
      <c r="BK258" s="260"/>
      <c r="BL258" s="260"/>
      <c r="BM258" s="260"/>
      <c r="BN258" s="260"/>
      <c r="BO258" s="260"/>
      <c r="BP258" s="260"/>
      <c r="BQ258" s="260"/>
      <c r="BR258" s="260"/>
      <c r="BS258" s="260"/>
      <c r="BT258" s="260"/>
      <c r="BU258" s="260"/>
      <c r="BV258" s="260"/>
      <c r="BW258" s="260"/>
      <c r="BX258" s="260"/>
      <c r="BY258" s="260"/>
      <c r="BZ258" s="260"/>
      <c r="CA258" s="260"/>
      <c r="CB258" s="260"/>
      <c r="CC258" s="260"/>
      <c r="CD258" s="260"/>
      <c r="CE258" s="260"/>
      <c r="CF258" s="260"/>
      <c r="CG258" s="260"/>
      <c r="CH258" s="260"/>
      <c r="CI258" s="260"/>
      <c r="CJ258" s="260"/>
      <c r="CK258" s="260"/>
      <c r="CL258" s="260"/>
      <c r="CM258" s="260"/>
      <c r="CN258" s="260"/>
      <c r="CO258" s="260"/>
      <c r="CP258" s="260"/>
      <c r="CQ258" s="260"/>
      <c r="CR258" s="260"/>
      <c r="CS258" s="260"/>
      <c r="CT258" s="260"/>
      <c r="CU258" s="260"/>
      <c r="CV258" s="260"/>
      <c r="CW258" s="260"/>
      <c r="CX258" s="260"/>
      <c r="CY258" s="260"/>
      <c r="CZ258" s="260"/>
      <c r="DA258" s="260"/>
      <c r="DB258" s="260"/>
      <c r="DC258" s="260"/>
      <c r="DD258" s="260"/>
      <c r="DE258" s="260"/>
      <c r="DF258" s="260"/>
      <c r="DG258" s="260"/>
      <c r="DH258" s="260"/>
      <c r="DI258" s="260"/>
      <c r="DJ258" s="260"/>
      <c r="DK258" s="260"/>
      <c r="DL258" s="260"/>
      <c r="DM258" s="260"/>
      <c r="DN258" s="260"/>
      <c r="DO258" s="260"/>
      <c r="DP258" s="260"/>
      <c r="DQ258" s="260"/>
      <c r="DR258" s="260"/>
      <c r="DS258" s="260"/>
      <c r="DT258" s="260"/>
      <c r="DU258" s="260"/>
      <c r="DV258" s="260"/>
      <c r="DW258" s="260"/>
      <c r="DX258" s="260"/>
      <c r="DY258" s="260"/>
      <c r="DZ258" s="260"/>
      <c r="EA258" s="260"/>
      <c r="EB258" s="260"/>
      <c r="EC258" s="260"/>
      <c r="ED258" s="260"/>
      <c r="EE258" s="260"/>
      <c r="EF258" s="260"/>
      <c r="EG258" s="260"/>
      <c r="EH258" s="260"/>
      <c r="EI258" s="260"/>
      <c r="EJ258" s="260"/>
      <c r="EK258" s="260"/>
      <c r="EL258" s="260"/>
      <c r="EM258" s="260"/>
      <c r="EN258" s="260"/>
      <c r="EO258" s="260"/>
      <c r="EP258" s="260"/>
      <c r="EQ258" s="260"/>
      <c r="ER258" s="260"/>
      <c r="ES258" s="260"/>
      <c r="ET258" s="260"/>
      <c r="EU258" s="260"/>
      <c r="EV258" s="260"/>
      <c r="EW258" s="260"/>
      <c r="EX258" s="260"/>
      <c r="EY258" s="260"/>
      <c r="EZ258" s="260"/>
      <c r="FA258" s="260"/>
      <c r="FB258" s="260"/>
      <c r="FC258" s="260"/>
      <c r="FD258" s="260"/>
      <c r="FE258" s="260"/>
      <c r="FF258" s="260"/>
      <c r="FG258" s="260"/>
      <c r="FH258" s="260"/>
      <c r="FI258" s="260"/>
      <c r="FJ258" s="260"/>
      <c r="FK258" s="260"/>
      <c r="FL258" s="260"/>
      <c r="FM258" s="260"/>
      <c r="FN258" s="260"/>
      <c r="FO258" s="260"/>
      <c r="FP258" s="260"/>
      <c r="FQ258" s="260"/>
      <c r="FR258" s="260"/>
      <c r="FS258" s="260"/>
      <c r="FT258" s="260"/>
      <c r="FU258" s="260"/>
      <c r="FV258" s="260"/>
      <c r="FW258" s="260"/>
      <c r="FX258" s="260"/>
      <c r="FY258" s="260"/>
      <c r="FZ258" s="260"/>
      <c r="GA258" s="260"/>
      <c r="GB258" s="260"/>
      <c r="GC258" s="260"/>
      <c r="GD258" s="260"/>
      <c r="GE258" s="260"/>
      <c r="GF258" s="260"/>
      <c r="GG258" s="260"/>
      <c r="GH258" s="260"/>
      <c r="GI258" s="260"/>
      <c r="GJ258" s="260"/>
      <c r="GK258" s="260"/>
      <c r="GL258" s="260"/>
      <c r="GM258" s="260"/>
      <c r="GN258" s="260"/>
      <c r="GO258" s="260"/>
      <c r="GP258" s="260"/>
      <c r="GQ258" s="260"/>
      <c r="GR258" s="260"/>
      <c r="GS258" s="260"/>
      <c r="GT258" s="260"/>
      <c r="GU258" s="260"/>
      <c r="GV258" s="260"/>
      <c r="GW258" s="260"/>
      <c r="GX258" s="260"/>
      <c r="GY258" s="260"/>
      <c r="GZ258" s="260"/>
      <c r="HA258" s="260"/>
      <c r="HB258" s="260"/>
      <c r="HC258" s="260"/>
      <c r="HD258" s="260"/>
      <c r="HE258" s="260"/>
      <c r="HF258" s="260"/>
      <c r="HG258" s="260"/>
      <c r="HH258" s="260"/>
      <c r="HI258" s="260"/>
      <c r="HJ258" s="260"/>
      <c r="HK258" s="260"/>
      <c r="HL258" s="260"/>
      <c r="HM258" s="260"/>
      <c r="HN258" s="260"/>
      <c r="HO258" s="260"/>
      <c r="HP258" s="260"/>
      <c r="HQ258" s="260"/>
      <c r="HR258" s="260"/>
      <c r="HS258" s="260"/>
      <c r="HT258" s="260"/>
      <c r="HU258" s="260"/>
      <c r="HV258" s="260"/>
      <c r="HW258" s="260"/>
      <c r="HX258" s="260"/>
      <c r="HY258" s="260"/>
      <c r="HZ258" s="260"/>
      <c r="IA258" s="260"/>
      <c r="IB258" s="260"/>
      <c r="IC258" s="260"/>
      <c r="ID258" s="260"/>
      <c r="IE258" s="260"/>
      <c r="IF258" s="260"/>
      <c r="IG258" s="260"/>
      <c r="IH258" s="260"/>
      <c r="II258" s="260"/>
      <c r="IJ258" s="260"/>
      <c r="IK258" s="260"/>
      <c r="IL258" s="260"/>
      <c r="IM258" s="260"/>
      <c r="IN258" s="260"/>
      <c r="IO258" s="260"/>
      <c r="IP258" s="260"/>
      <c r="IQ258" s="260"/>
      <c r="IR258" s="260"/>
      <c r="IS258" s="260"/>
    </row>
    <row r="259" spans="1:253" s="62" customFormat="1" x14ac:dyDescent="0.2">
      <c r="A259" s="474" t="s">
        <v>228</v>
      </c>
      <c r="B259" s="463">
        <f>IF('Datu ievade'!$B$98="Jā",IF('Datu ievade'!$B$102='Datu ievade'!$B$104,'Datu ievade'!B135,0),0)</f>
        <v>0</v>
      </c>
      <c r="C259" s="463">
        <f>IF('Datu ievade'!$B$98="Jā",IF('Datu ievade'!$B$102='Datu ievade'!$B$104,'Datu ievade'!C135,0),0)</f>
        <v>0</v>
      </c>
      <c r="D259" s="463">
        <f>IF('Datu ievade'!$B$98="Jā",IF('Datu ievade'!$B$102='Datu ievade'!$B$104,'Datu ievade'!D135,0),0)</f>
        <v>0</v>
      </c>
      <c r="E259" s="463">
        <f>IF('Datu ievade'!$B$98="Jā",IF('Datu ievade'!$B$102='Datu ievade'!$B$104,'Datu ievade'!E135,0),0)</f>
        <v>0</v>
      </c>
      <c r="F259" s="463">
        <f>IF('Datu ievade'!$B$98="Jā",IF('Datu ievade'!$B$102='Datu ievade'!$B$104,'Datu ievade'!F135,0),0)</f>
        <v>0</v>
      </c>
      <c r="G259" s="463">
        <f>IF('Datu ievade'!$B$98="Jā",IF('Datu ievade'!$B$102='Datu ievade'!$B$104,'Datu ievade'!G135,0),0)</f>
        <v>0</v>
      </c>
      <c r="H259" s="463">
        <f>IF('Datu ievade'!$B$98="Jā",IF('Datu ievade'!$B$102='Datu ievade'!$B$104,'Datu ievade'!H135,0),0)</f>
        <v>0</v>
      </c>
      <c r="I259" s="463">
        <f>IF('Datu ievade'!$B$98="Jā",IF('Datu ievade'!$B$102='Datu ievade'!$B$104,'Datu ievade'!I135,0),0)</f>
        <v>0</v>
      </c>
      <c r="J259" s="463">
        <f>IF('Datu ievade'!$B$98="Jā",IF('Datu ievade'!$B$102='Datu ievade'!$B$104,'Datu ievade'!J135,0),0)</f>
        <v>0</v>
      </c>
      <c r="K259" s="463">
        <f>IF('Datu ievade'!$B$98="Jā",IF('Datu ievade'!$B$102='Datu ievade'!$B$104,'Datu ievade'!K135,0),0)</f>
        <v>0</v>
      </c>
      <c r="L259" s="463">
        <f>IF('Datu ievade'!$B$98="Jā",IF('Datu ievade'!$B$102='Datu ievade'!$B$104,'Datu ievade'!L135,0),0)</f>
        <v>0</v>
      </c>
      <c r="M259" s="463">
        <f>IF('Datu ievade'!$B$98="Jā",IF('Datu ievade'!$B$102='Datu ievade'!$B$104,'Datu ievade'!M135,0),0)</f>
        <v>0</v>
      </c>
      <c r="N259" s="463">
        <f>IF('Datu ievade'!$B$98="Jā",IF('Datu ievade'!$B$102='Datu ievade'!$B$104,'Datu ievade'!N135,0),0)</f>
        <v>0</v>
      </c>
      <c r="O259" s="463">
        <f>IF('Datu ievade'!$B$98="Jā",IF('Datu ievade'!$B$102='Datu ievade'!$B$104,'Datu ievade'!O135,0),0)</f>
        <v>0</v>
      </c>
      <c r="P259" s="463">
        <f>IF('Datu ievade'!$B$98="Jā",IF('Datu ievade'!$B$102='Datu ievade'!$B$104,'Datu ievade'!P135,0),0)</f>
        <v>0</v>
      </c>
      <c r="Q259" s="463">
        <f>IF('Datu ievade'!$B$98="Jā",IF('Datu ievade'!$B$102='Datu ievade'!$B$104,'Datu ievade'!Q135,0),0)</f>
        <v>0</v>
      </c>
      <c r="R259" s="463">
        <f>IF('Datu ievade'!$B$98="Jā",IF('Datu ievade'!$B$102='Datu ievade'!$B$104,'Datu ievade'!R135,0),0)</f>
        <v>0</v>
      </c>
      <c r="S259" s="463">
        <f>IF('Datu ievade'!$B$98="Jā",IF('Datu ievade'!$B$102='Datu ievade'!$B$104,'Datu ievade'!S135,0),0)</f>
        <v>0</v>
      </c>
      <c r="T259" s="463">
        <f>IF('Datu ievade'!$B$98="Jā",IF('Datu ievade'!$B$102='Datu ievade'!$B$104,'Datu ievade'!T135,0),0)</f>
        <v>0</v>
      </c>
      <c r="U259" s="463">
        <f>IF('Datu ievade'!$B$98="Jā",IF('Datu ievade'!$B$102='Datu ievade'!$B$104,'Datu ievade'!U135,0),0)</f>
        <v>0</v>
      </c>
      <c r="V259" s="463">
        <f>IF('Datu ievade'!$B$98="Jā",IF('Datu ievade'!$B$102='Datu ievade'!$B$104,'Datu ievade'!V135,0),0)</f>
        <v>0</v>
      </c>
      <c r="W259" s="463">
        <f>IF('Datu ievade'!$B$98="Jā",IF('Datu ievade'!$B$102='Datu ievade'!$B$104,'Datu ievade'!W135,0),0)</f>
        <v>0</v>
      </c>
      <c r="X259" s="463">
        <f>IF('Datu ievade'!$B$98="Jā",IF('Datu ievade'!$B$102='Datu ievade'!$B$104,'Datu ievade'!X135,0),0)</f>
        <v>0</v>
      </c>
      <c r="Y259" s="463">
        <f>IF('Datu ievade'!$B$98="Jā",IF('Datu ievade'!$B$102='Datu ievade'!$B$104,'Datu ievade'!Y135,0),0)</f>
        <v>0</v>
      </c>
      <c r="Z259" s="463">
        <f>IF('Datu ievade'!$B$98="Jā",IF('Datu ievade'!$B$102='Datu ievade'!$B$104,'Datu ievade'!Z135,0),0)</f>
        <v>0</v>
      </c>
      <c r="AA259" s="463">
        <f>IF('Datu ievade'!$B$98="Jā",IF('Datu ievade'!$B$102='Datu ievade'!$B$104,'Datu ievade'!AA135,0),0)</f>
        <v>0</v>
      </c>
      <c r="AB259" s="463">
        <f>IF('Datu ievade'!$B$98="Jā",IF('Datu ievade'!$B$102='Datu ievade'!$B$104,'Datu ievade'!AB135,0),0)</f>
        <v>0</v>
      </c>
      <c r="AC259" s="463">
        <f>IF('Datu ievade'!$B$98="Jā",IF('Datu ievade'!$B$102='Datu ievade'!$B$104,'Datu ievade'!AC135,0),0)</f>
        <v>0</v>
      </c>
      <c r="AD259" s="463">
        <f>IF('Datu ievade'!$B$98="Jā",IF('Datu ievade'!$B$102='Datu ievade'!$B$104,'Datu ievade'!AD135,0),0)</f>
        <v>0</v>
      </c>
      <c r="AE259" s="463">
        <f>IF('Datu ievade'!$B$98="Jā",IF('Datu ievade'!$B$102='Datu ievade'!$B$104,'Datu ievade'!AE135,0),0)</f>
        <v>0</v>
      </c>
      <c r="AF259" s="463">
        <f>IF('Datu ievade'!$B$98="Jā",IF('Datu ievade'!$B$102='Datu ievade'!$B$104,'Datu ievade'!AF135,0),0)</f>
        <v>0</v>
      </c>
      <c r="AG259" s="463">
        <f>IF('Datu ievade'!$B$98="Jā",IF('Datu ievade'!$B$102='Datu ievade'!$B$104,'Datu ievade'!AG135,0),0)</f>
        <v>0</v>
      </c>
      <c r="AH259" s="463">
        <f>IF('Datu ievade'!$B$98="Jā",IF('Datu ievade'!$B$102='Datu ievade'!$B$104,'Datu ievade'!AH135,0),0)</f>
        <v>0</v>
      </c>
      <c r="AI259" s="463"/>
      <c r="AJ259" s="165"/>
      <c r="AK259" s="165"/>
      <c r="AL259" s="165"/>
      <c r="AM259" s="535"/>
      <c r="AN259" s="165"/>
      <c r="AO259" s="283"/>
      <c r="AP259" s="71"/>
      <c r="AQ259" s="283"/>
      <c r="AR259" s="71"/>
      <c r="AS259" s="283"/>
      <c r="AT259" s="165"/>
      <c r="AU259" s="165"/>
      <c r="AV259" s="165"/>
      <c r="AW259" s="165"/>
      <c r="AX259" s="165"/>
      <c r="AY259" s="165"/>
      <c r="AZ259" s="165"/>
      <c r="BA259" s="165"/>
      <c r="BB259" s="165"/>
      <c r="BC259" s="165"/>
      <c r="BD259" s="165"/>
      <c r="BE259" s="165"/>
      <c r="BF259" s="165"/>
      <c r="BG259" s="165"/>
      <c r="BH259" s="165"/>
      <c r="BI259" s="165"/>
      <c r="BJ259" s="165"/>
      <c r="BK259" s="165"/>
      <c r="BL259" s="165"/>
      <c r="BM259" s="165"/>
      <c r="BN259" s="165"/>
      <c r="BO259" s="165"/>
      <c r="BP259" s="165"/>
      <c r="BQ259" s="165"/>
      <c r="BR259" s="165"/>
      <c r="BS259" s="165"/>
      <c r="BT259" s="165"/>
      <c r="BU259" s="165"/>
      <c r="BV259" s="165"/>
      <c r="BW259" s="165"/>
      <c r="BX259" s="165"/>
      <c r="BY259" s="165"/>
      <c r="BZ259" s="165"/>
      <c r="CA259" s="165"/>
      <c r="CB259" s="165"/>
      <c r="CC259" s="165"/>
      <c r="CD259" s="165"/>
      <c r="CE259" s="165"/>
      <c r="CF259" s="165"/>
      <c r="CG259" s="165"/>
      <c r="CH259" s="165"/>
      <c r="CI259" s="165"/>
      <c r="CJ259" s="165"/>
      <c r="CK259" s="165"/>
      <c r="CL259" s="165"/>
      <c r="CM259" s="165"/>
      <c r="CN259" s="165"/>
      <c r="CO259" s="165"/>
      <c r="CP259" s="165"/>
      <c r="CQ259" s="165"/>
      <c r="CR259" s="165"/>
      <c r="CS259" s="165"/>
      <c r="CT259" s="165"/>
      <c r="CU259" s="165"/>
      <c r="CV259" s="165"/>
      <c r="CW259" s="165"/>
      <c r="CX259" s="165"/>
      <c r="CY259" s="165"/>
      <c r="CZ259" s="165"/>
      <c r="DA259" s="165"/>
      <c r="DB259" s="165"/>
      <c r="DC259" s="165"/>
      <c r="DD259" s="165"/>
      <c r="DE259" s="165"/>
      <c r="DF259" s="165"/>
      <c r="DG259" s="165"/>
      <c r="DH259" s="165"/>
      <c r="DI259" s="165"/>
      <c r="DJ259" s="165"/>
      <c r="DK259" s="165"/>
      <c r="DL259" s="165"/>
      <c r="DM259" s="165"/>
      <c r="DN259" s="165"/>
      <c r="DO259" s="165"/>
      <c r="DP259" s="165"/>
      <c r="DQ259" s="165"/>
      <c r="DR259" s="165"/>
      <c r="DS259" s="165"/>
      <c r="DT259" s="165"/>
      <c r="DU259" s="165"/>
      <c r="DV259" s="165"/>
      <c r="DW259" s="165"/>
      <c r="DX259" s="165"/>
      <c r="DY259" s="165"/>
      <c r="DZ259" s="165"/>
      <c r="EA259" s="165"/>
      <c r="EB259" s="165"/>
      <c r="EC259" s="165"/>
      <c r="ED259" s="165"/>
      <c r="EE259" s="165"/>
      <c r="EF259" s="165"/>
      <c r="EG259" s="165"/>
      <c r="EH259" s="165"/>
      <c r="EI259" s="165"/>
      <c r="EJ259" s="165"/>
      <c r="EK259" s="165"/>
      <c r="EL259" s="165"/>
      <c r="EM259" s="165"/>
      <c r="EN259" s="165"/>
      <c r="EO259" s="165"/>
      <c r="EP259" s="165"/>
      <c r="EQ259" s="165"/>
      <c r="ER259" s="165"/>
      <c r="ES259" s="165"/>
      <c r="ET259" s="165"/>
      <c r="EU259" s="165"/>
      <c r="EV259" s="165"/>
      <c r="EW259" s="165"/>
      <c r="EX259" s="165"/>
      <c r="EY259" s="165"/>
      <c r="EZ259" s="165"/>
      <c r="FA259" s="165"/>
      <c r="FB259" s="165"/>
      <c r="FC259" s="165"/>
      <c r="FD259" s="165"/>
      <c r="FE259" s="165"/>
      <c r="FF259" s="165"/>
      <c r="FG259" s="165"/>
      <c r="FH259" s="165"/>
      <c r="FI259" s="165"/>
      <c r="FJ259" s="165"/>
      <c r="FK259" s="165"/>
      <c r="FL259" s="165"/>
      <c r="FM259" s="165"/>
      <c r="FN259" s="165"/>
      <c r="FO259" s="165"/>
      <c r="FP259" s="165"/>
      <c r="FQ259" s="165"/>
      <c r="FR259" s="165"/>
      <c r="FS259" s="165"/>
      <c r="FT259" s="165"/>
      <c r="FU259" s="165"/>
      <c r="FV259" s="165"/>
      <c r="FW259" s="165"/>
      <c r="FX259" s="165"/>
      <c r="FY259" s="165"/>
      <c r="FZ259" s="165"/>
      <c r="GA259" s="165"/>
      <c r="GB259" s="165"/>
      <c r="GC259" s="165"/>
      <c r="GD259" s="165"/>
      <c r="GE259" s="165"/>
      <c r="GF259" s="165"/>
      <c r="GG259" s="165"/>
      <c r="GH259" s="165"/>
      <c r="GI259" s="165"/>
      <c r="GJ259" s="165"/>
      <c r="GK259" s="165"/>
      <c r="GL259" s="165"/>
      <c r="GM259" s="165"/>
      <c r="GN259" s="165"/>
      <c r="GO259" s="165"/>
      <c r="GP259" s="165"/>
      <c r="GQ259" s="165"/>
      <c r="GR259" s="165"/>
      <c r="GS259" s="165"/>
      <c r="GT259" s="165"/>
      <c r="GU259" s="165"/>
      <c r="GV259" s="165"/>
      <c r="GW259" s="165"/>
      <c r="GX259" s="165"/>
      <c r="GY259" s="165"/>
      <c r="GZ259" s="165"/>
      <c r="HA259" s="165"/>
      <c r="HB259" s="165"/>
      <c r="HC259" s="165"/>
      <c r="HD259" s="165"/>
      <c r="HE259" s="165"/>
      <c r="HF259" s="165"/>
      <c r="HG259" s="165"/>
      <c r="HH259" s="165"/>
      <c r="HI259" s="165"/>
      <c r="HJ259" s="165"/>
      <c r="HK259" s="165"/>
      <c r="HL259" s="165"/>
      <c r="HM259" s="165"/>
      <c r="HN259" s="165"/>
      <c r="HO259" s="165"/>
      <c r="HP259" s="165"/>
      <c r="HQ259" s="165"/>
      <c r="HR259" s="165"/>
      <c r="HS259" s="165"/>
      <c r="HT259" s="165"/>
      <c r="HU259" s="165"/>
      <c r="HV259" s="165"/>
      <c r="HW259" s="165"/>
      <c r="HX259" s="165"/>
      <c r="HY259" s="165"/>
      <c r="HZ259" s="165"/>
      <c r="IA259" s="165"/>
      <c r="IB259" s="165"/>
      <c r="IC259" s="165"/>
      <c r="ID259" s="165"/>
      <c r="IE259" s="165"/>
      <c r="IF259" s="165"/>
      <c r="IG259" s="165"/>
      <c r="IH259" s="165"/>
      <c r="II259" s="165"/>
      <c r="IJ259" s="165"/>
      <c r="IK259" s="165"/>
      <c r="IL259" s="165"/>
      <c r="IM259" s="165"/>
      <c r="IN259" s="165"/>
      <c r="IO259" s="165"/>
      <c r="IP259" s="165"/>
      <c r="IQ259" s="165"/>
      <c r="IR259" s="165"/>
      <c r="IS259" s="165"/>
    </row>
    <row r="260" spans="1:253" s="62" customFormat="1" x14ac:dyDescent="0.2">
      <c r="A260" s="476" t="s">
        <v>229</v>
      </c>
      <c r="B260" s="477">
        <f t="shared" ref="B260:AG260" si="89">SUM(B261:B262)</f>
        <v>0</v>
      </c>
      <c r="C260" s="477">
        <f t="shared" si="89"/>
        <v>0</v>
      </c>
      <c r="D260" s="477">
        <f t="shared" si="89"/>
        <v>0</v>
      </c>
      <c r="E260" s="477">
        <f t="shared" si="89"/>
        <v>0</v>
      </c>
      <c r="F260" s="465">
        <f t="shared" si="89"/>
        <v>0</v>
      </c>
      <c r="G260" s="477">
        <f t="shared" si="89"/>
        <v>0</v>
      </c>
      <c r="H260" s="477">
        <f t="shared" si="89"/>
        <v>0</v>
      </c>
      <c r="I260" s="477">
        <f t="shared" si="89"/>
        <v>0</v>
      </c>
      <c r="J260" s="477">
        <f t="shared" si="89"/>
        <v>0</v>
      </c>
      <c r="K260" s="477">
        <f t="shared" si="89"/>
        <v>0</v>
      </c>
      <c r="L260" s="477">
        <f t="shared" si="89"/>
        <v>0</v>
      </c>
      <c r="M260" s="477">
        <f t="shared" si="89"/>
        <v>0</v>
      </c>
      <c r="N260" s="477">
        <f t="shared" si="89"/>
        <v>0</v>
      </c>
      <c r="O260" s="477">
        <f t="shared" si="89"/>
        <v>0</v>
      </c>
      <c r="P260" s="477">
        <f t="shared" si="89"/>
        <v>0</v>
      </c>
      <c r="Q260" s="477">
        <f t="shared" si="89"/>
        <v>0</v>
      </c>
      <c r="R260" s="477">
        <f t="shared" si="89"/>
        <v>0</v>
      </c>
      <c r="S260" s="477">
        <f t="shared" si="89"/>
        <v>0</v>
      </c>
      <c r="T260" s="477">
        <f t="shared" si="89"/>
        <v>0</v>
      </c>
      <c r="U260" s="477">
        <f t="shared" si="89"/>
        <v>0</v>
      </c>
      <c r="V260" s="477">
        <f t="shared" si="89"/>
        <v>0</v>
      </c>
      <c r="W260" s="477">
        <f t="shared" si="89"/>
        <v>0</v>
      </c>
      <c r="X260" s="477">
        <f t="shared" si="89"/>
        <v>0</v>
      </c>
      <c r="Y260" s="477">
        <f t="shared" si="89"/>
        <v>0</v>
      </c>
      <c r="Z260" s="477">
        <f t="shared" si="89"/>
        <v>0</v>
      </c>
      <c r="AA260" s="477">
        <f t="shared" si="89"/>
        <v>0</v>
      </c>
      <c r="AB260" s="477">
        <f t="shared" si="89"/>
        <v>0</v>
      </c>
      <c r="AC260" s="477">
        <f t="shared" si="89"/>
        <v>0</v>
      </c>
      <c r="AD260" s="477">
        <f t="shared" si="89"/>
        <v>0</v>
      </c>
      <c r="AE260" s="477">
        <f t="shared" si="89"/>
        <v>0</v>
      </c>
      <c r="AF260" s="477">
        <f t="shared" si="89"/>
        <v>0</v>
      </c>
      <c r="AG260" s="477">
        <f t="shared" si="89"/>
        <v>0</v>
      </c>
      <c r="AH260" s="477">
        <f>SUM(AH261:AH262)</f>
        <v>0</v>
      </c>
      <c r="AI260" s="477"/>
      <c r="AJ260" s="165"/>
      <c r="AK260" s="165"/>
      <c r="AL260" s="165"/>
      <c r="AM260" s="535"/>
      <c r="AN260" s="165"/>
      <c r="AO260" s="283"/>
      <c r="AP260" s="71"/>
      <c r="AQ260" s="283"/>
      <c r="AR260" s="71"/>
      <c r="AS260" s="283"/>
      <c r="AT260" s="165"/>
      <c r="AU260" s="165"/>
      <c r="AV260" s="165"/>
      <c r="AW260" s="165"/>
      <c r="AX260" s="165"/>
      <c r="AY260" s="165"/>
      <c r="AZ260" s="165"/>
      <c r="BA260" s="165"/>
      <c r="BB260" s="165"/>
      <c r="BC260" s="165"/>
      <c r="BD260" s="165"/>
      <c r="BE260" s="165"/>
      <c r="BF260" s="165"/>
      <c r="BG260" s="165"/>
      <c r="BH260" s="165"/>
      <c r="BI260" s="165"/>
      <c r="BJ260" s="165"/>
      <c r="BK260" s="165"/>
      <c r="BL260" s="165"/>
      <c r="BM260" s="165"/>
      <c r="BN260" s="165"/>
      <c r="BO260" s="165"/>
      <c r="BP260" s="165"/>
      <c r="BQ260" s="165"/>
      <c r="BR260" s="165"/>
      <c r="BS260" s="165"/>
      <c r="BT260" s="165"/>
      <c r="BU260" s="165"/>
      <c r="BV260" s="165"/>
      <c r="BW260" s="165"/>
      <c r="BX260" s="165"/>
      <c r="BY260" s="165"/>
      <c r="BZ260" s="165"/>
      <c r="CA260" s="165"/>
      <c r="CB260" s="165"/>
      <c r="CC260" s="165"/>
      <c r="CD260" s="165"/>
      <c r="CE260" s="165"/>
      <c r="CF260" s="165"/>
      <c r="CG260" s="165"/>
      <c r="CH260" s="165"/>
      <c r="CI260" s="165"/>
      <c r="CJ260" s="165"/>
      <c r="CK260" s="165"/>
      <c r="CL260" s="165"/>
      <c r="CM260" s="165"/>
      <c r="CN260" s="165"/>
      <c r="CO260" s="165"/>
      <c r="CP260" s="165"/>
      <c r="CQ260" s="165"/>
      <c r="CR260" s="165"/>
      <c r="CS260" s="165"/>
      <c r="CT260" s="165"/>
      <c r="CU260" s="165"/>
      <c r="CV260" s="165"/>
      <c r="CW260" s="165"/>
      <c r="CX260" s="165"/>
      <c r="CY260" s="165"/>
      <c r="CZ260" s="165"/>
      <c r="DA260" s="165"/>
      <c r="DB260" s="165"/>
      <c r="DC260" s="165"/>
      <c r="DD260" s="165"/>
      <c r="DE260" s="165"/>
      <c r="DF260" s="165"/>
      <c r="DG260" s="165"/>
      <c r="DH260" s="165"/>
      <c r="DI260" s="165"/>
      <c r="DJ260" s="165"/>
      <c r="DK260" s="165"/>
      <c r="DL260" s="165"/>
      <c r="DM260" s="165"/>
      <c r="DN260" s="165"/>
      <c r="DO260" s="165"/>
      <c r="DP260" s="165"/>
      <c r="DQ260" s="165"/>
      <c r="DR260" s="165"/>
      <c r="DS260" s="165"/>
      <c r="DT260" s="165"/>
      <c r="DU260" s="165"/>
      <c r="DV260" s="165"/>
      <c r="DW260" s="165"/>
      <c r="DX260" s="165"/>
      <c r="DY260" s="165"/>
      <c r="DZ260" s="165"/>
      <c r="EA260" s="165"/>
      <c r="EB260" s="165"/>
      <c r="EC260" s="165"/>
      <c r="ED260" s="165"/>
      <c r="EE260" s="165"/>
      <c r="EF260" s="165"/>
      <c r="EG260" s="165"/>
      <c r="EH260" s="165"/>
      <c r="EI260" s="165"/>
      <c r="EJ260" s="165"/>
      <c r="EK260" s="165"/>
      <c r="EL260" s="165"/>
      <c r="EM260" s="165"/>
      <c r="EN260" s="165"/>
      <c r="EO260" s="165"/>
      <c r="EP260" s="165"/>
      <c r="EQ260" s="165"/>
      <c r="ER260" s="165"/>
      <c r="ES260" s="165"/>
      <c r="ET260" s="165"/>
      <c r="EU260" s="165"/>
      <c r="EV260" s="165"/>
      <c r="EW260" s="165"/>
      <c r="EX260" s="165"/>
      <c r="EY260" s="165"/>
      <c r="EZ260" s="165"/>
      <c r="FA260" s="165"/>
      <c r="FB260" s="165"/>
      <c r="FC260" s="165"/>
      <c r="FD260" s="165"/>
      <c r="FE260" s="165"/>
      <c r="FF260" s="165"/>
      <c r="FG260" s="165"/>
      <c r="FH260" s="165"/>
      <c r="FI260" s="165"/>
      <c r="FJ260" s="165"/>
      <c r="FK260" s="165"/>
      <c r="FL260" s="165"/>
      <c r="FM260" s="165"/>
      <c r="FN260" s="165"/>
      <c r="FO260" s="165"/>
      <c r="FP260" s="165"/>
      <c r="FQ260" s="165"/>
      <c r="FR260" s="165"/>
      <c r="FS260" s="165"/>
      <c r="FT260" s="165"/>
      <c r="FU260" s="165"/>
      <c r="FV260" s="165"/>
      <c r="FW260" s="165"/>
      <c r="FX260" s="165"/>
      <c r="FY260" s="165"/>
      <c r="FZ260" s="165"/>
      <c r="GA260" s="165"/>
      <c r="GB260" s="165"/>
      <c r="GC260" s="165"/>
      <c r="GD260" s="165"/>
      <c r="GE260" s="165"/>
      <c r="GF260" s="165"/>
      <c r="GG260" s="165"/>
      <c r="GH260" s="165"/>
      <c r="GI260" s="165"/>
      <c r="GJ260" s="165"/>
      <c r="GK260" s="165"/>
      <c r="GL260" s="165"/>
      <c r="GM260" s="165"/>
      <c r="GN260" s="165"/>
      <c r="GO260" s="165"/>
      <c r="GP260" s="165"/>
      <c r="GQ260" s="165"/>
      <c r="GR260" s="165"/>
      <c r="GS260" s="165"/>
      <c r="GT260" s="165"/>
      <c r="GU260" s="165"/>
      <c r="GV260" s="165"/>
      <c r="GW260" s="165"/>
      <c r="GX260" s="165"/>
      <c r="GY260" s="165"/>
      <c r="GZ260" s="165"/>
      <c r="HA260" s="165"/>
      <c r="HB260" s="165"/>
      <c r="HC260" s="165"/>
      <c r="HD260" s="165"/>
      <c r="HE260" s="165"/>
      <c r="HF260" s="165"/>
      <c r="HG260" s="165"/>
      <c r="HH260" s="165"/>
      <c r="HI260" s="165"/>
      <c r="HJ260" s="165"/>
      <c r="HK260" s="165"/>
      <c r="HL260" s="165"/>
      <c r="HM260" s="165"/>
      <c r="HN260" s="165"/>
      <c r="HO260" s="165"/>
      <c r="HP260" s="165"/>
      <c r="HQ260" s="165"/>
      <c r="HR260" s="165"/>
      <c r="HS260" s="165"/>
      <c r="HT260" s="165"/>
      <c r="HU260" s="165"/>
      <c r="HV260" s="165"/>
      <c r="HW260" s="165"/>
      <c r="HX260" s="165"/>
      <c r="HY260" s="165"/>
      <c r="HZ260" s="165"/>
      <c r="IA260" s="165"/>
      <c r="IB260" s="165"/>
      <c r="IC260" s="165"/>
      <c r="ID260" s="165"/>
      <c r="IE260" s="165"/>
      <c r="IF260" s="165"/>
      <c r="IG260" s="165"/>
      <c r="IH260" s="165"/>
      <c r="II260" s="165"/>
      <c r="IJ260" s="165"/>
      <c r="IK260" s="165"/>
      <c r="IL260" s="165"/>
      <c r="IM260" s="165"/>
      <c r="IN260" s="165"/>
      <c r="IO260" s="165"/>
      <c r="IP260" s="165"/>
      <c r="IQ260" s="165"/>
      <c r="IR260" s="165"/>
      <c r="IS260" s="165"/>
    </row>
    <row r="261" spans="1:253" s="62" customFormat="1" x14ac:dyDescent="0.2">
      <c r="A261" s="474" t="s">
        <v>216</v>
      </c>
      <c r="B261" s="475">
        <f>0</f>
        <v>0</v>
      </c>
      <c r="C261" s="475">
        <f>B259*$B$258</f>
        <v>0</v>
      </c>
      <c r="D261" s="475">
        <f t="shared" ref="D261" si="90">C259*$B$258</f>
        <v>0</v>
      </c>
      <c r="E261" s="475">
        <f>D263*$B$258</f>
        <v>0</v>
      </c>
      <c r="F261" s="475">
        <f t="shared" ref="F261:AH261" si="91">E263*$B$258</f>
        <v>0</v>
      </c>
      <c r="G261" s="475">
        <f t="shared" si="91"/>
        <v>0</v>
      </c>
      <c r="H261" s="475">
        <f t="shared" si="91"/>
        <v>0</v>
      </c>
      <c r="I261" s="475">
        <f t="shared" si="91"/>
        <v>0</v>
      </c>
      <c r="J261" s="475">
        <f t="shared" si="91"/>
        <v>0</v>
      </c>
      <c r="K261" s="475">
        <f t="shared" si="91"/>
        <v>0</v>
      </c>
      <c r="L261" s="475">
        <f t="shared" si="91"/>
        <v>0</v>
      </c>
      <c r="M261" s="475">
        <f t="shared" si="91"/>
        <v>0</v>
      </c>
      <c r="N261" s="475">
        <f t="shared" si="91"/>
        <v>0</v>
      </c>
      <c r="O261" s="475">
        <f t="shared" si="91"/>
        <v>0</v>
      </c>
      <c r="P261" s="475">
        <f t="shared" si="91"/>
        <v>0</v>
      </c>
      <c r="Q261" s="475">
        <f t="shared" si="91"/>
        <v>0</v>
      </c>
      <c r="R261" s="475">
        <f t="shared" si="91"/>
        <v>0</v>
      </c>
      <c r="S261" s="475">
        <f t="shared" si="91"/>
        <v>0</v>
      </c>
      <c r="T261" s="475">
        <f t="shared" si="91"/>
        <v>0</v>
      </c>
      <c r="U261" s="475">
        <f t="shared" si="91"/>
        <v>0</v>
      </c>
      <c r="V261" s="475">
        <f t="shared" si="91"/>
        <v>0</v>
      </c>
      <c r="W261" s="475">
        <f t="shared" si="91"/>
        <v>0</v>
      </c>
      <c r="X261" s="475">
        <f t="shared" si="91"/>
        <v>0</v>
      </c>
      <c r="Y261" s="475">
        <f t="shared" si="91"/>
        <v>0</v>
      </c>
      <c r="Z261" s="475">
        <f t="shared" si="91"/>
        <v>0</v>
      </c>
      <c r="AA261" s="475">
        <f t="shared" si="91"/>
        <v>0</v>
      </c>
      <c r="AB261" s="475">
        <f t="shared" si="91"/>
        <v>0</v>
      </c>
      <c r="AC261" s="475">
        <f t="shared" si="91"/>
        <v>0</v>
      </c>
      <c r="AD261" s="475">
        <f t="shared" si="91"/>
        <v>0</v>
      </c>
      <c r="AE261" s="475">
        <f t="shared" si="91"/>
        <v>0</v>
      </c>
      <c r="AF261" s="475">
        <f t="shared" si="91"/>
        <v>0</v>
      </c>
      <c r="AG261" s="475">
        <f t="shared" si="91"/>
        <v>0</v>
      </c>
      <c r="AH261" s="475">
        <f t="shared" si="91"/>
        <v>0</v>
      </c>
      <c r="AI261" s="475"/>
      <c r="AJ261" s="165"/>
      <c r="AK261" s="165"/>
      <c r="AL261" s="165"/>
      <c r="AM261" s="535"/>
      <c r="AN261" s="165"/>
      <c r="AO261" s="283"/>
      <c r="AP261" s="71"/>
      <c r="AQ261" s="283"/>
      <c r="AR261" s="71"/>
      <c r="AS261" s="283"/>
      <c r="AT261" s="165"/>
      <c r="AU261" s="165"/>
      <c r="AV261" s="165"/>
      <c r="AW261" s="165"/>
      <c r="AX261" s="165"/>
      <c r="AY261" s="165"/>
      <c r="AZ261" s="165"/>
      <c r="BA261" s="165"/>
      <c r="BB261" s="165"/>
      <c r="BC261" s="165"/>
      <c r="BD261" s="165"/>
      <c r="BE261" s="165"/>
      <c r="BF261" s="165"/>
      <c r="BG261" s="165"/>
      <c r="BH261" s="165"/>
      <c r="BI261" s="165"/>
      <c r="BJ261" s="165"/>
      <c r="BK261" s="165"/>
      <c r="BL261" s="165"/>
      <c r="BM261" s="165"/>
      <c r="BN261" s="165"/>
      <c r="BO261" s="165"/>
      <c r="BP261" s="165"/>
      <c r="BQ261" s="165"/>
      <c r="BR261" s="165"/>
      <c r="BS261" s="165"/>
      <c r="BT261" s="165"/>
      <c r="BU261" s="165"/>
      <c r="BV261" s="165"/>
      <c r="BW261" s="165"/>
      <c r="BX261" s="165"/>
      <c r="BY261" s="165"/>
      <c r="BZ261" s="165"/>
      <c r="CA261" s="165"/>
      <c r="CB261" s="165"/>
      <c r="CC261" s="165"/>
      <c r="CD261" s="165"/>
      <c r="CE261" s="165"/>
      <c r="CF261" s="165"/>
      <c r="CG261" s="165"/>
      <c r="CH261" s="165"/>
      <c r="CI261" s="165"/>
      <c r="CJ261" s="165"/>
      <c r="CK261" s="165"/>
      <c r="CL261" s="165"/>
      <c r="CM261" s="165"/>
      <c r="CN261" s="165"/>
      <c r="CO261" s="165"/>
      <c r="CP261" s="165"/>
      <c r="CQ261" s="165"/>
      <c r="CR261" s="165"/>
      <c r="CS261" s="165"/>
      <c r="CT261" s="165"/>
      <c r="CU261" s="165"/>
      <c r="CV261" s="165"/>
      <c r="CW261" s="165"/>
      <c r="CX261" s="165"/>
      <c r="CY261" s="165"/>
      <c r="CZ261" s="165"/>
      <c r="DA261" s="165"/>
      <c r="DB261" s="165"/>
      <c r="DC261" s="165"/>
      <c r="DD261" s="165"/>
      <c r="DE261" s="165"/>
      <c r="DF261" s="165"/>
      <c r="DG261" s="165"/>
      <c r="DH261" s="165"/>
      <c r="DI261" s="165"/>
      <c r="DJ261" s="165"/>
      <c r="DK261" s="165"/>
      <c r="DL261" s="165"/>
      <c r="DM261" s="165"/>
      <c r="DN261" s="165"/>
      <c r="DO261" s="165"/>
      <c r="DP261" s="165"/>
      <c r="DQ261" s="165"/>
      <c r="DR261" s="165"/>
      <c r="DS261" s="165"/>
      <c r="DT261" s="165"/>
      <c r="DU261" s="165"/>
      <c r="DV261" s="165"/>
      <c r="DW261" s="165"/>
      <c r="DX261" s="165"/>
      <c r="DY261" s="165"/>
      <c r="DZ261" s="165"/>
      <c r="EA261" s="165"/>
      <c r="EB261" s="165"/>
      <c r="EC261" s="165"/>
      <c r="ED261" s="165"/>
      <c r="EE261" s="165"/>
      <c r="EF261" s="165"/>
      <c r="EG261" s="165"/>
      <c r="EH261" s="165"/>
      <c r="EI261" s="165"/>
      <c r="EJ261" s="165"/>
      <c r="EK261" s="165"/>
      <c r="EL261" s="165"/>
      <c r="EM261" s="165"/>
      <c r="EN261" s="165"/>
      <c r="EO261" s="165"/>
      <c r="EP261" s="165"/>
      <c r="EQ261" s="165"/>
      <c r="ER261" s="165"/>
      <c r="ES261" s="165"/>
      <c r="ET261" s="165"/>
      <c r="EU261" s="165"/>
      <c r="EV261" s="165"/>
      <c r="EW261" s="165"/>
      <c r="EX261" s="165"/>
      <c r="EY261" s="165"/>
      <c r="EZ261" s="165"/>
      <c r="FA261" s="165"/>
      <c r="FB261" s="165"/>
      <c r="FC261" s="165"/>
      <c r="FD261" s="165"/>
      <c r="FE261" s="165"/>
      <c r="FF261" s="165"/>
      <c r="FG261" s="165"/>
      <c r="FH261" s="165"/>
      <c r="FI261" s="165"/>
      <c r="FJ261" s="165"/>
      <c r="FK261" s="165"/>
      <c r="FL261" s="165"/>
      <c r="FM261" s="165"/>
      <c r="FN261" s="165"/>
      <c r="FO261" s="165"/>
      <c r="FP261" s="165"/>
      <c r="FQ261" s="165"/>
      <c r="FR261" s="165"/>
      <c r="FS261" s="165"/>
      <c r="FT261" s="165"/>
      <c r="FU261" s="165"/>
      <c r="FV261" s="165"/>
      <c r="FW261" s="165"/>
      <c r="FX261" s="165"/>
      <c r="FY261" s="165"/>
      <c r="FZ261" s="165"/>
      <c r="GA261" s="165"/>
      <c r="GB261" s="165"/>
      <c r="GC261" s="165"/>
      <c r="GD261" s="165"/>
      <c r="GE261" s="165"/>
      <c r="GF261" s="165"/>
      <c r="GG261" s="165"/>
      <c r="GH261" s="165"/>
      <c r="GI261" s="165"/>
      <c r="GJ261" s="165"/>
      <c r="GK261" s="165"/>
      <c r="GL261" s="165"/>
      <c r="GM261" s="165"/>
      <c r="GN261" s="165"/>
      <c r="GO261" s="165"/>
      <c r="GP261" s="165"/>
      <c r="GQ261" s="165"/>
      <c r="GR261" s="165"/>
      <c r="GS261" s="165"/>
      <c r="GT261" s="165"/>
      <c r="GU261" s="165"/>
      <c r="GV261" s="165"/>
      <c r="GW261" s="165"/>
      <c r="GX261" s="165"/>
      <c r="GY261" s="165"/>
      <c r="GZ261" s="165"/>
      <c r="HA261" s="165"/>
      <c r="HB261" s="165"/>
      <c r="HC261" s="165"/>
      <c r="HD261" s="165"/>
      <c r="HE261" s="165"/>
      <c r="HF261" s="165"/>
      <c r="HG261" s="165"/>
      <c r="HH261" s="165"/>
      <c r="HI261" s="165"/>
      <c r="HJ261" s="165"/>
      <c r="HK261" s="165"/>
      <c r="HL261" s="165"/>
      <c r="HM261" s="165"/>
      <c r="HN261" s="165"/>
      <c r="HO261" s="165"/>
      <c r="HP261" s="165"/>
      <c r="HQ261" s="165"/>
      <c r="HR261" s="165"/>
      <c r="HS261" s="165"/>
      <c r="HT261" s="165"/>
      <c r="HU261" s="165"/>
      <c r="HV261" s="165"/>
      <c r="HW261" s="165"/>
      <c r="HX261" s="165"/>
      <c r="HY261" s="165"/>
      <c r="HZ261" s="165"/>
      <c r="IA261" s="165"/>
      <c r="IB261" s="165"/>
      <c r="IC261" s="165"/>
      <c r="ID261" s="165"/>
      <c r="IE261" s="165"/>
      <c r="IF261" s="165"/>
      <c r="IG261" s="165"/>
      <c r="IH261" s="165"/>
      <c r="II261" s="165"/>
      <c r="IJ261" s="165"/>
      <c r="IK261" s="165"/>
      <c r="IL261" s="165"/>
      <c r="IM261" s="165"/>
      <c r="IN261" s="165"/>
      <c r="IO261" s="165"/>
      <c r="IP261" s="165"/>
      <c r="IQ261" s="165"/>
      <c r="IR261" s="165"/>
      <c r="IS261" s="165"/>
    </row>
    <row r="262" spans="1:253" s="62" customFormat="1" x14ac:dyDescent="0.2">
      <c r="A262" s="474" t="s">
        <v>217</v>
      </c>
      <c r="B262" s="475">
        <v>0</v>
      </c>
      <c r="C262" s="475">
        <v>0</v>
      </c>
      <c r="D262" s="475">
        <v>0</v>
      </c>
      <c r="E262" s="475">
        <v>0</v>
      </c>
      <c r="F262" s="463">
        <f>IF(COUNT($E$262:E262)&gt;'Datu ievade'!$B$96,0,$E$263/'Datu ievade'!$B$96)</f>
        <v>0</v>
      </c>
      <c r="G262" s="475">
        <f>IF(COUNT($E$262:F262)&gt;'Datu ievade'!$B$96,0,$E$263/'Datu ievade'!$B$96)</f>
        <v>0</v>
      </c>
      <c r="H262" s="475">
        <f>IF(COUNT($E$262:G262)&gt;'Datu ievade'!$B$96,0,$E$263/'Datu ievade'!$B$96)</f>
        <v>0</v>
      </c>
      <c r="I262" s="475">
        <f>IF(COUNT($E$262:H262)&gt;'Datu ievade'!$B$96,0,$E$263/'Datu ievade'!$B$96)</f>
        <v>0</v>
      </c>
      <c r="J262" s="475">
        <f>IF(COUNT($E$262:I262)&gt;'Datu ievade'!$B$96,0,$E$263/'Datu ievade'!$B$96)</f>
        <v>0</v>
      </c>
      <c r="K262" s="475">
        <f>IF(COUNT($E$262:J262)&gt;'Datu ievade'!$B$96,0,$E$263/'Datu ievade'!$B$96)</f>
        <v>0</v>
      </c>
      <c r="L262" s="475">
        <f>IF(COUNT($E$262:K262)&gt;'Datu ievade'!$B$96,0,$E$263/'Datu ievade'!$B$96)</f>
        <v>0</v>
      </c>
      <c r="M262" s="475">
        <f>IF(COUNT($E$262:L262)&gt;'Datu ievade'!$B$96,0,$E$263/'Datu ievade'!$B$96)</f>
        <v>0</v>
      </c>
      <c r="N262" s="475">
        <f>IF(COUNT($E$262:M262)&gt;'Datu ievade'!$B$96,0,$E$263/'Datu ievade'!$B$96)</f>
        <v>0</v>
      </c>
      <c r="O262" s="475">
        <f>IF(COUNT($E$262:N262)&gt;'Datu ievade'!$B$96,0,$E$263/'Datu ievade'!$B$96)</f>
        <v>0</v>
      </c>
      <c r="P262" s="475">
        <f>IF(COUNT($E$262:O262)&gt;'Datu ievade'!$B$96,0,$E$263/'Datu ievade'!$B$96)</f>
        <v>0</v>
      </c>
      <c r="Q262" s="475">
        <f>IF(COUNT($E$262:P262)&gt;'Datu ievade'!$B$96,0,$E$263/'Datu ievade'!$B$96)</f>
        <v>0</v>
      </c>
      <c r="R262" s="475">
        <f>IF(COUNT($E$262:Q262)&gt;'Datu ievade'!$B$96,0,$E$263/'Datu ievade'!$B$96)</f>
        <v>0</v>
      </c>
      <c r="S262" s="475">
        <f>IF(COUNT($E$262:R262)&gt;'Datu ievade'!$B$96,0,$E$263/'Datu ievade'!$B$96)</f>
        <v>0</v>
      </c>
      <c r="T262" s="475">
        <f>IF(COUNT($E$262:S262)&gt;'Datu ievade'!$B$96,0,$E$263/'Datu ievade'!$B$96)</f>
        <v>0</v>
      </c>
      <c r="U262" s="475">
        <f>IF(COUNT($E$262:T262)&gt;'Datu ievade'!$B$96,0,$E$263/'Datu ievade'!$B$96)</f>
        <v>0</v>
      </c>
      <c r="V262" s="475">
        <f>IF(COUNT($E$262:U262)&gt;'Datu ievade'!$B$96,0,$E$263/'Datu ievade'!$B$96)</f>
        <v>0</v>
      </c>
      <c r="W262" s="475">
        <f>IF(COUNT($E$262:V262)&gt;'Datu ievade'!$B$96,0,$E$263/'Datu ievade'!$B$96)</f>
        <v>0</v>
      </c>
      <c r="X262" s="475">
        <f>IF(COUNT($E$262:W262)&gt;'Datu ievade'!$B$96,0,$E$263/'Datu ievade'!$B$96)</f>
        <v>0</v>
      </c>
      <c r="Y262" s="475">
        <f>IF(COUNT($E$262:X262)&gt;'Datu ievade'!$B$96,0,$E$263/'Datu ievade'!$B$96)</f>
        <v>0</v>
      </c>
      <c r="Z262" s="475">
        <f>IF(COUNT($E$262:Y262)&gt;'Datu ievade'!$B$96,0,$E$263/'Datu ievade'!$B$96)</f>
        <v>0</v>
      </c>
      <c r="AA262" s="475">
        <f>IF(COUNT($E$262:Z262)&gt;'Datu ievade'!$B$96,0,$E$263/'Datu ievade'!$B$96)</f>
        <v>0</v>
      </c>
      <c r="AB262" s="475">
        <f>IF(COUNT($E$262:AA262)&gt;'Datu ievade'!$B$96,0,$E$263/'Datu ievade'!$B$96)</f>
        <v>0</v>
      </c>
      <c r="AC262" s="475">
        <f>IF(COUNT($E$262:AB262)&gt;'Datu ievade'!$B$96,0,$E$263/'Datu ievade'!$B$96)</f>
        <v>0</v>
      </c>
      <c r="AD262" s="475">
        <f>IF(COUNT($E$262:AC262)&gt;'Datu ievade'!$B$96,0,$E$263/'Datu ievade'!$B$96)</f>
        <v>0</v>
      </c>
      <c r="AE262" s="475">
        <f>IF(COUNT($E$262:AD262)&gt;'Datu ievade'!$B$96,0,$E$263/'Datu ievade'!$B$96)</f>
        <v>0</v>
      </c>
      <c r="AF262" s="475">
        <f>IF(COUNT($E$262:AE262)&gt;'Datu ievade'!$B$96,0,$E$263/'Datu ievade'!$B$96)</f>
        <v>0</v>
      </c>
      <c r="AG262" s="475">
        <f>IF(COUNT($E$262:AF262)&gt;'Datu ievade'!$B$96,0,$E$263/'Datu ievade'!$B$96)</f>
        <v>0</v>
      </c>
      <c r="AH262" s="475">
        <f>IF(COUNT($E$262:AG262)&gt;'Datu ievade'!$B$96,0,$E$263/'Datu ievade'!$B$96)</f>
        <v>0</v>
      </c>
      <c r="AI262" s="475"/>
      <c r="AJ262" s="165"/>
      <c r="AK262" s="165"/>
      <c r="AL262" s="165"/>
      <c r="AM262" s="535"/>
      <c r="AN262" s="165"/>
      <c r="AO262" s="283"/>
      <c r="AP262" s="71"/>
      <c r="AQ262" s="283"/>
      <c r="AR262" s="71"/>
      <c r="AS262" s="283"/>
      <c r="AT262" s="165"/>
      <c r="AU262" s="165"/>
      <c r="AV262" s="165"/>
      <c r="AW262" s="165"/>
      <c r="AX262" s="165"/>
      <c r="AY262" s="165"/>
      <c r="AZ262" s="165"/>
      <c r="BA262" s="165"/>
      <c r="BB262" s="165"/>
      <c r="BC262" s="165"/>
      <c r="BD262" s="165"/>
      <c r="BE262" s="165"/>
      <c r="BF262" s="165"/>
      <c r="BG262" s="165"/>
      <c r="BH262" s="165"/>
      <c r="BI262" s="165"/>
      <c r="BJ262" s="165"/>
      <c r="BK262" s="165"/>
      <c r="BL262" s="165"/>
      <c r="BM262" s="165"/>
      <c r="BN262" s="165"/>
      <c r="BO262" s="165"/>
      <c r="BP262" s="165"/>
      <c r="BQ262" s="165"/>
      <c r="BR262" s="165"/>
      <c r="BS262" s="165"/>
      <c r="BT262" s="165"/>
      <c r="BU262" s="165"/>
      <c r="BV262" s="165"/>
      <c r="BW262" s="165"/>
      <c r="BX262" s="165"/>
      <c r="BY262" s="165"/>
      <c r="BZ262" s="165"/>
      <c r="CA262" s="165"/>
      <c r="CB262" s="165"/>
      <c r="CC262" s="165"/>
      <c r="CD262" s="165"/>
      <c r="CE262" s="165"/>
      <c r="CF262" s="165"/>
      <c r="CG262" s="165"/>
      <c r="CH262" s="165"/>
      <c r="CI262" s="165"/>
      <c r="CJ262" s="165"/>
      <c r="CK262" s="165"/>
      <c r="CL262" s="165"/>
      <c r="CM262" s="165"/>
      <c r="CN262" s="165"/>
      <c r="CO262" s="165"/>
      <c r="CP262" s="165"/>
      <c r="CQ262" s="165"/>
      <c r="CR262" s="165"/>
      <c r="CS262" s="165"/>
      <c r="CT262" s="165"/>
      <c r="CU262" s="165"/>
      <c r="CV262" s="165"/>
      <c r="CW262" s="165"/>
      <c r="CX262" s="165"/>
      <c r="CY262" s="165"/>
      <c r="CZ262" s="165"/>
      <c r="DA262" s="165"/>
      <c r="DB262" s="165"/>
      <c r="DC262" s="165"/>
      <c r="DD262" s="165"/>
      <c r="DE262" s="165"/>
      <c r="DF262" s="165"/>
      <c r="DG262" s="165"/>
      <c r="DH262" s="165"/>
      <c r="DI262" s="165"/>
      <c r="DJ262" s="165"/>
      <c r="DK262" s="165"/>
      <c r="DL262" s="165"/>
      <c r="DM262" s="165"/>
      <c r="DN262" s="165"/>
      <c r="DO262" s="165"/>
      <c r="DP262" s="165"/>
      <c r="DQ262" s="165"/>
      <c r="DR262" s="165"/>
      <c r="DS262" s="165"/>
      <c r="DT262" s="165"/>
      <c r="DU262" s="165"/>
      <c r="DV262" s="165"/>
      <c r="DW262" s="165"/>
      <c r="DX262" s="165"/>
      <c r="DY262" s="165"/>
      <c r="DZ262" s="165"/>
      <c r="EA262" s="165"/>
      <c r="EB262" s="165"/>
      <c r="EC262" s="165"/>
      <c r="ED262" s="165"/>
      <c r="EE262" s="165"/>
      <c r="EF262" s="165"/>
      <c r="EG262" s="165"/>
      <c r="EH262" s="165"/>
      <c r="EI262" s="165"/>
      <c r="EJ262" s="165"/>
      <c r="EK262" s="165"/>
      <c r="EL262" s="165"/>
      <c r="EM262" s="165"/>
      <c r="EN262" s="165"/>
      <c r="EO262" s="165"/>
      <c r="EP262" s="165"/>
      <c r="EQ262" s="165"/>
      <c r="ER262" s="165"/>
      <c r="ES262" s="165"/>
      <c r="ET262" s="165"/>
      <c r="EU262" s="165"/>
      <c r="EV262" s="165"/>
      <c r="EW262" s="165"/>
      <c r="EX262" s="165"/>
      <c r="EY262" s="165"/>
      <c r="EZ262" s="165"/>
      <c r="FA262" s="165"/>
      <c r="FB262" s="165"/>
      <c r="FC262" s="165"/>
      <c r="FD262" s="165"/>
      <c r="FE262" s="165"/>
      <c r="FF262" s="165"/>
      <c r="FG262" s="165"/>
      <c r="FH262" s="165"/>
      <c r="FI262" s="165"/>
      <c r="FJ262" s="165"/>
      <c r="FK262" s="165"/>
      <c r="FL262" s="165"/>
      <c r="FM262" s="165"/>
      <c r="FN262" s="165"/>
      <c r="FO262" s="165"/>
      <c r="FP262" s="165"/>
      <c r="FQ262" s="165"/>
      <c r="FR262" s="165"/>
      <c r="FS262" s="165"/>
      <c r="FT262" s="165"/>
      <c r="FU262" s="165"/>
      <c r="FV262" s="165"/>
      <c r="FW262" s="165"/>
      <c r="FX262" s="165"/>
      <c r="FY262" s="165"/>
      <c r="FZ262" s="165"/>
      <c r="GA262" s="165"/>
      <c r="GB262" s="165"/>
      <c r="GC262" s="165"/>
      <c r="GD262" s="165"/>
      <c r="GE262" s="165"/>
      <c r="GF262" s="165"/>
      <c r="GG262" s="165"/>
      <c r="GH262" s="165"/>
      <c r="GI262" s="165"/>
      <c r="GJ262" s="165"/>
      <c r="GK262" s="165"/>
      <c r="GL262" s="165"/>
      <c r="GM262" s="165"/>
      <c r="GN262" s="165"/>
      <c r="GO262" s="165"/>
      <c r="GP262" s="165"/>
      <c r="GQ262" s="165"/>
      <c r="GR262" s="165"/>
      <c r="GS262" s="165"/>
      <c r="GT262" s="165"/>
      <c r="GU262" s="165"/>
      <c r="GV262" s="165"/>
      <c r="GW262" s="165"/>
      <c r="GX262" s="165"/>
      <c r="GY262" s="165"/>
      <c r="GZ262" s="165"/>
      <c r="HA262" s="165"/>
      <c r="HB262" s="165"/>
      <c r="HC262" s="165"/>
      <c r="HD262" s="165"/>
      <c r="HE262" s="165"/>
      <c r="HF262" s="165"/>
      <c r="HG262" s="165"/>
      <c r="HH262" s="165"/>
      <c r="HI262" s="165"/>
      <c r="HJ262" s="165"/>
      <c r="HK262" s="165"/>
      <c r="HL262" s="165"/>
      <c r="HM262" s="165"/>
      <c r="HN262" s="165"/>
      <c r="HO262" s="165"/>
      <c r="HP262" s="165"/>
      <c r="HQ262" s="165"/>
      <c r="HR262" s="165"/>
      <c r="HS262" s="165"/>
      <c r="HT262" s="165"/>
      <c r="HU262" s="165"/>
      <c r="HV262" s="165"/>
      <c r="HW262" s="165"/>
      <c r="HX262" s="165"/>
      <c r="HY262" s="165"/>
      <c r="HZ262" s="165"/>
      <c r="IA262" s="165"/>
      <c r="IB262" s="165"/>
      <c r="IC262" s="165"/>
      <c r="ID262" s="165"/>
      <c r="IE262" s="165"/>
      <c r="IF262" s="165"/>
      <c r="IG262" s="165"/>
      <c r="IH262" s="165"/>
      <c r="II262" s="165"/>
      <c r="IJ262" s="165"/>
      <c r="IK262" s="165"/>
      <c r="IL262" s="165"/>
      <c r="IM262" s="165"/>
      <c r="IN262" s="165"/>
      <c r="IO262" s="165"/>
      <c r="IP262" s="165"/>
      <c r="IQ262" s="165"/>
      <c r="IR262" s="165"/>
      <c r="IS262" s="165"/>
    </row>
    <row r="263" spans="1:253" s="62" customFormat="1" x14ac:dyDescent="0.2">
      <c r="A263" s="476" t="s">
        <v>230</v>
      </c>
      <c r="B263" s="477">
        <f>B259</f>
        <v>0</v>
      </c>
      <c r="C263" s="477">
        <f t="shared" ref="C263:AG263" si="92">(B263+C259)-C262</f>
        <v>0</v>
      </c>
      <c r="D263" s="477">
        <f t="shared" si="92"/>
        <v>0</v>
      </c>
      <c r="E263" s="477">
        <f t="shared" si="92"/>
        <v>0</v>
      </c>
      <c r="F263" s="465">
        <f t="shared" si="92"/>
        <v>0</v>
      </c>
      <c r="G263" s="477">
        <f t="shared" si="92"/>
        <v>0</v>
      </c>
      <c r="H263" s="477">
        <f t="shared" si="92"/>
        <v>0</v>
      </c>
      <c r="I263" s="477">
        <f t="shared" si="92"/>
        <v>0</v>
      </c>
      <c r="J263" s="477">
        <f t="shared" si="92"/>
        <v>0</v>
      </c>
      <c r="K263" s="477">
        <f t="shared" si="92"/>
        <v>0</v>
      </c>
      <c r="L263" s="477">
        <f t="shared" si="92"/>
        <v>0</v>
      </c>
      <c r="M263" s="477">
        <f t="shared" si="92"/>
        <v>0</v>
      </c>
      <c r="N263" s="477">
        <f t="shared" si="92"/>
        <v>0</v>
      </c>
      <c r="O263" s="477">
        <f t="shared" si="92"/>
        <v>0</v>
      </c>
      <c r="P263" s="477">
        <f t="shared" si="92"/>
        <v>0</v>
      </c>
      <c r="Q263" s="477">
        <f t="shared" si="92"/>
        <v>0</v>
      </c>
      <c r="R263" s="477">
        <f t="shared" si="92"/>
        <v>0</v>
      </c>
      <c r="S263" s="477">
        <f t="shared" si="92"/>
        <v>0</v>
      </c>
      <c r="T263" s="477">
        <f t="shared" si="92"/>
        <v>0</v>
      </c>
      <c r="U263" s="477">
        <f t="shared" si="92"/>
        <v>0</v>
      </c>
      <c r="V263" s="477">
        <f t="shared" si="92"/>
        <v>0</v>
      </c>
      <c r="W263" s="477">
        <f t="shared" si="92"/>
        <v>0</v>
      </c>
      <c r="X263" s="477">
        <f t="shared" si="92"/>
        <v>0</v>
      </c>
      <c r="Y263" s="477">
        <f t="shared" si="92"/>
        <v>0</v>
      </c>
      <c r="Z263" s="477">
        <f t="shared" si="92"/>
        <v>0</v>
      </c>
      <c r="AA263" s="477">
        <f t="shared" si="92"/>
        <v>0</v>
      </c>
      <c r="AB263" s="477">
        <f t="shared" si="92"/>
        <v>0</v>
      </c>
      <c r="AC263" s="477">
        <f t="shared" si="92"/>
        <v>0</v>
      </c>
      <c r="AD263" s="477">
        <f t="shared" si="92"/>
        <v>0</v>
      </c>
      <c r="AE263" s="477">
        <f t="shared" si="92"/>
        <v>0</v>
      </c>
      <c r="AF263" s="477">
        <f t="shared" si="92"/>
        <v>0</v>
      </c>
      <c r="AG263" s="477">
        <f t="shared" si="92"/>
        <v>0</v>
      </c>
      <c r="AH263" s="477">
        <f>(AG263+AH259)-AH262</f>
        <v>0</v>
      </c>
      <c r="AI263" s="477"/>
      <c r="AJ263" s="165"/>
      <c r="AK263" s="165"/>
      <c r="AL263" s="165"/>
      <c r="AM263" s="535"/>
      <c r="AN263" s="165"/>
      <c r="AO263" s="283"/>
      <c r="AP263" s="71"/>
      <c r="AQ263" s="283"/>
      <c r="AR263" s="71"/>
      <c r="AS263" s="283"/>
      <c r="AT263" s="165"/>
      <c r="AU263" s="165"/>
      <c r="AV263" s="165"/>
      <c r="AW263" s="165"/>
      <c r="AX263" s="165"/>
      <c r="AY263" s="165"/>
      <c r="AZ263" s="165"/>
      <c r="BA263" s="165"/>
      <c r="BB263" s="165"/>
      <c r="BC263" s="165"/>
      <c r="BD263" s="165"/>
      <c r="BE263" s="165"/>
      <c r="BF263" s="165"/>
      <c r="BG263" s="165"/>
      <c r="BH263" s="165"/>
      <c r="BI263" s="165"/>
      <c r="BJ263" s="165"/>
      <c r="BK263" s="165"/>
      <c r="BL263" s="165"/>
      <c r="BM263" s="165"/>
      <c r="BN263" s="165"/>
      <c r="BO263" s="165"/>
      <c r="BP263" s="165"/>
      <c r="BQ263" s="165"/>
      <c r="BR263" s="165"/>
      <c r="BS263" s="165"/>
      <c r="BT263" s="165"/>
      <c r="BU263" s="165"/>
      <c r="BV263" s="165"/>
      <c r="BW263" s="165"/>
      <c r="BX263" s="165"/>
      <c r="BY263" s="165"/>
      <c r="BZ263" s="165"/>
      <c r="CA263" s="165"/>
      <c r="CB263" s="165"/>
      <c r="CC263" s="165"/>
      <c r="CD263" s="165"/>
      <c r="CE263" s="165"/>
      <c r="CF263" s="165"/>
      <c r="CG263" s="165"/>
      <c r="CH263" s="165"/>
      <c r="CI263" s="165"/>
      <c r="CJ263" s="165"/>
      <c r="CK263" s="165"/>
      <c r="CL263" s="165"/>
      <c r="CM263" s="165"/>
      <c r="CN263" s="165"/>
      <c r="CO263" s="165"/>
      <c r="CP263" s="165"/>
      <c r="CQ263" s="165"/>
      <c r="CR263" s="165"/>
      <c r="CS263" s="165"/>
      <c r="CT263" s="165"/>
      <c r="CU263" s="165"/>
      <c r="CV263" s="165"/>
      <c r="CW263" s="165"/>
      <c r="CX263" s="165"/>
      <c r="CY263" s="165"/>
      <c r="CZ263" s="165"/>
      <c r="DA263" s="165"/>
      <c r="DB263" s="165"/>
      <c r="DC263" s="165"/>
      <c r="DD263" s="165"/>
      <c r="DE263" s="165"/>
      <c r="DF263" s="165"/>
      <c r="DG263" s="165"/>
      <c r="DH263" s="165"/>
      <c r="DI263" s="165"/>
      <c r="DJ263" s="165"/>
      <c r="DK263" s="165"/>
      <c r="DL263" s="165"/>
      <c r="DM263" s="165"/>
      <c r="DN263" s="165"/>
      <c r="DO263" s="165"/>
      <c r="DP263" s="165"/>
      <c r="DQ263" s="165"/>
      <c r="DR263" s="165"/>
      <c r="DS263" s="165"/>
      <c r="DT263" s="165"/>
      <c r="DU263" s="165"/>
      <c r="DV263" s="165"/>
      <c r="DW263" s="165"/>
      <c r="DX263" s="165"/>
      <c r="DY263" s="165"/>
      <c r="DZ263" s="165"/>
      <c r="EA263" s="165"/>
      <c r="EB263" s="165"/>
      <c r="EC263" s="165"/>
      <c r="ED263" s="165"/>
      <c r="EE263" s="165"/>
      <c r="EF263" s="165"/>
      <c r="EG263" s="165"/>
      <c r="EH263" s="165"/>
      <c r="EI263" s="165"/>
      <c r="EJ263" s="165"/>
      <c r="EK263" s="165"/>
      <c r="EL263" s="165"/>
      <c r="EM263" s="165"/>
      <c r="EN263" s="165"/>
      <c r="EO263" s="165"/>
      <c r="EP263" s="165"/>
      <c r="EQ263" s="165"/>
      <c r="ER263" s="165"/>
      <c r="ES263" s="165"/>
      <c r="ET263" s="165"/>
      <c r="EU263" s="165"/>
      <c r="EV263" s="165"/>
      <c r="EW263" s="165"/>
      <c r="EX263" s="165"/>
      <c r="EY263" s="165"/>
      <c r="EZ263" s="165"/>
      <c r="FA263" s="165"/>
      <c r="FB263" s="165"/>
      <c r="FC263" s="165"/>
      <c r="FD263" s="165"/>
      <c r="FE263" s="165"/>
      <c r="FF263" s="165"/>
      <c r="FG263" s="165"/>
      <c r="FH263" s="165"/>
      <c r="FI263" s="165"/>
      <c r="FJ263" s="165"/>
      <c r="FK263" s="165"/>
      <c r="FL263" s="165"/>
      <c r="FM263" s="165"/>
      <c r="FN263" s="165"/>
      <c r="FO263" s="165"/>
      <c r="FP263" s="165"/>
      <c r="FQ263" s="165"/>
      <c r="FR263" s="165"/>
      <c r="FS263" s="165"/>
      <c r="FT263" s="165"/>
      <c r="FU263" s="165"/>
      <c r="FV263" s="165"/>
      <c r="FW263" s="165"/>
      <c r="FX263" s="165"/>
      <c r="FY263" s="165"/>
      <c r="FZ263" s="165"/>
      <c r="GA263" s="165"/>
      <c r="GB263" s="165"/>
      <c r="GC263" s="165"/>
      <c r="GD263" s="165"/>
      <c r="GE263" s="165"/>
      <c r="GF263" s="165"/>
      <c r="GG263" s="165"/>
      <c r="GH263" s="165"/>
      <c r="GI263" s="165"/>
      <c r="GJ263" s="165"/>
      <c r="GK263" s="165"/>
      <c r="GL263" s="165"/>
      <c r="GM263" s="165"/>
      <c r="GN263" s="165"/>
      <c r="GO263" s="165"/>
      <c r="GP263" s="165"/>
      <c r="GQ263" s="165"/>
      <c r="GR263" s="165"/>
      <c r="GS263" s="165"/>
      <c r="GT263" s="165"/>
      <c r="GU263" s="165"/>
      <c r="GV263" s="165"/>
      <c r="GW263" s="165"/>
      <c r="GX263" s="165"/>
      <c r="GY263" s="165"/>
      <c r="GZ263" s="165"/>
      <c r="HA263" s="165"/>
      <c r="HB263" s="165"/>
      <c r="HC263" s="165"/>
      <c r="HD263" s="165"/>
      <c r="HE263" s="165"/>
      <c r="HF263" s="165"/>
      <c r="HG263" s="165"/>
      <c r="HH263" s="165"/>
      <c r="HI263" s="165"/>
      <c r="HJ263" s="165"/>
      <c r="HK263" s="165"/>
      <c r="HL263" s="165"/>
      <c r="HM263" s="165"/>
      <c r="HN263" s="165"/>
      <c r="HO263" s="165"/>
      <c r="HP263" s="165"/>
      <c r="HQ263" s="165"/>
      <c r="HR263" s="165"/>
      <c r="HS263" s="165"/>
      <c r="HT263" s="165"/>
      <c r="HU263" s="165"/>
      <c r="HV263" s="165"/>
      <c r="HW263" s="165"/>
      <c r="HX263" s="165"/>
      <c r="HY263" s="165"/>
      <c r="HZ263" s="165"/>
      <c r="IA263" s="165"/>
      <c r="IB263" s="165"/>
      <c r="IC263" s="165"/>
      <c r="ID263" s="165"/>
      <c r="IE263" s="165"/>
      <c r="IF263" s="165"/>
      <c r="IG263" s="165"/>
      <c r="IH263" s="165"/>
      <c r="II263" s="165"/>
      <c r="IJ263" s="165"/>
      <c r="IK263" s="165"/>
      <c r="IL263" s="165"/>
      <c r="IM263" s="165"/>
      <c r="IN263" s="165"/>
      <c r="IO263" s="165"/>
      <c r="IP263" s="165"/>
      <c r="IQ263" s="165"/>
      <c r="IR263" s="165"/>
      <c r="IS263" s="165"/>
    </row>
    <row r="264" spans="1:253" s="419" customFormat="1" x14ac:dyDescent="0.2">
      <c r="B264" s="260"/>
      <c r="C264" s="260"/>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c r="AA264" s="260"/>
      <c r="AB264" s="260"/>
      <c r="AC264" s="260"/>
      <c r="AD264" s="260"/>
      <c r="AE264" s="260"/>
      <c r="AF264" s="260"/>
      <c r="AG264" s="260"/>
      <c r="AH264" s="260"/>
      <c r="AI264" s="260"/>
      <c r="AJ264" s="260"/>
      <c r="AK264" s="260"/>
      <c r="AL264" s="260"/>
      <c r="AM264" s="535"/>
      <c r="AN264" s="260"/>
      <c r="AO264" s="283"/>
      <c r="AP264" s="71"/>
      <c r="AQ264" s="283"/>
      <c r="AR264" s="71"/>
      <c r="AS264" s="283"/>
      <c r="AT264" s="260"/>
      <c r="AU264" s="260"/>
      <c r="AV264" s="260"/>
      <c r="AW264" s="260"/>
      <c r="AX264" s="260"/>
      <c r="AY264" s="260"/>
      <c r="AZ264" s="260"/>
      <c r="BA264" s="260"/>
      <c r="BB264" s="260"/>
      <c r="BC264" s="260"/>
      <c r="BD264" s="260"/>
      <c r="BE264" s="260"/>
      <c r="BF264" s="260"/>
      <c r="BG264" s="260"/>
      <c r="BH264" s="260"/>
      <c r="BI264" s="260"/>
      <c r="BJ264" s="260"/>
      <c r="BK264" s="260"/>
      <c r="BL264" s="260"/>
      <c r="BM264" s="260"/>
      <c r="BN264" s="260"/>
      <c r="BO264" s="260"/>
      <c r="BP264" s="260"/>
      <c r="BQ264" s="260"/>
      <c r="BR264" s="260"/>
      <c r="BS264" s="260"/>
      <c r="BT264" s="260"/>
      <c r="BU264" s="260"/>
      <c r="BV264" s="260"/>
      <c r="BW264" s="260"/>
      <c r="BX264" s="260"/>
      <c r="BY264" s="260"/>
      <c r="BZ264" s="260"/>
      <c r="CA264" s="260"/>
      <c r="CB264" s="260"/>
      <c r="CC264" s="260"/>
      <c r="CD264" s="260"/>
      <c r="CE264" s="260"/>
      <c r="CF264" s="260"/>
      <c r="CG264" s="260"/>
      <c r="CH264" s="260"/>
      <c r="CI264" s="260"/>
      <c r="CJ264" s="260"/>
      <c r="CK264" s="260"/>
      <c r="CL264" s="260"/>
      <c r="CM264" s="260"/>
      <c r="CN264" s="260"/>
      <c r="CO264" s="260"/>
      <c r="CP264" s="260"/>
      <c r="CQ264" s="260"/>
      <c r="CR264" s="260"/>
      <c r="CS264" s="260"/>
      <c r="CT264" s="260"/>
      <c r="CU264" s="260"/>
      <c r="CV264" s="260"/>
      <c r="CW264" s="260"/>
      <c r="CX264" s="260"/>
      <c r="CY264" s="260"/>
      <c r="CZ264" s="260"/>
      <c r="DA264" s="260"/>
      <c r="DB264" s="260"/>
      <c r="DC264" s="260"/>
      <c r="DD264" s="260"/>
      <c r="DE264" s="260"/>
      <c r="DF264" s="260"/>
      <c r="DG264" s="260"/>
      <c r="DH264" s="260"/>
      <c r="DI264" s="260"/>
      <c r="DJ264" s="260"/>
      <c r="DK264" s="260"/>
      <c r="DL264" s="260"/>
      <c r="DM264" s="260"/>
      <c r="DN264" s="260"/>
      <c r="DO264" s="260"/>
      <c r="DP264" s="260"/>
      <c r="DQ264" s="260"/>
      <c r="DR264" s="260"/>
      <c r="DS264" s="260"/>
      <c r="DT264" s="260"/>
      <c r="DU264" s="260"/>
      <c r="DV264" s="260"/>
      <c r="DW264" s="260"/>
      <c r="DX264" s="260"/>
      <c r="DY264" s="260"/>
      <c r="DZ264" s="260"/>
      <c r="EA264" s="260"/>
      <c r="EB264" s="260"/>
      <c r="EC264" s="260"/>
      <c r="ED264" s="260"/>
      <c r="EE264" s="260"/>
      <c r="EF264" s="260"/>
      <c r="EG264" s="260"/>
      <c r="EH264" s="260"/>
      <c r="EI264" s="260"/>
      <c r="EJ264" s="260"/>
      <c r="EK264" s="260"/>
      <c r="EL264" s="260"/>
      <c r="EM264" s="260"/>
      <c r="EN264" s="260"/>
      <c r="EO264" s="260"/>
      <c r="EP264" s="260"/>
      <c r="EQ264" s="260"/>
      <c r="ER264" s="260"/>
      <c r="ES264" s="260"/>
      <c r="ET264" s="260"/>
      <c r="EU264" s="260"/>
      <c r="EV264" s="260"/>
      <c r="EW264" s="260"/>
      <c r="EX264" s="260"/>
      <c r="EY264" s="260"/>
      <c r="EZ264" s="260"/>
      <c r="FA264" s="260"/>
      <c r="FB264" s="260"/>
      <c r="FC264" s="260"/>
      <c r="FD264" s="260"/>
      <c r="FE264" s="260"/>
      <c r="FF264" s="260"/>
      <c r="FG264" s="260"/>
      <c r="FH264" s="260"/>
      <c r="FI264" s="260"/>
      <c r="FJ264" s="260"/>
      <c r="FK264" s="260"/>
      <c r="FL264" s="260"/>
      <c r="FM264" s="260"/>
      <c r="FN264" s="260"/>
      <c r="FO264" s="260"/>
      <c r="FP264" s="260"/>
      <c r="FQ264" s="260"/>
      <c r="FR264" s="260"/>
      <c r="FS264" s="260"/>
      <c r="FT264" s="260"/>
      <c r="FU264" s="260"/>
      <c r="FV264" s="260"/>
      <c r="FW264" s="260"/>
      <c r="FX264" s="260"/>
      <c r="FY264" s="260"/>
      <c r="FZ264" s="260"/>
      <c r="GA264" s="260"/>
      <c r="GB264" s="260"/>
      <c r="GC264" s="260"/>
      <c r="GD264" s="260"/>
      <c r="GE264" s="260"/>
      <c r="GF264" s="260"/>
      <c r="GG264" s="260"/>
      <c r="GH264" s="260"/>
      <c r="GI264" s="260"/>
      <c r="GJ264" s="260"/>
      <c r="GK264" s="260"/>
      <c r="GL264" s="260"/>
      <c r="GM264" s="260"/>
      <c r="GN264" s="260"/>
      <c r="GO264" s="260"/>
      <c r="GP264" s="260"/>
      <c r="GQ264" s="260"/>
      <c r="GR264" s="260"/>
      <c r="GS264" s="260"/>
      <c r="GT264" s="260"/>
      <c r="GU264" s="260"/>
      <c r="GV264" s="260"/>
      <c r="GW264" s="260"/>
      <c r="GX264" s="260"/>
      <c r="GY264" s="260"/>
      <c r="GZ264" s="260"/>
      <c r="HA264" s="260"/>
      <c r="HB264" s="260"/>
      <c r="HC264" s="260"/>
      <c r="HD264" s="260"/>
      <c r="HE264" s="260"/>
      <c r="HF264" s="260"/>
      <c r="HG264" s="260"/>
      <c r="HH264" s="260"/>
      <c r="HI264" s="260"/>
      <c r="HJ264" s="260"/>
      <c r="HK264" s="260"/>
      <c r="HL264" s="260"/>
      <c r="HM264" s="260"/>
      <c r="HN264" s="260"/>
      <c r="HO264" s="260"/>
      <c r="HP264" s="260"/>
      <c r="HQ264" s="260"/>
      <c r="HR264" s="260"/>
      <c r="HS264" s="260"/>
      <c r="HT264" s="260"/>
      <c r="HU264" s="260"/>
      <c r="HV264" s="260"/>
      <c r="HW264" s="260"/>
      <c r="HX264" s="260"/>
      <c r="HY264" s="260"/>
      <c r="HZ264" s="260"/>
      <c r="IA264" s="260"/>
      <c r="IB264" s="260"/>
      <c r="IC264" s="260"/>
      <c r="ID264" s="260"/>
      <c r="IE264" s="260"/>
      <c r="IF264" s="260"/>
      <c r="IG264" s="260"/>
      <c r="IH264" s="260"/>
      <c r="II264" s="260"/>
      <c r="IJ264" s="260"/>
      <c r="IK264" s="260"/>
      <c r="IL264" s="260"/>
      <c r="IM264" s="260"/>
      <c r="IN264" s="260"/>
      <c r="IO264" s="260"/>
      <c r="IP264" s="260"/>
      <c r="IQ264" s="260"/>
      <c r="IR264" s="260"/>
      <c r="IS264" s="260"/>
    </row>
    <row r="265" spans="1:253" s="419" customFormat="1" ht="36.75" customHeight="1" x14ac:dyDescent="0.2">
      <c r="A265" s="512" t="s">
        <v>373</v>
      </c>
      <c r="B265" s="260"/>
      <c r="C265" s="260"/>
      <c r="D265" s="260"/>
      <c r="E265" s="260"/>
      <c r="F265" s="260"/>
      <c r="G265" s="260"/>
      <c r="H265" s="260"/>
      <c r="I265" s="260"/>
      <c r="J265" s="260"/>
      <c r="K265" s="260"/>
      <c r="L265" s="260"/>
      <c r="M265" s="260"/>
      <c r="N265" s="260"/>
      <c r="O265" s="260"/>
      <c r="P265" s="260"/>
      <c r="Q265" s="260"/>
      <c r="R265" s="260"/>
      <c r="S265" s="260"/>
      <c r="T265" s="260"/>
      <c r="U265" s="260"/>
      <c r="V265" s="260"/>
      <c r="W265" s="260"/>
      <c r="X265" s="260"/>
      <c r="Y265" s="260"/>
      <c r="Z265" s="260"/>
      <c r="AA265" s="260"/>
      <c r="AB265" s="260"/>
      <c r="AC265" s="260"/>
      <c r="AD265" s="260"/>
      <c r="AE265" s="260"/>
      <c r="AF265" s="260"/>
      <c r="AG265" s="260"/>
      <c r="AH265" s="260"/>
      <c r="AI265" s="260"/>
      <c r="AJ265" s="260"/>
      <c r="AK265" s="260"/>
      <c r="AL265" s="260"/>
      <c r="AM265" s="535"/>
      <c r="AN265" s="260"/>
      <c r="AO265" s="283"/>
      <c r="AP265" s="71"/>
      <c r="AQ265" s="283"/>
      <c r="AR265" s="71"/>
      <c r="AS265" s="283"/>
      <c r="AT265" s="260"/>
      <c r="AU265" s="260"/>
      <c r="AV265" s="260"/>
      <c r="AW265" s="260"/>
      <c r="AX265" s="260"/>
      <c r="AY265" s="260"/>
      <c r="AZ265" s="260"/>
      <c r="BA265" s="260"/>
      <c r="BB265" s="260"/>
      <c r="BC265" s="260"/>
      <c r="BD265" s="260"/>
      <c r="BE265" s="260"/>
      <c r="BF265" s="260"/>
      <c r="BG265" s="260"/>
      <c r="BH265" s="260"/>
      <c r="BI265" s="260"/>
      <c r="BJ265" s="260"/>
      <c r="BK265" s="260"/>
      <c r="BL265" s="260"/>
      <c r="BM265" s="260"/>
      <c r="BN265" s="260"/>
      <c r="BO265" s="260"/>
      <c r="BP265" s="260"/>
      <c r="BQ265" s="260"/>
      <c r="BR265" s="260"/>
      <c r="BS265" s="260"/>
      <c r="BT265" s="260"/>
      <c r="BU265" s="260"/>
      <c r="BV265" s="260"/>
      <c r="BW265" s="260"/>
      <c r="BX265" s="260"/>
      <c r="BY265" s="260"/>
      <c r="BZ265" s="260"/>
      <c r="CA265" s="260"/>
      <c r="CB265" s="260"/>
      <c r="CC265" s="260"/>
      <c r="CD265" s="260"/>
      <c r="CE265" s="260"/>
      <c r="CF265" s="260"/>
      <c r="CG265" s="260"/>
      <c r="CH265" s="260"/>
      <c r="CI265" s="260"/>
      <c r="CJ265" s="260"/>
      <c r="CK265" s="260"/>
      <c r="CL265" s="260"/>
      <c r="CM265" s="260"/>
      <c r="CN265" s="260"/>
      <c r="CO265" s="260"/>
      <c r="CP265" s="260"/>
      <c r="CQ265" s="260"/>
      <c r="CR265" s="260"/>
      <c r="CS265" s="260"/>
      <c r="CT265" s="260"/>
      <c r="CU265" s="260"/>
      <c r="CV265" s="260"/>
      <c r="CW265" s="260"/>
      <c r="CX265" s="260"/>
      <c r="CY265" s="260"/>
      <c r="CZ265" s="260"/>
      <c r="DA265" s="260"/>
      <c r="DB265" s="260"/>
      <c r="DC265" s="260"/>
      <c r="DD265" s="260"/>
      <c r="DE265" s="260"/>
      <c r="DF265" s="260"/>
      <c r="DG265" s="260"/>
      <c r="DH265" s="260"/>
      <c r="DI265" s="260"/>
      <c r="DJ265" s="260"/>
      <c r="DK265" s="260"/>
      <c r="DL265" s="260"/>
      <c r="DM265" s="260"/>
      <c r="DN265" s="260"/>
      <c r="DO265" s="260"/>
      <c r="DP265" s="260"/>
      <c r="DQ265" s="260"/>
      <c r="DR265" s="260"/>
      <c r="DS265" s="260"/>
      <c r="DT265" s="260"/>
      <c r="DU265" s="260"/>
      <c r="DV265" s="260"/>
      <c r="DW265" s="260"/>
      <c r="DX265" s="260"/>
      <c r="DY265" s="260"/>
      <c r="DZ265" s="260"/>
      <c r="EA265" s="260"/>
      <c r="EB265" s="260"/>
      <c r="EC265" s="260"/>
      <c r="ED265" s="260"/>
      <c r="EE265" s="260"/>
      <c r="EF265" s="260"/>
      <c r="EG265" s="260"/>
      <c r="EH265" s="260"/>
      <c r="EI265" s="260"/>
      <c r="EJ265" s="260"/>
      <c r="EK265" s="260"/>
      <c r="EL265" s="260"/>
      <c r="EM265" s="260"/>
      <c r="EN265" s="260"/>
      <c r="EO265" s="260"/>
      <c r="EP265" s="260"/>
      <c r="EQ265" s="260"/>
      <c r="ER265" s="260"/>
      <c r="ES265" s="260"/>
      <c r="ET265" s="260"/>
      <c r="EU265" s="260"/>
      <c r="EV265" s="260"/>
      <c r="EW265" s="260"/>
      <c r="EX265" s="260"/>
      <c r="EY265" s="260"/>
      <c r="EZ265" s="260"/>
      <c r="FA265" s="260"/>
      <c r="FB265" s="260"/>
      <c r="FC265" s="260"/>
      <c r="FD265" s="260"/>
      <c r="FE265" s="260"/>
      <c r="FF265" s="260"/>
      <c r="FG265" s="260"/>
      <c r="FH265" s="260"/>
      <c r="FI265" s="260"/>
      <c r="FJ265" s="260"/>
      <c r="FK265" s="260"/>
      <c r="FL265" s="260"/>
      <c r="FM265" s="260"/>
      <c r="FN265" s="260"/>
      <c r="FO265" s="260"/>
      <c r="FP265" s="260"/>
      <c r="FQ265" s="260"/>
      <c r="FR265" s="260"/>
      <c r="FS265" s="260"/>
      <c r="FT265" s="260"/>
      <c r="FU265" s="260"/>
      <c r="FV265" s="260"/>
      <c r="FW265" s="260"/>
      <c r="FX265" s="260"/>
      <c r="FY265" s="260"/>
      <c r="FZ265" s="260"/>
      <c r="GA265" s="260"/>
      <c r="GB265" s="260"/>
      <c r="GC265" s="260"/>
      <c r="GD265" s="260"/>
      <c r="GE265" s="260"/>
      <c r="GF265" s="260"/>
      <c r="GG265" s="260"/>
      <c r="GH265" s="260"/>
      <c r="GI265" s="260"/>
      <c r="GJ265" s="260"/>
      <c r="GK265" s="260"/>
      <c r="GL265" s="260"/>
      <c r="GM265" s="260"/>
      <c r="GN265" s="260"/>
      <c r="GO265" s="260"/>
      <c r="GP265" s="260"/>
      <c r="GQ265" s="260"/>
      <c r="GR265" s="260"/>
      <c r="GS265" s="260"/>
      <c r="GT265" s="260"/>
      <c r="GU265" s="260"/>
      <c r="GV265" s="260"/>
      <c r="GW265" s="260"/>
      <c r="GX265" s="260"/>
      <c r="GY265" s="260"/>
      <c r="GZ265" s="260"/>
      <c r="HA265" s="260"/>
      <c r="HB265" s="260"/>
      <c r="HC265" s="260"/>
      <c r="HD265" s="260"/>
      <c r="HE265" s="260"/>
      <c r="HF265" s="260"/>
      <c r="HG265" s="260"/>
      <c r="HH265" s="260"/>
      <c r="HI265" s="260"/>
      <c r="HJ265" s="260"/>
      <c r="HK265" s="260"/>
      <c r="HL265" s="260"/>
      <c r="HM265" s="260"/>
      <c r="HN265" s="260"/>
      <c r="HO265" s="260"/>
      <c r="HP265" s="260"/>
      <c r="HQ265" s="260"/>
      <c r="HR265" s="260"/>
      <c r="HS265" s="260"/>
      <c r="HT265" s="260"/>
      <c r="HU265" s="260"/>
      <c r="HV265" s="260"/>
      <c r="HW265" s="260"/>
      <c r="HX265" s="260"/>
      <c r="HY265" s="260"/>
      <c r="HZ265" s="260"/>
      <c r="IA265" s="260"/>
      <c r="IB265" s="260"/>
      <c r="IC265" s="260"/>
      <c r="ID265" s="260"/>
      <c r="IE265" s="260"/>
      <c r="IF265" s="260"/>
      <c r="IG265" s="260"/>
      <c r="IH265" s="260"/>
      <c r="II265" s="260"/>
      <c r="IJ265" s="260"/>
      <c r="IK265" s="260"/>
      <c r="IL265" s="260"/>
      <c r="IM265" s="260"/>
      <c r="IN265" s="260"/>
      <c r="IO265" s="260"/>
      <c r="IP265" s="260"/>
      <c r="IQ265" s="260"/>
      <c r="IR265" s="260"/>
      <c r="IS265" s="260"/>
    </row>
    <row r="266" spans="1:253" s="419" customFormat="1" x14ac:dyDescent="0.2">
      <c r="A266" s="504"/>
      <c r="B266" s="423"/>
      <c r="C266" s="423"/>
      <c r="D266" s="423"/>
      <c r="E266" s="423"/>
      <c r="F266" s="458"/>
      <c r="G266" s="423"/>
      <c r="H266" s="423"/>
      <c r="I266" s="423"/>
      <c r="J266" s="458" t="s">
        <v>21</v>
      </c>
      <c r="K266" s="423"/>
      <c r="L266" s="458"/>
      <c r="M266" s="423"/>
      <c r="N266" s="423"/>
      <c r="O266" s="423"/>
      <c r="P266" s="505"/>
      <c r="Q266" s="505"/>
      <c r="R266" s="505"/>
      <c r="S266" s="505"/>
      <c r="T266" s="505"/>
      <c r="U266" s="505"/>
      <c r="V266" s="505"/>
      <c r="W266" s="505"/>
      <c r="X266" s="505"/>
      <c r="Y266" s="505"/>
      <c r="Z266" s="505"/>
      <c r="AA266" s="505"/>
      <c r="AB266" s="505"/>
      <c r="AC266" s="505"/>
      <c r="AD266" s="505"/>
      <c r="AE266" s="505"/>
      <c r="AF266" s="505"/>
      <c r="AG266" s="505"/>
      <c r="AH266" s="505"/>
      <c r="AI266" s="505"/>
      <c r="AJ266" s="260"/>
      <c r="AK266" s="260"/>
      <c r="AL266" s="260"/>
      <c r="AM266" s="535"/>
      <c r="AN266" s="260"/>
      <c r="AO266" s="283"/>
      <c r="AP266" s="71"/>
      <c r="AQ266" s="283"/>
      <c r="AR266" s="71"/>
      <c r="AS266" s="283"/>
      <c r="AT266" s="260"/>
      <c r="AU266" s="260"/>
      <c r="AV266" s="260"/>
      <c r="AW266" s="260"/>
      <c r="AX266" s="260"/>
      <c r="AY266" s="260"/>
      <c r="AZ266" s="260"/>
      <c r="BA266" s="260"/>
      <c r="BB266" s="260"/>
      <c r="BC266" s="260"/>
      <c r="BD266" s="260"/>
      <c r="BE266" s="260"/>
      <c r="BF266" s="260"/>
      <c r="BG266" s="260"/>
      <c r="BH266" s="260"/>
      <c r="BI266" s="260"/>
      <c r="BJ266" s="260"/>
      <c r="BK266" s="260"/>
      <c r="BL266" s="260"/>
      <c r="BM266" s="260"/>
      <c r="BN266" s="260"/>
      <c r="BO266" s="260"/>
      <c r="BP266" s="260"/>
      <c r="BQ266" s="260"/>
      <c r="BR266" s="260"/>
      <c r="BS266" s="260"/>
      <c r="BT266" s="260"/>
      <c r="BU266" s="260"/>
      <c r="BV266" s="260"/>
      <c r="BW266" s="260"/>
      <c r="BX266" s="260"/>
      <c r="BY266" s="260"/>
      <c r="BZ266" s="260"/>
      <c r="CA266" s="260"/>
      <c r="CB266" s="260"/>
      <c r="CC266" s="260"/>
      <c r="CD266" s="260"/>
      <c r="CE266" s="260"/>
      <c r="CF266" s="260"/>
      <c r="CG266" s="260"/>
      <c r="CH266" s="260"/>
      <c r="CI266" s="260"/>
      <c r="CJ266" s="260"/>
      <c r="CK266" s="260"/>
      <c r="CL266" s="260"/>
      <c r="CM266" s="260"/>
      <c r="CN266" s="260"/>
      <c r="CO266" s="260"/>
      <c r="CP266" s="260"/>
      <c r="CQ266" s="260"/>
      <c r="CR266" s="260"/>
      <c r="CS266" s="260"/>
      <c r="CT266" s="260"/>
      <c r="CU266" s="260"/>
      <c r="CV266" s="260"/>
      <c r="CW266" s="260"/>
      <c r="CX266" s="260"/>
      <c r="CY266" s="260"/>
      <c r="CZ266" s="260"/>
      <c r="DA266" s="260"/>
      <c r="DB266" s="260"/>
      <c r="DC266" s="260"/>
      <c r="DD266" s="260"/>
      <c r="DE266" s="260"/>
      <c r="DF266" s="260"/>
      <c r="DG266" s="260"/>
      <c r="DH266" s="260"/>
      <c r="DI266" s="260"/>
      <c r="DJ266" s="260"/>
      <c r="DK266" s="260"/>
      <c r="DL266" s="260"/>
      <c r="DM266" s="260"/>
      <c r="DN266" s="260"/>
      <c r="DO266" s="260"/>
      <c r="DP266" s="260"/>
      <c r="DQ266" s="260"/>
      <c r="DR266" s="260"/>
      <c r="DS266" s="260"/>
      <c r="DT266" s="260"/>
      <c r="DU266" s="260"/>
      <c r="DV266" s="260"/>
      <c r="DW266" s="260"/>
      <c r="DX266" s="260"/>
      <c r="DY266" s="260"/>
      <c r="DZ266" s="260"/>
      <c r="EA266" s="260"/>
      <c r="EB266" s="260"/>
      <c r="EC266" s="260"/>
      <c r="ED266" s="260"/>
      <c r="EE266" s="260"/>
      <c r="EF266" s="260"/>
      <c r="EG266" s="260"/>
      <c r="EH266" s="260"/>
      <c r="EI266" s="260"/>
      <c r="EJ266" s="260"/>
      <c r="EK266" s="260"/>
      <c r="EL266" s="260"/>
      <c r="EM266" s="260"/>
      <c r="EN266" s="260"/>
      <c r="EO266" s="260"/>
      <c r="EP266" s="260"/>
      <c r="EQ266" s="260"/>
      <c r="ER266" s="260"/>
      <c r="ES266" s="260"/>
      <c r="ET266" s="260"/>
      <c r="EU266" s="260"/>
      <c r="EV266" s="260"/>
      <c r="EW266" s="260"/>
      <c r="EX266" s="260"/>
      <c r="EY266" s="260"/>
      <c r="EZ266" s="260"/>
      <c r="FA266" s="260"/>
      <c r="FB266" s="260"/>
      <c r="FC266" s="260"/>
      <c r="FD266" s="260"/>
      <c r="FE266" s="260"/>
      <c r="FF266" s="260"/>
      <c r="FG266" s="260"/>
      <c r="FH266" s="260"/>
      <c r="FI266" s="260"/>
      <c r="FJ266" s="260"/>
      <c r="FK266" s="260"/>
      <c r="FL266" s="260"/>
      <c r="FM266" s="260"/>
      <c r="FN266" s="260"/>
      <c r="FO266" s="260"/>
      <c r="FP266" s="260"/>
      <c r="FQ266" s="260"/>
      <c r="FR266" s="260"/>
      <c r="FS266" s="260"/>
      <c r="FT266" s="260"/>
      <c r="FU266" s="260"/>
      <c r="FV266" s="260"/>
      <c r="FW266" s="260"/>
      <c r="FX266" s="260"/>
      <c r="FY266" s="260"/>
      <c r="FZ266" s="260"/>
      <c r="GA266" s="260"/>
      <c r="GB266" s="260"/>
      <c r="GC266" s="260"/>
      <c r="GD266" s="260"/>
      <c r="GE266" s="260"/>
      <c r="GF266" s="260"/>
      <c r="GG266" s="260"/>
      <c r="GH266" s="260"/>
      <c r="GI266" s="260"/>
      <c r="GJ266" s="260"/>
      <c r="GK266" s="260"/>
      <c r="GL266" s="260"/>
      <c r="GM266" s="260"/>
      <c r="GN266" s="260"/>
      <c r="GO266" s="260"/>
      <c r="GP266" s="260"/>
      <c r="GQ266" s="260"/>
      <c r="GR266" s="260"/>
      <c r="GS266" s="260"/>
      <c r="GT266" s="260"/>
      <c r="GU266" s="260"/>
      <c r="GV266" s="260"/>
      <c r="GW266" s="260"/>
      <c r="GX266" s="260"/>
      <c r="GY266" s="260"/>
      <c r="GZ266" s="260"/>
      <c r="HA266" s="260"/>
      <c r="HB266" s="260"/>
      <c r="HC266" s="260"/>
      <c r="HD266" s="260"/>
      <c r="HE266" s="260"/>
      <c r="HF266" s="260"/>
      <c r="HG266" s="260"/>
      <c r="HH266" s="260"/>
      <c r="HI266" s="260"/>
      <c r="HJ266" s="260"/>
      <c r="HK266" s="260"/>
      <c r="HL266" s="260"/>
      <c r="HM266" s="260"/>
      <c r="HN266" s="260"/>
      <c r="HO266" s="260"/>
      <c r="HP266" s="260"/>
      <c r="HQ266" s="260"/>
      <c r="HR266" s="260"/>
      <c r="HS266" s="260"/>
      <c r="HT266" s="260"/>
      <c r="HU266" s="260"/>
      <c r="HV266" s="260"/>
      <c r="HW266" s="260"/>
      <c r="HX266" s="260"/>
      <c r="HY266" s="260"/>
      <c r="HZ266" s="260"/>
      <c r="IA266" s="260"/>
      <c r="IB266" s="260"/>
      <c r="IC266" s="260"/>
      <c r="ID266" s="260"/>
      <c r="IE266" s="260"/>
      <c r="IF266" s="260"/>
      <c r="IG266" s="260"/>
      <c r="IH266" s="260"/>
      <c r="II266" s="260"/>
      <c r="IJ266" s="260"/>
      <c r="IK266" s="260"/>
      <c r="IL266" s="260"/>
      <c r="IM266" s="260"/>
      <c r="IN266" s="260"/>
      <c r="IO266" s="260"/>
      <c r="IP266" s="260"/>
      <c r="IQ266" s="260"/>
      <c r="IR266" s="260"/>
      <c r="IS266" s="260"/>
    </row>
    <row r="267" spans="1:253" s="419" customFormat="1" x14ac:dyDescent="0.2">
      <c r="A267" s="506"/>
      <c r="B267" s="431">
        <f>Aprekini!B5</f>
        <v>2014</v>
      </c>
      <c r="C267" s="431">
        <f t="shared" ref="C267:AG267" si="93">B267+1</f>
        <v>2015</v>
      </c>
      <c r="D267" s="431">
        <f t="shared" si="93"/>
        <v>2016</v>
      </c>
      <c r="E267" s="431">
        <f t="shared" si="93"/>
        <v>2017</v>
      </c>
      <c r="F267" s="431">
        <f t="shared" si="93"/>
        <v>2018</v>
      </c>
      <c r="G267" s="431">
        <f t="shared" si="93"/>
        <v>2019</v>
      </c>
      <c r="H267" s="431">
        <f t="shared" si="93"/>
        <v>2020</v>
      </c>
      <c r="I267" s="431">
        <f t="shared" si="93"/>
        <v>2021</v>
      </c>
      <c r="J267" s="431">
        <f t="shared" si="93"/>
        <v>2022</v>
      </c>
      <c r="K267" s="431">
        <f t="shared" si="93"/>
        <v>2023</v>
      </c>
      <c r="L267" s="507">
        <f t="shared" si="93"/>
        <v>2024</v>
      </c>
      <c r="M267" s="508">
        <f t="shared" si="93"/>
        <v>2025</v>
      </c>
      <c r="N267" s="508">
        <f t="shared" si="93"/>
        <v>2026</v>
      </c>
      <c r="O267" s="508">
        <f t="shared" si="93"/>
        <v>2027</v>
      </c>
      <c r="P267" s="508">
        <f t="shared" si="93"/>
        <v>2028</v>
      </c>
      <c r="Q267" s="508">
        <f t="shared" si="93"/>
        <v>2029</v>
      </c>
      <c r="R267" s="508">
        <f t="shared" si="93"/>
        <v>2030</v>
      </c>
      <c r="S267" s="508">
        <f t="shared" si="93"/>
        <v>2031</v>
      </c>
      <c r="T267" s="508">
        <f t="shared" si="93"/>
        <v>2032</v>
      </c>
      <c r="U267" s="508">
        <f t="shared" si="93"/>
        <v>2033</v>
      </c>
      <c r="V267" s="508">
        <f t="shared" si="93"/>
        <v>2034</v>
      </c>
      <c r="W267" s="508">
        <f t="shared" si="93"/>
        <v>2035</v>
      </c>
      <c r="X267" s="508">
        <f t="shared" si="93"/>
        <v>2036</v>
      </c>
      <c r="Y267" s="508">
        <f t="shared" si="93"/>
        <v>2037</v>
      </c>
      <c r="Z267" s="508">
        <f t="shared" si="93"/>
        <v>2038</v>
      </c>
      <c r="AA267" s="508">
        <f t="shared" si="93"/>
        <v>2039</v>
      </c>
      <c r="AB267" s="508">
        <f t="shared" si="93"/>
        <v>2040</v>
      </c>
      <c r="AC267" s="508">
        <f t="shared" si="93"/>
        <v>2041</v>
      </c>
      <c r="AD267" s="508">
        <f t="shared" si="93"/>
        <v>2042</v>
      </c>
      <c r="AE267" s="508">
        <f t="shared" si="93"/>
        <v>2043</v>
      </c>
      <c r="AF267" s="508">
        <f t="shared" si="93"/>
        <v>2044</v>
      </c>
      <c r="AG267" s="508">
        <f t="shared" si="93"/>
        <v>2045</v>
      </c>
      <c r="AH267" s="508">
        <f>AG267+1</f>
        <v>2046</v>
      </c>
      <c r="AI267" s="508"/>
      <c r="AJ267" s="260"/>
      <c r="AK267" s="260"/>
      <c r="AL267" s="260"/>
      <c r="AM267" s="535"/>
      <c r="AN267" s="260"/>
      <c r="AO267" s="283"/>
      <c r="AP267" s="71"/>
      <c r="AQ267" s="283"/>
      <c r="AR267" s="71"/>
      <c r="AS267" s="283"/>
      <c r="AT267" s="260"/>
      <c r="AU267" s="260"/>
      <c r="AV267" s="260"/>
      <c r="AW267" s="260"/>
      <c r="AX267" s="260"/>
      <c r="AY267" s="260"/>
      <c r="AZ267" s="260"/>
      <c r="BA267" s="260"/>
      <c r="BB267" s="260"/>
      <c r="BC267" s="260"/>
      <c r="BD267" s="260"/>
      <c r="BE267" s="260"/>
      <c r="BF267" s="260"/>
      <c r="BG267" s="260"/>
      <c r="BH267" s="260"/>
      <c r="BI267" s="260"/>
      <c r="BJ267" s="260"/>
      <c r="BK267" s="260"/>
      <c r="BL267" s="260"/>
      <c r="BM267" s="260"/>
      <c r="BN267" s="260"/>
      <c r="BO267" s="260"/>
      <c r="BP267" s="260"/>
      <c r="BQ267" s="260"/>
      <c r="BR267" s="260"/>
      <c r="BS267" s="260"/>
      <c r="BT267" s="260"/>
      <c r="BU267" s="260"/>
      <c r="BV267" s="260"/>
      <c r="BW267" s="260"/>
      <c r="BX267" s="260"/>
      <c r="BY267" s="260"/>
      <c r="BZ267" s="260"/>
      <c r="CA267" s="260"/>
      <c r="CB267" s="260"/>
      <c r="CC267" s="260"/>
      <c r="CD267" s="260"/>
      <c r="CE267" s="260"/>
      <c r="CF267" s="260"/>
      <c r="CG267" s="260"/>
      <c r="CH267" s="260"/>
      <c r="CI267" s="260"/>
      <c r="CJ267" s="260"/>
      <c r="CK267" s="260"/>
      <c r="CL267" s="260"/>
      <c r="CM267" s="260"/>
      <c r="CN267" s="260"/>
      <c r="CO267" s="260"/>
      <c r="CP267" s="260"/>
      <c r="CQ267" s="260"/>
      <c r="CR267" s="260"/>
      <c r="CS267" s="260"/>
      <c r="CT267" s="260"/>
      <c r="CU267" s="260"/>
      <c r="CV267" s="260"/>
      <c r="CW267" s="260"/>
      <c r="CX267" s="260"/>
      <c r="CY267" s="260"/>
      <c r="CZ267" s="260"/>
      <c r="DA267" s="260"/>
      <c r="DB267" s="260"/>
      <c r="DC267" s="260"/>
      <c r="DD267" s="260"/>
      <c r="DE267" s="260"/>
      <c r="DF267" s="260"/>
      <c r="DG267" s="260"/>
      <c r="DH267" s="260"/>
      <c r="DI267" s="260"/>
      <c r="DJ267" s="260"/>
      <c r="DK267" s="260"/>
      <c r="DL267" s="260"/>
      <c r="DM267" s="260"/>
      <c r="DN267" s="260"/>
      <c r="DO267" s="260"/>
      <c r="DP267" s="260"/>
      <c r="DQ267" s="260"/>
      <c r="DR267" s="260"/>
      <c r="DS267" s="260"/>
      <c r="DT267" s="260"/>
      <c r="DU267" s="260"/>
      <c r="DV267" s="260"/>
      <c r="DW267" s="260"/>
      <c r="DX267" s="260"/>
      <c r="DY267" s="260"/>
      <c r="DZ267" s="260"/>
      <c r="EA267" s="260"/>
      <c r="EB267" s="260"/>
      <c r="EC267" s="260"/>
      <c r="ED267" s="260"/>
      <c r="EE267" s="260"/>
      <c r="EF267" s="260"/>
      <c r="EG267" s="260"/>
      <c r="EH267" s="260"/>
      <c r="EI267" s="260"/>
      <c r="EJ267" s="260"/>
      <c r="EK267" s="260"/>
      <c r="EL267" s="260"/>
      <c r="EM267" s="260"/>
      <c r="EN267" s="260"/>
      <c r="EO267" s="260"/>
      <c r="EP267" s="260"/>
      <c r="EQ267" s="260"/>
      <c r="ER267" s="260"/>
      <c r="ES267" s="260"/>
      <c r="ET267" s="260"/>
      <c r="EU267" s="260"/>
      <c r="EV267" s="260"/>
      <c r="EW267" s="260"/>
      <c r="EX267" s="260"/>
      <c r="EY267" s="260"/>
      <c r="EZ267" s="260"/>
      <c r="FA267" s="260"/>
      <c r="FB267" s="260"/>
      <c r="FC267" s="260"/>
      <c r="FD267" s="260"/>
      <c r="FE267" s="260"/>
      <c r="FF267" s="260"/>
      <c r="FG267" s="260"/>
      <c r="FH267" s="260"/>
      <c r="FI267" s="260"/>
      <c r="FJ267" s="260"/>
      <c r="FK267" s="260"/>
      <c r="FL267" s="260"/>
      <c r="FM267" s="260"/>
      <c r="FN267" s="260"/>
      <c r="FO267" s="260"/>
      <c r="FP267" s="260"/>
      <c r="FQ267" s="260"/>
      <c r="FR267" s="260"/>
      <c r="FS267" s="260"/>
      <c r="FT267" s="260"/>
      <c r="FU267" s="260"/>
      <c r="FV267" s="260"/>
      <c r="FW267" s="260"/>
      <c r="FX267" s="260"/>
      <c r="FY267" s="260"/>
      <c r="FZ267" s="260"/>
      <c r="GA267" s="260"/>
      <c r="GB267" s="260"/>
      <c r="GC267" s="260"/>
      <c r="GD267" s="260"/>
      <c r="GE267" s="260"/>
      <c r="GF267" s="260"/>
      <c r="GG267" s="260"/>
      <c r="GH267" s="260"/>
      <c r="GI267" s="260"/>
      <c r="GJ267" s="260"/>
      <c r="GK267" s="260"/>
      <c r="GL267" s="260"/>
      <c r="GM267" s="260"/>
      <c r="GN267" s="260"/>
      <c r="GO267" s="260"/>
      <c r="GP267" s="260"/>
      <c r="GQ267" s="260"/>
      <c r="GR267" s="260"/>
      <c r="GS267" s="260"/>
      <c r="GT267" s="260"/>
      <c r="GU267" s="260"/>
      <c r="GV267" s="260"/>
      <c r="GW267" s="260"/>
      <c r="GX267" s="260"/>
      <c r="GY267" s="260"/>
      <c r="GZ267" s="260"/>
      <c r="HA267" s="260"/>
      <c r="HB267" s="260"/>
      <c r="HC267" s="260"/>
      <c r="HD267" s="260"/>
      <c r="HE267" s="260"/>
      <c r="HF267" s="260"/>
      <c r="HG267" s="260"/>
      <c r="HH267" s="260"/>
      <c r="HI267" s="260"/>
      <c r="HJ267" s="260"/>
      <c r="HK267" s="260"/>
      <c r="HL267" s="260"/>
      <c r="HM267" s="260"/>
      <c r="HN267" s="260"/>
      <c r="HO267" s="260"/>
      <c r="HP267" s="260"/>
      <c r="HQ267" s="260"/>
      <c r="HR267" s="260"/>
      <c r="HS267" s="260"/>
      <c r="HT267" s="260"/>
      <c r="HU267" s="260"/>
      <c r="HV267" s="260"/>
      <c r="HW267" s="260"/>
      <c r="HX267" s="260"/>
      <c r="HY267" s="260"/>
      <c r="HZ267" s="260"/>
      <c r="IA267" s="260"/>
      <c r="IB267" s="260"/>
      <c r="IC267" s="260"/>
      <c r="ID267" s="260"/>
      <c r="IE267" s="260"/>
      <c r="IF267" s="260"/>
      <c r="IG267" s="260"/>
      <c r="IH267" s="260"/>
      <c r="II267" s="260"/>
      <c r="IJ267" s="260"/>
      <c r="IK267" s="260"/>
      <c r="IL267" s="260"/>
      <c r="IM267" s="260"/>
      <c r="IN267" s="260"/>
      <c r="IO267" s="260"/>
      <c r="IP267" s="260"/>
      <c r="IQ267" s="260"/>
      <c r="IR267" s="260"/>
      <c r="IS267" s="260"/>
    </row>
    <row r="268" spans="1:253" s="419" customFormat="1" ht="38.25" x14ac:dyDescent="0.2">
      <c r="A268" s="424" t="s">
        <v>406</v>
      </c>
      <c r="B268" s="509"/>
      <c r="C268" s="509"/>
      <c r="D268" s="509"/>
      <c r="E268" s="509"/>
      <c r="F268" s="509"/>
      <c r="G268" s="509"/>
      <c r="H268" s="509"/>
      <c r="I268" s="509"/>
      <c r="J268" s="509"/>
      <c r="K268" s="509"/>
      <c r="L268" s="509"/>
      <c r="M268" s="509"/>
      <c r="N268" s="509"/>
      <c r="O268" s="509"/>
      <c r="P268" s="509"/>
      <c r="Q268" s="509"/>
      <c r="R268" s="509"/>
      <c r="S268" s="509"/>
      <c r="T268" s="509"/>
      <c r="U268" s="509"/>
      <c r="V268" s="509"/>
      <c r="W268" s="509"/>
      <c r="X268" s="509"/>
      <c r="Y268" s="509"/>
      <c r="Z268" s="510"/>
      <c r="AA268" s="510"/>
      <c r="AB268" s="510"/>
      <c r="AC268" s="510"/>
      <c r="AD268" s="510"/>
      <c r="AE268" s="510"/>
      <c r="AF268" s="510"/>
      <c r="AG268" s="510"/>
      <c r="AH268" s="510"/>
      <c r="AI268" s="510"/>
      <c r="AJ268" s="260"/>
      <c r="AK268" s="260"/>
      <c r="AL268" s="260"/>
      <c r="AM268" s="535"/>
      <c r="AN268" s="260"/>
      <c r="AO268" s="283"/>
      <c r="AP268" s="71"/>
      <c r="AQ268" s="283"/>
      <c r="AR268" s="71"/>
      <c r="AS268" s="283"/>
      <c r="AT268" s="260"/>
      <c r="AU268" s="260"/>
      <c r="AV268" s="260"/>
      <c r="AW268" s="260"/>
      <c r="AX268" s="260"/>
      <c r="AY268" s="260"/>
      <c r="AZ268" s="260"/>
      <c r="BA268" s="260"/>
      <c r="BB268" s="260"/>
      <c r="BC268" s="260"/>
      <c r="BD268" s="260"/>
      <c r="BE268" s="260"/>
      <c r="BF268" s="260"/>
      <c r="BG268" s="260"/>
      <c r="BH268" s="260"/>
      <c r="BI268" s="260"/>
      <c r="BJ268" s="260"/>
      <c r="BK268" s="260"/>
      <c r="BL268" s="260"/>
      <c r="BM268" s="260"/>
      <c r="BN268" s="260"/>
      <c r="BO268" s="260"/>
      <c r="BP268" s="260"/>
      <c r="BQ268" s="260"/>
      <c r="BR268" s="260"/>
      <c r="BS268" s="260"/>
      <c r="BT268" s="260"/>
      <c r="BU268" s="260"/>
      <c r="BV268" s="260"/>
      <c r="BW268" s="260"/>
      <c r="BX268" s="260"/>
      <c r="BY268" s="260"/>
      <c r="BZ268" s="260"/>
      <c r="CA268" s="260"/>
      <c r="CB268" s="260"/>
      <c r="CC268" s="260"/>
      <c r="CD268" s="260"/>
      <c r="CE268" s="260"/>
      <c r="CF268" s="260"/>
      <c r="CG268" s="260"/>
      <c r="CH268" s="260"/>
      <c r="CI268" s="260"/>
      <c r="CJ268" s="260"/>
      <c r="CK268" s="260"/>
      <c r="CL268" s="260"/>
      <c r="CM268" s="260"/>
      <c r="CN268" s="260"/>
      <c r="CO268" s="260"/>
      <c r="CP268" s="260"/>
      <c r="CQ268" s="260"/>
      <c r="CR268" s="260"/>
      <c r="CS268" s="260"/>
      <c r="CT268" s="260"/>
      <c r="CU268" s="260"/>
      <c r="CV268" s="260"/>
      <c r="CW268" s="260"/>
      <c r="CX268" s="260"/>
      <c r="CY268" s="260"/>
      <c r="CZ268" s="260"/>
      <c r="DA268" s="260"/>
      <c r="DB268" s="260"/>
      <c r="DC268" s="260"/>
      <c r="DD268" s="260"/>
      <c r="DE268" s="260"/>
      <c r="DF268" s="260"/>
      <c r="DG268" s="260"/>
      <c r="DH268" s="260"/>
      <c r="DI268" s="260"/>
      <c r="DJ268" s="260"/>
      <c r="DK268" s="260"/>
      <c r="DL268" s="260"/>
      <c r="DM268" s="260"/>
      <c r="DN268" s="260"/>
      <c r="DO268" s="260"/>
      <c r="DP268" s="260"/>
      <c r="DQ268" s="260"/>
      <c r="DR268" s="260"/>
      <c r="DS268" s="260"/>
      <c r="DT268" s="260"/>
      <c r="DU268" s="260"/>
      <c r="DV268" s="260"/>
      <c r="DW268" s="260"/>
      <c r="DX268" s="260"/>
      <c r="DY268" s="260"/>
      <c r="DZ268" s="260"/>
      <c r="EA268" s="260"/>
      <c r="EB268" s="260"/>
      <c r="EC268" s="260"/>
      <c r="ED268" s="260"/>
      <c r="EE268" s="260"/>
      <c r="EF268" s="260"/>
      <c r="EG268" s="260"/>
      <c r="EH268" s="260"/>
      <c r="EI268" s="260"/>
      <c r="EJ268" s="260"/>
      <c r="EK268" s="260"/>
      <c r="EL268" s="260"/>
      <c r="EM268" s="260"/>
      <c r="EN268" s="260"/>
      <c r="EO268" s="260"/>
      <c r="EP268" s="260"/>
      <c r="EQ268" s="260"/>
      <c r="ER268" s="260"/>
      <c r="ES268" s="260"/>
      <c r="ET268" s="260"/>
      <c r="EU268" s="260"/>
      <c r="EV268" s="260"/>
      <c r="EW268" s="260"/>
      <c r="EX268" s="260"/>
      <c r="EY268" s="260"/>
      <c r="EZ268" s="260"/>
      <c r="FA268" s="260"/>
      <c r="FB268" s="260"/>
      <c r="FC268" s="260"/>
      <c r="FD268" s="260"/>
      <c r="FE268" s="260"/>
      <c r="FF268" s="260"/>
      <c r="FG268" s="260"/>
      <c r="FH268" s="260"/>
      <c r="FI268" s="260"/>
      <c r="FJ268" s="260"/>
      <c r="FK268" s="260"/>
      <c r="FL268" s="260"/>
      <c r="FM268" s="260"/>
      <c r="FN268" s="260"/>
      <c r="FO268" s="260"/>
      <c r="FP268" s="260"/>
      <c r="FQ268" s="260"/>
      <c r="FR268" s="260"/>
      <c r="FS268" s="260"/>
      <c r="FT268" s="260"/>
      <c r="FU268" s="260"/>
      <c r="FV268" s="260"/>
      <c r="FW268" s="260"/>
      <c r="FX268" s="260"/>
      <c r="FY268" s="260"/>
      <c r="FZ268" s="260"/>
      <c r="GA268" s="260"/>
      <c r="GB268" s="260"/>
      <c r="GC268" s="260"/>
      <c r="GD268" s="260"/>
      <c r="GE268" s="260"/>
      <c r="GF268" s="260"/>
      <c r="GG268" s="260"/>
      <c r="GH268" s="260"/>
      <c r="GI268" s="260"/>
      <c r="GJ268" s="260"/>
      <c r="GK268" s="260"/>
      <c r="GL268" s="260"/>
      <c r="GM268" s="260"/>
      <c r="GN268" s="260"/>
      <c r="GO268" s="260"/>
      <c r="GP268" s="260"/>
      <c r="GQ268" s="260"/>
      <c r="GR268" s="260"/>
      <c r="GS268" s="260"/>
      <c r="GT268" s="260"/>
      <c r="GU268" s="260"/>
      <c r="GV268" s="260"/>
      <c r="GW268" s="260"/>
      <c r="GX268" s="260"/>
      <c r="GY268" s="260"/>
      <c r="GZ268" s="260"/>
      <c r="HA268" s="260"/>
      <c r="HB268" s="260"/>
      <c r="HC268" s="260"/>
      <c r="HD268" s="260"/>
      <c r="HE268" s="260"/>
      <c r="HF268" s="260"/>
      <c r="HG268" s="260"/>
      <c r="HH268" s="260"/>
      <c r="HI268" s="260"/>
      <c r="HJ268" s="260"/>
      <c r="HK268" s="260"/>
      <c r="HL268" s="260"/>
      <c r="HM268" s="260"/>
      <c r="HN268" s="260"/>
      <c r="HO268" s="260"/>
      <c r="HP268" s="260"/>
      <c r="HQ268" s="260"/>
      <c r="HR268" s="260"/>
      <c r="HS268" s="260"/>
      <c r="HT268" s="260"/>
      <c r="HU268" s="260"/>
      <c r="HV268" s="260"/>
      <c r="HW268" s="260"/>
      <c r="HX268" s="260"/>
      <c r="HY268" s="260"/>
      <c r="HZ268" s="260"/>
      <c r="IA268" s="260"/>
      <c r="IB268" s="260"/>
      <c r="IC268" s="260"/>
      <c r="ID268" s="260"/>
      <c r="IE268" s="260"/>
      <c r="IF268" s="260"/>
      <c r="IG268" s="260"/>
      <c r="IH268" s="260"/>
      <c r="II268" s="260"/>
      <c r="IJ268" s="260"/>
      <c r="IK268" s="260"/>
      <c r="IL268" s="260"/>
      <c r="IM268" s="260"/>
      <c r="IN268" s="260"/>
      <c r="IO268" s="260"/>
      <c r="IP268" s="260"/>
      <c r="IQ268" s="260"/>
      <c r="IR268" s="260"/>
      <c r="IS268" s="260"/>
    </row>
    <row r="269" spans="1:253" s="419" customFormat="1" x14ac:dyDescent="0.2">
      <c r="A269" s="481" t="s">
        <v>374</v>
      </c>
      <c r="B269" s="511">
        <f>'Datu ievade'!$B$93</f>
        <v>1.349E-2</v>
      </c>
      <c r="C269" s="511"/>
      <c r="D269" s="511"/>
      <c r="E269" s="511"/>
      <c r="F269" s="511"/>
      <c r="G269" s="511"/>
      <c r="H269" s="511"/>
      <c r="I269" s="511"/>
      <c r="J269" s="511"/>
      <c r="K269" s="511"/>
      <c r="L269" s="511"/>
      <c r="M269" s="511"/>
      <c r="N269" s="511"/>
      <c r="O269" s="511"/>
      <c r="P269" s="511"/>
      <c r="Q269" s="511"/>
      <c r="R269" s="511"/>
      <c r="S269" s="511"/>
      <c r="T269" s="511"/>
      <c r="U269" s="511"/>
      <c r="V269" s="511"/>
      <c r="W269" s="511"/>
      <c r="X269" s="511"/>
      <c r="Y269" s="511"/>
      <c r="Z269" s="511"/>
      <c r="AA269" s="511"/>
      <c r="AB269" s="511"/>
      <c r="AC269" s="511"/>
      <c r="AD269" s="511"/>
      <c r="AE269" s="511"/>
      <c r="AF269" s="511"/>
      <c r="AG269" s="511"/>
      <c r="AH269" s="511"/>
      <c r="AI269" s="511"/>
      <c r="AJ269" s="260"/>
      <c r="AK269" s="260"/>
      <c r="AL269" s="260"/>
      <c r="AM269" s="535"/>
      <c r="AN269" s="260"/>
      <c r="AO269" s="283"/>
      <c r="AP269" s="71"/>
      <c r="AQ269" s="283"/>
      <c r="AR269" s="71"/>
      <c r="AS269" s="283"/>
      <c r="AT269" s="260"/>
      <c r="AU269" s="260"/>
      <c r="AV269" s="260"/>
      <c r="AW269" s="260"/>
      <c r="AX269" s="260"/>
      <c r="AY269" s="260"/>
      <c r="AZ269" s="260"/>
      <c r="BA269" s="260"/>
      <c r="BB269" s="260"/>
      <c r="BC269" s="260"/>
      <c r="BD269" s="260"/>
      <c r="BE269" s="260"/>
      <c r="BF269" s="260"/>
      <c r="BG269" s="260"/>
      <c r="BH269" s="260"/>
      <c r="BI269" s="260"/>
      <c r="BJ269" s="260"/>
      <c r="BK269" s="260"/>
      <c r="BL269" s="260"/>
      <c r="BM269" s="260"/>
      <c r="BN269" s="260"/>
      <c r="BO269" s="260"/>
      <c r="BP269" s="260"/>
      <c r="BQ269" s="260"/>
      <c r="BR269" s="260"/>
      <c r="BS269" s="260"/>
      <c r="BT269" s="260"/>
      <c r="BU269" s="260"/>
      <c r="BV269" s="260"/>
      <c r="BW269" s="260"/>
      <c r="BX269" s="260"/>
      <c r="BY269" s="260"/>
      <c r="BZ269" s="260"/>
      <c r="CA269" s="260"/>
      <c r="CB269" s="260"/>
      <c r="CC269" s="260"/>
      <c r="CD269" s="260"/>
      <c r="CE269" s="260"/>
      <c r="CF269" s="260"/>
      <c r="CG269" s="260"/>
      <c r="CH269" s="260"/>
      <c r="CI269" s="260"/>
      <c r="CJ269" s="260"/>
      <c r="CK269" s="260"/>
      <c r="CL269" s="260"/>
      <c r="CM269" s="260"/>
      <c r="CN269" s="260"/>
      <c r="CO269" s="260"/>
      <c r="CP269" s="260"/>
      <c r="CQ269" s="260"/>
      <c r="CR269" s="260"/>
      <c r="CS269" s="260"/>
      <c r="CT269" s="260"/>
      <c r="CU269" s="260"/>
      <c r="CV269" s="260"/>
      <c r="CW269" s="260"/>
      <c r="CX269" s="260"/>
      <c r="CY269" s="260"/>
      <c r="CZ269" s="260"/>
      <c r="DA269" s="260"/>
      <c r="DB269" s="260"/>
      <c r="DC269" s="260"/>
      <c r="DD269" s="260"/>
      <c r="DE269" s="260"/>
      <c r="DF269" s="260"/>
      <c r="DG269" s="260"/>
      <c r="DH269" s="260"/>
      <c r="DI269" s="260"/>
      <c r="DJ269" s="260"/>
      <c r="DK269" s="260"/>
      <c r="DL269" s="260"/>
      <c r="DM269" s="260"/>
      <c r="DN269" s="260"/>
      <c r="DO269" s="260"/>
      <c r="DP269" s="260"/>
      <c r="DQ269" s="260"/>
      <c r="DR269" s="260"/>
      <c r="DS269" s="260"/>
      <c r="DT269" s="260"/>
      <c r="DU269" s="260"/>
      <c r="DV269" s="260"/>
      <c r="DW269" s="260"/>
      <c r="DX269" s="260"/>
      <c r="DY269" s="260"/>
      <c r="DZ269" s="260"/>
      <c r="EA269" s="260"/>
      <c r="EB269" s="260"/>
      <c r="EC269" s="260"/>
      <c r="ED269" s="260"/>
      <c r="EE269" s="260"/>
      <c r="EF269" s="260"/>
      <c r="EG269" s="260"/>
      <c r="EH269" s="260"/>
      <c r="EI269" s="260"/>
      <c r="EJ269" s="260"/>
      <c r="EK269" s="260"/>
      <c r="EL269" s="260"/>
      <c r="EM269" s="260"/>
      <c r="EN269" s="260"/>
      <c r="EO269" s="260"/>
      <c r="EP269" s="260"/>
      <c r="EQ269" s="260"/>
      <c r="ER269" s="260"/>
      <c r="ES269" s="260"/>
      <c r="ET269" s="260"/>
      <c r="EU269" s="260"/>
      <c r="EV269" s="260"/>
      <c r="EW269" s="260"/>
      <c r="EX269" s="260"/>
      <c r="EY269" s="260"/>
      <c r="EZ269" s="260"/>
      <c r="FA269" s="260"/>
      <c r="FB269" s="260"/>
      <c r="FC269" s="260"/>
      <c r="FD269" s="260"/>
      <c r="FE269" s="260"/>
      <c r="FF269" s="260"/>
      <c r="FG269" s="260"/>
      <c r="FH269" s="260"/>
      <c r="FI269" s="260"/>
      <c r="FJ269" s="260"/>
      <c r="FK269" s="260"/>
      <c r="FL269" s="260"/>
      <c r="FM269" s="260"/>
      <c r="FN269" s="260"/>
      <c r="FO269" s="260"/>
      <c r="FP269" s="260"/>
      <c r="FQ269" s="260"/>
      <c r="FR269" s="260"/>
      <c r="FS269" s="260"/>
      <c r="FT269" s="260"/>
      <c r="FU269" s="260"/>
      <c r="FV269" s="260"/>
      <c r="FW269" s="260"/>
      <c r="FX269" s="260"/>
      <c r="FY269" s="260"/>
      <c r="FZ269" s="260"/>
      <c r="GA269" s="260"/>
      <c r="GB269" s="260"/>
      <c r="GC269" s="260"/>
      <c r="GD269" s="260"/>
      <c r="GE269" s="260"/>
      <c r="GF269" s="260"/>
      <c r="GG269" s="260"/>
      <c r="GH269" s="260"/>
      <c r="GI269" s="260"/>
      <c r="GJ269" s="260"/>
      <c r="GK269" s="260"/>
      <c r="GL269" s="260"/>
      <c r="GM269" s="260"/>
      <c r="GN269" s="260"/>
      <c r="GO269" s="260"/>
      <c r="GP269" s="260"/>
      <c r="GQ269" s="260"/>
      <c r="GR269" s="260"/>
      <c r="GS269" s="260"/>
      <c r="GT269" s="260"/>
      <c r="GU269" s="260"/>
      <c r="GV269" s="260"/>
      <c r="GW269" s="260"/>
      <c r="GX269" s="260"/>
      <c r="GY269" s="260"/>
      <c r="GZ269" s="260"/>
      <c r="HA269" s="260"/>
      <c r="HB269" s="260"/>
      <c r="HC269" s="260"/>
      <c r="HD269" s="260"/>
      <c r="HE269" s="260"/>
      <c r="HF269" s="260"/>
      <c r="HG269" s="260"/>
      <c r="HH269" s="260"/>
      <c r="HI269" s="260"/>
      <c r="HJ269" s="260"/>
      <c r="HK269" s="260"/>
      <c r="HL269" s="260"/>
      <c r="HM269" s="260"/>
      <c r="HN269" s="260"/>
      <c r="HO269" s="260"/>
      <c r="HP269" s="260"/>
      <c r="HQ269" s="260"/>
      <c r="HR269" s="260"/>
      <c r="HS269" s="260"/>
      <c r="HT269" s="260"/>
      <c r="HU269" s="260"/>
      <c r="HV269" s="260"/>
      <c r="HW269" s="260"/>
      <c r="HX269" s="260"/>
      <c r="HY269" s="260"/>
      <c r="HZ269" s="260"/>
      <c r="IA269" s="260"/>
      <c r="IB269" s="260"/>
      <c r="IC269" s="260"/>
      <c r="ID269" s="260"/>
      <c r="IE269" s="260"/>
      <c r="IF269" s="260"/>
      <c r="IG269" s="260"/>
      <c r="IH269" s="260"/>
      <c r="II269" s="260"/>
      <c r="IJ269" s="260"/>
      <c r="IK269" s="260"/>
      <c r="IL269" s="260"/>
      <c r="IM269" s="260"/>
      <c r="IN269" s="260"/>
      <c r="IO269" s="260"/>
      <c r="IP269" s="260"/>
      <c r="IQ269" s="260"/>
      <c r="IR269" s="260"/>
      <c r="IS269" s="260"/>
    </row>
    <row r="270" spans="1:253" s="419" customFormat="1" x14ac:dyDescent="0.2">
      <c r="A270" s="433" t="s">
        <v>375</v>
      </c>
      <c r="B270" s="777"/>
      <c r="C270" s="777"/>
      <c r="D270" s="777"/>
      <c r="E270" s="777"/>
      <c r="F270" s="777"/>
      <c r="G270" s="777"/>
      <c r="H270" s="463">
        <f>IF('Datu ievade'!$B$98="Jā",IF('Datu ievade'!$B$102='Datu ievade'!$B$103,'Datu ievade'!H129,0),0)</f>
        <v>0</v>
      </c>
      <c r="I270" s="463">
        <f>IF('Datu ievade'!$B$98="Jā",IF('Datu ievade'!$B$102='Datu ievade'!$B$103,'Datu ievade'!I129,0),0)</f>
        <v>0</v>
      </c>
      <c r="J270" s="463">
        <f>IF('Datu ievade'!$B$98="Jā",IF('Datu ievade'!$B$102='Datu ievade'!$B$103,'Datu ievade'!J129,0),0)</f>
        <v>0</v>
      </c>
      <c r="K270" s="463">
        <f>IF('Datu ievade'!$B$98="Jā",IF('Datu ievade'!$B$102='Datu ievade'!$B$103,'Datu ievade'!K129,0),0)</f>
        <v>0</v>
      </c>
      <c r="L270" s="463">
        <f>IF('Datu ievade'!$B$98="Jā",IF('Datu ievade'!$B$102='Datu ievade'!$B$103,'Datu ievade'!L129,0),0)</f>
        <v>0</v>
      </c>
      <c r="M270" s="463">
        <f>IF('Datu ievade'!$B$98="Jā",IF('Datu ievade'!$B$102='Datu ievade'!$B$103,'Datu ievade'!M129,0),0)</f>
        <v>0</v>
      </c>
      <c r="N270" s="463">
        <f>IF('Datu ievade'!$B$98="Jā",IF('Datu ievade'!$B$102='Datu ievade'!$B$103,'Datu ievade'!N129,0),0)</f>
        <v>0</v>
      </c>
      <c r="O270" s="463">
        <f>IF('Datu ievade'!$B$98="Jā",IF('Datu ievade'!$B$102='Datu ievade'!$B$103,'Datu ievade'!O129,0),0)</f>
        <v>0</v>
      </c>
      <c r="P270" s="463">
        <f>IF('Datu ievade'!$B$98="Jā",IF('Datu ievade'!$B$102='Datu ievade'!$B$103,'Datu ievade'!P129,0),0)</f>
        <v>0</v>
      </c>
      <c r="Q270" s="463">
        <f>IF('Datu ievade'!$B$98="Jā",IF('Datu ievade'!$B$102='Datu ievade'!$B$103,'Datu ievade'!Q129,0),0)</f>
        <v>0</v>
      </c>
      <c r="R270" s="463">
        <f>IF('Datu ievade'!$B$98="Jā",IF('Datu ievade'!$B$102='Datu ievade'!$B$103,'Datu ievade'!R129,0),0)</f>
        <v>0</v>
      </c>
      <c r="S270" s="463">
        <f>IF('Datu ievade'!$B$98="Jā",IF('Datu ievade'!$B$102='Datu ievade'!$B$103,'Datu ievade'!S129,0),0)</f>
        <v>0</v>
      </c>
      <c r="T270" s="463">
        <f>IF('Datu ievade'!$B$98="Jā",IF('Datu ievade'!$B$102='Datu ievade'!$B$103,'Datu ievade'!T129,0),0)</f>
        <v>0</v>
      </c>
      <c r="U270" s="463">
        <f>IF('Datu ievade'!$B$98="Jā",IF('Datu ievade'!$B$102='Datu ievade'!$B$103,'Datu ievade'!U129,0),0)</f>
        <v>0</v>
      </c>
      <c r="V270" s="463">
        <f>IF('Datu ievade'!$B$98="Jā",IF('Datu ievade'!$B$102='Datu ievade'!$B$103,'Datu ievade'!V129,0),0)</f>
        <v>0</v>
      </c>
      <c r="W270" s="463">
        <f>IF('Datu ievade'!$B$98="Jā",IF('Datu ievade'!$B$102='Datu ievade'!$B$103,'Datu ievade'!W129,0),0)</f>
        <v>0</v>
      </c>
      <c r="X270" s="463">
        <f>IF('Datu ievade'!$B$98="Jā",IF('Datu ievade'!$B$102='Datu ievade'!$B$103,'Datu ievade'!X129,0),0)</f>
        <v>0</v>
      </c>
      <c r="Y270" s="463">
        <f>IF('Datu ievade'!$B$98="Jā",IF('Datu ievade'!$B$102='Datu ievade'!$B$103,'Datu ievade'!Y129,0),0)</f>
        <v>0</v>
      </c>
      <c r="Z270" s="463">
        <f>IF('Datu ievade'!$B$98="Jā",IF('Datu ievade'!$B$102='Datu ievade'!$B$103,'Datu ievade'!Z129,0),0)</f>
        <v>0</v>
      </c>
      <c r="AA270" s="463">
        <f>IF('Datu ievade'!$B$98="Jā",IF('Datu ievade'!$B$102='Datu ievade'!$B$103,'Datu ievade'!AA129,0),0)</f>
        <v>0</v>
      </c>
      <c r="AB270" s="463">
        <f>IF('Datu ievade'!$B$98="Jā",IF('Datu ievade'!$B$102='Datu ievade'!$B$103,'Datu ievade'!AB129,0),0)</f>
        <v>0</v>
      </c>
      <c r="AC270" s="463">
        <f>IF('Datu ievade'!$B$98="Jā",IF('Datu ievade'!$B$102='Datu ievade'!$B$103,'Datu ievade'!AC129,0),0)</f>
        <v>0</v>
      </c>
      <c r="AD270" s="463">
        <f>IF('Datu ievade'!$B$98="Jā",IF('Datu ievade'!$B$102='Datu ievade'!$B$103,'Datu ievade'!AD129,0),0)</f>
        <v>0</v>
      </c>
      <c r="AE270" s="463">
        <f>IF('Datu ievade'!$B$98="Jā",IF('Datu ievade'!$B$102='Datu ievade'!$B$103,'Datu ievade'!AE129,0),0)</f>
        <v>0</v>
      </c>
      <c r="AF270" s="463">
        <f>IF('Datu ievade'!$B$98="Jā",IF('Datu ievade'!$B$102='Datu ievade'!$B$103,'Datu ievade'!AF129,0),0)</f>
        <v>0</v>
      </c>
      <c r="AG270" s="463">
        <f>IF('Datu ievade'!$B$98="Jā",IF('Datu ievade'!$B$102='Datu ievade'!$B$103,'Datu ievade'!AG129,0),0)</f>
        <v>0</v>
      </c>
      <c r="AH270" s="463">
        <f>IF('Datu ievade'!$B$98="Jā",IF('Datu ievade'!$B$102='Datu ievade'!$B$103,'Datu ievade'!AH129,0),0)</f>
        <v>0</v>
      </c>
      <c r="AI270" s="463"/>
      <c r="AJ270" s="260"/>
      <c r="AK270" s="260"/>
      <c r="AL270" s="260"/>
      <c r="AM270" s="535"/>
      <c r="AN270" s="260"/>
      <c r="AO270" s="283"/>
      <c r="AP270" s="71"/>
      <c r="AQ270" s="283"/>
      <c r="AR270" s="71"/>
      <c r="AS270" s="283"/>
      <c r="AT270" s="260"/>
      <c r="AU270" s="260"/>
      <c r="AV270" s="260"/>
      <c r="AW270" s="260"/>
      <c r="AX270" s="260"/>
      <c r="AY270" s="260"/>
      <c r="AZ270" s="260"/>
      <c r="BA270" s="260"/>
      <c r="BB270" s="260"/>
      <c r="BC270" s="260"/>
      <c r="BD270" s="260"/>
      <c r="BE270" s="260"/>
      <c r="BF270" s="260"/>
      <c r="BG270" s="260"/>
      <c r="BH270" s="260"/>
      <c r="BI270" s="260"/>
      <c r="BJ270" s="260"/>
      <c r="BK270" s="260"/>
      <c r="BL270" s="260"/>
      <c r="BM270" s="260"/>
      <c r="BN270" s="260"/>
      <c r="BO270" s="260"/>
      <c r="BP270" s="260"/>
      <c r="BQ270" s="260"/>
      <c r="BR270" s="260"/>
      <c r="BS270" s="260"/>
      <c r="BT270" s="260"/>
      <c r="BU270" s="260"/>
      <c r="BV270" s="260"/>
      <c r="BW270" s="260"/>
      <c r="BX270" s="260"/>
      <c r="BY270" s="260"/>
      <c r="BZ270" s="260"/>
      <c r="CA270" s="260"/>
      <c r="CB270" s="260"/>
      <c r="CC270" s="260"/>
      <c r="CD270" s="260"/>
      <c r="CE270" s="260"/>
      <c r="CF270" s="260"/>
      <c r="CG270" s="260"/>
      <c r="CH270" s="260"/>
      <c r="CI270" s="260"/>
      <c r="CJ270" s="260"/>
      <c r="CK270" s="260"/>
      <c r="CL270" s="260"/>
      <c r="CM270" s="260"/>
      <c r="CN270" s="260"/>
      <c r="CO270" s="260"/>
      <c r="CP270" s="260"/>
      <c r="CQ270" s="260"/>
      <c r="CR270" s="260"/>
      <c r="CS270" s="260"/>
      <c r="CT270" s="260"/>
      <c r="CU270" s="260"/>
      <c r="CV270" s="260"/>
      <c r="CW270" s="260"/>
      <c r="CX270" s="260"/>
      <c r="CY270" s="260"/>
      <c r="CZ270" s="260"/>
      <c r="DA270" s="260"/>
      <c r="DB270" s="260"/>
      <c r="DC270" s="260"/>
      <c r="DD270" s="260"/>
      <c r="DE270" s="260"/>
      <c r="DF270" s="260"/>
      <c r="DG270" s="260"/>
      <c r="DH270" s="260"/>
      <c r="DI270" s="260"/>
      <c r="DJ270" s="260"/>
      <c r="DK270" s="260"/>
      <c r="DL270" s="260"/>
      <c r="DM270" s="260"/>
      <c r="DN270" s="260"/>
      <c r="DO270" s="260"/>
      <c r="DP270" s="260"/>
      <c r="DQ270" s="260"/>
      <c r="DR270" s="260"/>
      <c r="DS270" s="260"/>
      <c r="DT270" s="260"/>
      <c r="DU270" s="260"/>
      <c r="DV270" s="260"/>
      <c r="DW270" s="260"/>
      <c r="DX270" s="260"/>
      <c r="DY270" s="260"/>
      <c r="DZ270" s="260"/>
      <c r="EA270" s="260"/>
      <c r="EB270" s="260"/>
      <c r="EC270" s="260"/>
      <c r="ED270" s="260"/>
      <c r="EE270" s="260"/>
      <c r="EF270" s="260"/>
      <c r="EG270" s="260"/>
      <c r="EH270" s="260"/>
      <c r="EI270" s="260"/>
      <c r="EJ270" s="260"/>
      <c r="EK270" s="260"/>
      <c r="EL270" s="260"/>
      <c r="EM270" s="260"/>
      <c r="EN270" s="260"/>
      <c r="EO270" s="260"/>
      <c r="EP270" s="260"/>
      <c r="EQ270" s="260"/>
      <c r="ER270" s="260"/>
      <c r="ES270" s="260"/>
      <c r="ET270" s="260"/>
      <c r="EU270" s="260"/>
      <c r="EV270" s="260"/>
      <c r="EW270" s="260"/>
      <c r="EX270" s="260"/>
      <c r="EY270" s="260"/>
      <c r="EZ270" s="260"/>
      <c r="FA270" s="260"/>
      <c r="FB270" s="260"/>
      <c r="FC270" s="260"/>
      <c r="FD270" s="260"/>
      <c r="FE270" s="260"/>
      <c r="FF270" s="260"/>
      <c r="FG270" s="260"/>
      <c r="FH270" s="260"/>
      <c r="FI270" s="260"/>
      <c r="FJ270" s="260"/>
      <c r="FK270" s="260"/>
      <c r="FL270" s="260"/>
      <c r="FM270" s="260"/>
      <c r="FN270" s="260"/>
      <c r="FO270" s="260"/>
      <c r="FP270" s="260"/>
      <c r="FQ270" s="260"/>
      <c r="FR270" s="260"/>
      <c r="FS270" s="260"/>
      <c r="FT270" s="260"/>
      <c r="FU270" s="260"/>
      <c r="FV270" s="260"/>
      <c r="FW270" s="260"/>
      <c r="FX270" s="260"/>
      <c r="FY270" s="260"/>
      <c r="FZ270" s="260"/>
      <c r="GA270" s="260"/>
      <c r="GB270" s="260"/>
      <c r="GC270" s="260"/>
      <c r="GD270" s="260"/>
      <c r="GE270" s="260"/>
      <c r="GF270" s="260"/>
      <c r="GG270" s="260"/>
      <c r="GH270" s="260"/>
      <c r="GI270" s="260"/>
      <c r="GJ270" s="260"/>
      <c r="GK270" s="260"/>
      <c r="GL270" s="260"/>
      <c r="GM270" s="260"/>
      <c r="GN270" s="260"/>
      <c r="GO270" s="260"/>
      <c r="GP270" s="260"/>
      <c r="GQ270" s="260"/>
      <c r="GR270" s="260"/>
      <c r="GS270" s="260"/>
      <c r="GT270" s="260"/>
      <c r="GU270" s="260"/>
      <c r="GV270" s="260"/>
      <c r="GW270" s="260"/>
      <c r="GX270" s="260"/>
      <c r="GY270" s="260"/>
      <c r="GZ270" s="260"/>
      <c r="HA270" s="260"/>
      <c r="HB270" s="260"/>
      <c r="HC270" s="260"/>
      <c r="HD270" s="260"/>
      <c r="HE270" s="260"/>
      <c r="HF270" s="260"/>
      <c r="HG270" s="260"/>
      <c r="HH270" s="260"/>
      <c r="HI270" s="260"/>
      <c r="HJ270" s="260"/>
      <c r="HK270" s="260"/>
      <c r="HL270" s="260"/>
      <c r="HM270" s="260"/>
      <c r="HN270" s="260"/>
      <c r="HO270" s="260"/>
      <c r="HP270" s="260"/>
      <c r="HQ270" s="260"/>
      <c r="HR270" s="260"/>
      <c r="HS270" s="260"/>
      <c r="HT270" s="260"/>
      <c r="HU270" s="260"/>
      <c r="HV270" s="260"/>
      <c r="HW270" s="260"/>
      <c r="HX270" s="260"/>
      <c r="HY270" s="260"/>
      <c r="HZ270" s="260"/>
      <c r="IA270" s="260"/>
      <c r="IB270" s="260"/>
      <c r="IC270" s="260"/>
      <c r="ID270" s="260"/>
      <c r="IE270" s="260"/>
      <c r="IF270" s="260"/>
      <c r="IG270" s="260"/>
      <c r="IH270" s="260"/>
      <c r="II270" s="260"/>
      <c r="IJ270" s="260"/>
      <c r="IK270" s="260"/>
      <c r="IL270" s="260"/>
      <c r="IM270" s="260"/>
      <c r="IN270" s="260"/>
      <c r="IO270" s="260"/>
      <c r="IP270" s="260"/>
      <c r="IQ270" s="260"/>
      <c r="IR270" s="260"/>
      <c r="IS270" s="260"/>
    </row>
    <row r="271" spans="1:253" s="419" customFormat="1" x14ac:dyDescent="0.2">
      <c r="A271" s="464" t="s">
        <v>376</v>
      </c>
      <c r="B271" s="465">
        <f t="shared" ref="B271:AG271" si="94">SUM(B272:B273)</f>
        <v>0</v>
      </c>
      <c r="C271" s="465">
        <f t="shared" si="94"/>
        <v>0</v>
      </c>
      <c r="D271" s="465">
        <f t="shared" si="94"/>
        <v>0</v>
      </c>
      <c r="E271" s="465">
        <f t="shared" ca="1" si="94"/>
        <v>0</v>
      </c>
      <c r="F271" s="465">
        <f t="shared" ca="1" si="94"/>
        <v>0</v>
      </c>
      <c r="G271" s="465">
        <f t="shared" ca="1" si="94"/>
        <v>0</v>
      </c>
      <c r="H271" s="465">
        <f t="shared" ca="1" si="94"/>
        <v>0</v>
      </c>
      <c r="I271" s="465">
        <f t="shared" ca="1" si="94"/>
        <v>0</v>
      </c>
      <c r="J271" s="465">
        <f t="shared" ca="1" si="94"/>
        <v>0</v>
      </c>
      <c r="K271" s="465">
        <f t="shared" ca="1" si="94"/>
        <v>0</v>
      </c>
      <c r="L271" s="465">
        <f t="shared" ca="1" si="94"/>
        <v>0</v>
      </c>
      <c r="M271" s="465">
        <f t="shared" ca="1" si="94"/>
        <v>0</v>
      </c>
      <c r="N271" s="465">
        <f t="shared" ca="1" si="94"/>
        <v>0</v>
      </c>
      <c r="O271" s="465">
        <f t="shared" ca="1" si="94"/>
        <v>0</v>
      </c>
      <c r="P271" s="465">
        <f t="shared" ca="1" si="94"/>
        <v>0</v>
      </c>
      <c r="Q271" s="465">
        <f t="shared" ca="1" si="94"/>
        <v>0</v>
      </c>
      <c r="R271" s="465">
        <f t="shared" ca="1" si="94"/>
        <v>0</v>
      </c>
      <c r="S271" s="465">
        <f t="shared" ca="1" si="94"/>
        <v>0</v>
      </c>
      <c r="T271" s="465">
        <f t="shared" ca="1" si="94"/>
        <v>0</v>
      </c>
      <c r="U271" s="465">
        <f t="shared" ca="1" si="94"/>
        <v>0</v>
      </c>
      <c r="V271" s="465">
        <f t="shared" ca="1" si="94"/>
        <v>0</v>
      </c>
      <c r="W271" s="465">
        <f t="shared" ca="1" si="94"/>
        <v>0</v>
      </c>
      <c r="X271" s="465">
        <f t="shared" ca="1" si="94"/>
        <v>0</v>
      </c>
      <c r="Y271" s="465">
        <f t="shared" ca="1" si="94"/>
        <v>0</v>
      </c>
      <c r="Z271" s="465">
        <f t="shared" ca="1" si="94"/>
        <v>0</v>
      </c>
      <c r="AA271" s="465">
        <f t="shared" ca="1" si="94"/>
        <v>0</v>
      </c>
      <c r="AB271" s="465">
        <f t="shared" ca="1" si="94"/>
        <v>0</v>
      </c>
      <c r="AC271" s="465">
        <f t="shared" ca="1" si="94"/>
        <v>0</v>
      </c>
      <c r="AD271" s="465">
        <f t="shared" ca="1" si="94"/>
        <v>0</v>
      </c>
      <c r="AE271" s="465">
        <f t="shared" ca="1" si="94"/>
        <v>0</v>
      </c>
      <c r="AF271" s="465">
        <f t="shared" ca="1" si="94"/>
        <v>0</v>
      </c>
      <c r="AG271" s="465">
        <f t="shared" ca="1" si="94"/>
        <v>0</v>
      </c>
      <c r="AH271" s="465">
        <f ca="1">SUM(AH272:AH273)</f>
        <v>0</v>
      </c>
      <c r="AI271" s="465"/>
      <c r="AJ271" s="260"/>
      <c r="AK271" s="260"/>
      <c r="AL271" s="260"/>
      <c r="AM271" s="535"/>
      <c r="AN271" s="260"/>
      <c r="AO271" s="283"/>
      <c r="AP271" s="71"/>
      <c r="AQ271" s="283"/>
      <c r="AR271" s="71"/>
      <c r="AS271" s="283"/>
      <c r="AT271" s="260"/>
      <c r="AU271" s="260"/>
      <c r="AV271" s="260"/>
      <c r="AW271" s="260"/>
      <c r="AX271" s="260"/>
      <c r="AY271" s="260"/>
      <c r="AZ271" s="260"/>
      <c r="BA271" s="260"/>
      <c r="BB271" s="260"/>
      <c r="BC271" s="260"/>
      <c r="BD271" s="260"/>
      <c r="BE271" s="260"/>
      <c r="BF271" s="260"/>
      <c r="BG271" s="260"/>
      <c r="BH271" s="260"/>
      <c r="BI271" s="260"/>
      <c r="BJ271" s="260"/>
      <c r="BK271" s="260"/>
      <c r="BL271" s="260"/>
      <c r="BM271" s="260"/>
      <c r="BN271" s="260"/>
      <c r="BO271" s="260"/>
      <c r="BP271" s="260"/>
      <c r="BQ271" s="260"/>
      <c r="BR271" s="260"/>
      <c r="BS271" s="260"/>
      <c r="BT271" s="260"/>
      <c r="BU271" s="260"/>
      <c r="BV271" s="260"/>
      <c r="BW271" s="260"/>
      <c r="BX271" s="260"/>
      <c r="BY271" s="260"/>
      <c r="BZ271" s="260"/>
      <c r="CA271" s="260"/>
      <c r="CB271" s="260"/>
      <c r="CC271" s="260"/>
      <c r="CD271" s="260"/>
      <c r="CE271" s="260"/>
      <c r="CF271" s="260"/>
      <c r="CG271" s="260"/>
      <c r="CH271" s="260"/>
      <c r="CI271" s="260"/>
      <c r="CJ271" s="260"/>
      <c r="CK271" s="260"/>
      <c r="CL271" s="260"/>
      <c r="CM271" s="260"/>
      <c r="CN271" s="260"/>
      <c r="CO271" s="260"/>
      <c r="CP271" s="260"/>
      <c r="CQ271" s="260"/>
      <c r="CR271" s="260"/>
      <c r="CS271" s="260"/>
      <c r="CT271" s="260"/>
      <c r="CU271" s="260"/>
      <c r="CV271" s="260"/>
      <c r="CW271" s="260"/>
      <c r="CX271" s="260"/>
      <c r="CY271" s="260"/>
      <c r="CZ271" s="260"/>
      <c r="DA271" s="260"/>
      <c r="DB271" s="260"/>
      <c r="DC271" s="260"/>
      <c r="DD271" s="260"/>
      <c r="DE271" s="260"/>
      <c r="DF271" s="260"/>
      <c r="DG271" s="260"/>
      <c r="DH271" s="260"/>
      <c r="DI271" s="260"/>
      <c r="DJ271" s="260"/>
      <c r="DK271" s="260"/>
      <c r="DL271" s="260"/>
      <c r="DM271" s="260"/>
      <c r="DN271" s="260"/>
      <c r="DO271" s="260"/>
      <c r="DP271" s="260"/>
      <c r="DQ271" s="260"/>
      <c r="DR271" s="260"/>
      <c r="DS271" s="260"/>
      <c r="DT271" s="260"/>
      <c r="DU271" s="260"/>
      <c r="DV271" s="260"/>
      <c r="DW271" s="260"/>
      <c r="DX271" s="260"/>
      <c r="DY271" s="260"/>
      <c r="DZ271" s="260"/>
      <c r="EA271" s="260"/>
      <c r="EB271" s="260"/>
      <c r="EC271" s="260"/>
      <c r="ED271" s="260"/>
      <c r="EE271" s="260"/>
      <c r="EF271" s="260"/>
      <c r="EG271" s="260"/>
      <c r="EH271" s="260"/>
      <c r="EI271" s="260"/>
      <c r="EJ271" s="260"/>
      <c r="EK271" s="260"/>
      <c r="EL271" s="260"/>
      <c r="EM271" s="260"/>
      <c r="EN271" s="260"/>
      <c r="EO271" s="260"/>
      <c r="EP271" s="260"/>
      <c r="EQ271" s="260"/>
      <c r="ER271" s="260"/>
      <c r="ES271" s="260"/>
      <c r="ET271" s="260"/>
      <c r="EU271" s="260"/>
      <c r="EV271" s="260"/>
      <c r="EW271" s="260"/>
      <c r="EX271" s="260"/>
      <c r="EY271" s="260"/>
      <c r="EZ271" s="260"/>
      <c r="FA271" s="260"/>
      <c r="FB271" s="260"/>
      <c r="FC271" s="260"/>
      <c r="FD271" s="260"/>
      <c r="FE271" s="260"/>
      <c r="FF271" s="260"/>
      <c r="FG271" s="260"/>
      <c r="FH271" s="260"/>
      <c r="FI271" s="260"/>
      <c r="FJ271" s="260"/>
      <c r="FK271" s="260"/>
      <c r="FL271" s="260"/>
      <c r="FM271" s="260"/>
      <c r="FN271" s="260"/>
      <c r="FO271" s="260"/>
      <c r="FP271" s="260"/>
      <c r="FQ271" s="260"/>
      <c r="FR271" s="260"/>
      <c r="FS271" s="260"/>
      <c r="FT271" s="260"/>
      <c r="FU271" s="260"/>
      <c r="FV271" s="260"/>
      <c r="FW271" s="260"/>
      <c r="FX271" s="260"/>
      <c r="FY271" s="260"/>
      <c r="FZ271" s="260"/>
      <c r="GA271" s="260"/>
      <c r="GB271" s="260"/>
      <c r="GC271" s="260"/>
      <c r="GD271" s="260"/>
      <c r="GE271" s="260"/>
      <c r="GF271" s="260"/>
      <c r="GG271" s="260"/>
      <c r="GH271" s="260"/>
      <c r="GI271" s="260"/>
      <c r="GJ271" s="260"/>
      <c r="GK271" s="260"/>
      <c r="GL271" s="260"/>
      <c r="GM271" s="260"/>
      <c r="GN271" s="260"/>
      <c r="GO271" s="260"/>
      <c r="GP271" s="260"/>
      <c r="GQ271" s="260"/>
      <c r="GR271" s="260"/>
      <c r="GS271" s="260"/>
      <c r="GT271" s="260"/>
      <c r="GU271" s="260"/>
      <c r="GV271" s="260"/>
      <c r="GW271" s="260"/>
      <c r="GX271" s="260"/>
      <c r="GY271" s="260"/>
      <c r="GZ271" s="260"/>
      <c r="HA271" s="260"/>
      <c r="HB271" s="260"/>
      <c r="HC271" s="260"/>
      <c r="HD271" s="260"/>
      <c r="HE271" s="260"/>
      <c r="HF271" s="260"/>
      <c r="HG271" s="260"/>
      <c r="HH271" s="260"/>
      <c r="HI271" s="260"/>
      <c r="HJ271" s="260"/>
      <c r="HK271" s="260"/>
      <c r="HL271" s="260"/>
      <c r="HM271" s="260"/>
      <c r="HN271" s="260"/>
      <c r="HO271" s="260"/>
      <c r="HP271" s="260"/>
      <c r="HQ271" s="260"/>
      <c r="HR271" s="260"/>
      <c r="HS271" s="260"/>
      <c r="HT271" s="260"/>
      <c r="HU271" s="260"/>
      <c r="HV271" s="260"/>
      <c r="HW271" s="260"/>
      <c r="HX271" s="260"/>
      <c r="HY271" s="260"/>
      <c r="HZ271" s="260"/>
      <c r="IA271" s="260"/>
      <c r="IB271" s="260"/>
      <c r="IC271" s="260"/>
      <c r="ID271" s="260"/>
      <c r="IE271" s="260"/>
      <c r="IF271" s="260"/>
      <c r="IG271" s="260"/>
      <c r="IH271" s="260"/>
      <c r="II271" s="260"/>
      <c r="IJ271" s="260"/>
      <c r="IK271" s="260"/>
      <c r="IL271" s="260"/>
      <c r="IM271" s="260"/>
      <c r="IN271" s="260"/>
      <c r="IO271" s="260"/>
      <c r="IP271" s="260"/>
      <c r="IQ271" s="260"/>
      <c r="IR271" s="260"/>
      <c r="IS271" s="260"/>
    </row>
    <row r="272" spans="1:253" s="419" customFormat="1" x14ac:dyDescent="0.2">
      <c r="A272" s="433" t="s">
        <v>377</v>
      </c>
      <c r="B272" s="463">
        <f>B274*$B$269</f>
        <v>0</v>
      </c>
      <c r="C272" s="463">
        <f>B274*$B$269</f>
        <v>0</v>
      </c>
      <c r="D272" s="463">
        <f t="shared" ref="D272:AH272" si="95">C274*$B$269</f>
        <v>0</v>
      </c>
      <c r="E272" s="463">
        <f t="shared" si="95"/>
        <v>0</v>
      </c>
      <c r="F272" s="463">
        <f t="shared" ca="1" si="95"/>
        <v>0</v>
      </c>
      <c r="G272" s="463">
        <f t="shared" ca="1" si="95"/>
        <v>0</v>
      </c>
      <c r="H272" s="463">
        <f t="shared" ca="1" si="95"/>
        <v>0</v>
      </c>
      <c r="I272" s="463">
        <f t="shared" ca="1" si="95"/>
        <v>0</v>
      </c>
      <c r="J272" s="463">
        <f t="shared" ca="1" si="95"/>
        <v>0</v>
      </c>
      <c r="K272" s="463">
        <f t="shared" ca="1" si="95"/>
        <v>0</v>
      </c>
      <c r="L272" s="463">
        <f t="shared" ca="1" si="95"/>
        <v>0</v>
      </c>
      <c r="M272" s="463">
        <f t="shared" ca="1" si="95"/>
        <v>0</v>
      </c>
      <c r="N272" s="463">
        <f t="shared" ca="1" si="95"/>
        <v>0</v>
      </c>
      <c r="O272" s="463">
        <f t="shared" ca="1" si="95"/>
        <v>0</v>
      </c>
      <c r="P272" s="463">
        <f t="shared" ca="1" si="95"/>
        <v>0</v>
      </c>
      <c r="Q272" s="463">
        <f t="shared" ca="1" si="95"/>
        <v>0</v>
      </c>
      <c r="R272" s="463">
        <f t="shared" ca="1" si="95"/>
        <v>0</v>
      </c>
      <c r="S272" s="463">
        <f t="shared" ca="1" si="95"/>
        <v>0</v>
      </c>
      <c r="T272" s="463">
        <f t="shared" ca="1" si="95"/>
        <v>0</v>
      </c>
      <c r="U272" s="463">
        <f t="shared" ca="1" si="95"/>
        <v>0</v>
      </c>
      <c r="V272" s="463">
        <f t="shared" ca="1" si="95"/>
        <v>0</v>
      </c>
      <c r="W272" s="463">
        <f t="shared" ca="1" si="95"/>
        <v>0</v>
      </c>
      <c r="X272" s="463">
        <f t="shared" ca="1" si="95"/>
        <v>0</v>
      </c>
      <c r="Y272" s="463">
        <f t="shared" ca="1" si="95"/>
        <v>0</v>
      </c>
      <c r="Z272" s="463">
        <f t="shared" ca="1" si="95"/>
        <v>0</v>
      </c>
      <c r="AA272" s="463">
        <f t="shared" ca="1" si="95"/>
        <v>0</v>
      </c>
      <c r="AB272" s="463">
        <f t="shared" ca="1" si="95"/>
        <v>0</v>
      </c>
      <c r="AC272" s="463">
        <f t="shared" ca="1" si="95"/>
        <v>0</v>
      </c>
      <c r="AD272" s="463">
        <f t="shared" ca="1" si="95"/>
        <v>0</v>
      </c>
      <c r="AE272" s="463">
        <f t="shared" ca="1" si="95"/>
        <v>0</v>
      </c>
      <c r="AF272" s="463">
        <f t="shared" ca="1" si="95"/>
        <v>0</v>
      </c>
      <c r="AG272" s="463">
        <f t="shared" ca="1" si="95"/>
        <v>0</v>
      </c>
      <c r="AH272" s="463">
        <f t="shared" ca="1" si="95"/>
        <v>0</v>
      </c>
      <c r="AI272" s="463"/>
      <c r="AJ272" s="260"/>
      <c r="AK272" s="260"/>
      <c r="AL272" s="260"/>
      <c r="AM272" s="535"/>
      <c r="AN272" s="260"/>
      <c r="AO272" s="283"/>
      <c r="AP272" s="71"/>
      <c r="AQ272" s="283"/>
      <c r="AR272" s="71"/>
      <c r="AS272" s="283"/>
      <c r="AT272" s="260"/>
      <c r="AU272" s="260"/>
      <c r="AV272" s="260"/>
      <c r="AW272" s="260"/>
      <c r="AX272" s="260"/>
      <c r="AY272" s="260"/>
      <c r="AZ272" s="260"/>
      <c r="BA272" s="260"/>
      <c r="BB272" s="260"/>
      <c r="BC272" s="260"/>
      <c r="BD272" s="260"/>
      <c r="BE272" s="260"/>
      <c r="BF272" s="260"/>
      <c r="BG272" s="260"/>
      <c r="BH272" s="260"/>
      <c r="BI272" s="260"/>
      <c r="BJ272" s="260"/>
      <c r="BK272" s="260"/>
      <c r="BL272" s="260"/>
      <c r="BM272" s="260"/>
      <c r="BN272" s="260"/>
      <c r="BO272" s="260"/>
      <c r="BP272" s="260"/>
      <c r="BQ272" s="260"/>
      <c r="BR272" s="260"/>
      <c r="BS272" s="260"/>
      <c r="BT272" s="260"/>
      <c r="BU272" s="260"/>
      <c r="BV272" s="260"/>
      <c r="BW272" s="260"/>
      <c r="BX272" s="260"/>
      <c r="BY272" s="260"/>
      <c r="BZ272" s="260"/>
      <c r="CA272" s="260"/>
      <c r="CB272" s="260"/>
      <c r="CC272" s="260"/>
      <c r="CD272" s="260"/>
      <c r="CE272" s="260"/>
      <c r="CF272" s="260"/>
      <c r="CG272" s="260"/>
      <c r="CH272" s="260"/>
      <c r="CI272" s="260"/>
      <c r="CJ272" s="260"/>
      <c r="CK272" s="260"/>
      <c r="CL272" s="260"/>
      <c r="CM272" s="260"/>
      <c r="CN272" s="260"/>
      <c r="CO272" s="260"/>
      <c r="CP272" s="260"/>
      <c r="CQ272" s="260"/>
      <c r="CR272" s="260"/>
      <c r="CS272" s="260"/>
      <c r="CT272" s="260"/>
      <c r="CU272" s="260"/>
      <c r="CV272" s="260"/>
      <c r="CW272" s="260"/>
      <c r="CX272" s="260"/>
      <c r="CY272" s="260"/>
      <c r="CZ272" s="260"/>
      <c r="DA272" s="260"/>
      <c r="DB272" s="260"/>
      <c r="DC272" s="260"/>
      <c r="DD272" s="260"/>
      <c r="DE272" s="260"/>
      <c r="DF272" s="260"/>
      <c r="DG272" s="260"/>
      <c r="DH272" s="260"/>
      <c r="DI272" s="260"/>
      <c r="DJ272" s="260"/>
      <c r="DK272" s="260"/>
      <c r="DL272" s="260"/>
      <c r="DM272" s="260"/>
      <c r="DN272" s="260"/>
      <c r="DO272" s="260"/>
      <c r="DP272" s="260"/>
      <c r="DQ272" s="260"/>
      <c r="DR272" s="260"/>
      <c r="DS272" s="260"/>
      <c r="DT272" s="260"/>
      <c r="DU272" s="260"/>
      <c r="DV272" s="260"/>
      <c r="DW272" s="260"/>
      <c r="DX272" s="260"/>
      <c r="DY272" s="260"/>
      <c r="DZ272" s="260"/>
      <c r="EA272" s="260"/>
      <c r="EB272" s="260"/>
      <c r="EC272" s="260"/>
      <c r="ED272" s="260"/>
      <c r="EE272" s="260"/>
      <c r="EF272" s="260"/>
      <c r="EG272" s="260"/>
      <c r="EH272" s="260"/>
      <c r="EI272" s="260"/>
      <c r="EJ272" s="260"/>
      <c r="EK272" s="260"/>
      <c r="EL272" s="260"/>
      <c r="EM272" s="260"/>
      <c r="EN272" s="260"/>
      <c r="EO272" s="260"/>
      <c r="EP272" s="260"/>
      <c r="EQ272" s="260"/>
      <c r="ER272" s="260"/>
      <c r="ES272" s="260"/>
      <c r="ET272" s="260"/>
      <c r="EU272" s="260"/>
      <c r="EV272" s="260"/>
      <c r="EW272" s="260"/>
      <c r="EX272" s="260"/>
      <c r="EY272" s="260"/>
      <c r="EZ272" s="260"/>
      <c r="FA272" s="260"/>
      <c r="FB272" s="260"/>
      <c r="FC272" s="260"/>
      <c r="FD272" s="260"/>
      <c r="FE272" s="260"/>
      <c r="FF272" s="260"/>
      <c r="FG272" s="260"/>
      <c r="FH272" s="260"/>
      <c r="FI272" s="260"/>
      <c r="FJ272" s="260"/>
      <c r="FK272" s="260"/>
      <c r="FL272" s="260"/>
      <c r="FM272" s="260"/>
      <c r="FN272" s="260"/>
      <c r="FO272" s="260"/>
      <c r="FP272" s="260"/>
      <c r="FQ272" s="260"/>
      <c r="FR272" s="260"/>
      <c r="FS272" s="260"/>
      <c r="FT272" s="260"/>
      <c r="FU272" s="260"/>
      <c r="FV272" s="260"/>
      <c r="FW272" s="260"/>
      <c r="FX272" s="260"/>
      <c r="FY272" s="260"/>
      <c r="FZ272" s="260"/>
      <c r="GA272" s="260"/>
      <c r="GB272" s="260"/>
      <c r="GC272" s="260"/>
      <c r="GD272" s="260"/>
      <c r="GE272" s="260"/>
      <c r="GF272" s="260"/>
      <c r="GG272" s="260"/>
      <c r="GH272" s="260"/>
      <c r="GI272" s="260"/>
      <c r="GJ272" s="260"/>
      <c r="GK272" s="260"/>
      <c r="GL272" s="260"/>
      <c r="GM272" s="260"/>
      <c r="GN272" s="260"/>
      <c r="GO272" s="260"/>
      <c r="GP272" s="260"/>
      <c r="GQ272" s="260"/>
      <c r="GR272" s="260"/>
      <c r="GS272" s="260"/>
      <c r="GT272" s="260"/>
      <c r="GU272" s="260"/>
      <c r="GV272" s="260"/>
      <c r="GW272" s="260"/>
      <c r="GX272" s="260"/>
      <c r="GY272" s="260"/>
      <c r="GZ272" s="260"/>
      <c r="HA272" s="260"/>
      <c r="HB272" s="260"/>
      <c r="HC272" s="260"/>
      <c r="HD272" s="260"/>
      <c r="HE272" s="260"/>
      <c r="HF272" s="260"/>
      <c r="HG272" s="260"/>
      <c r="HH272" s="260"/>
      <c r="HI272" s="260"/>
      <c r="HJ272" s="260"/>
      <c r="HK272" s="260"/>
      <c r="HL272" s="260"/>
      <c r="HM272" s="260"/>
      <c r="HN272" s="260"/>
      <c r="HO272" s="260"/>
      <c r="HP272" s="260"/>
      <c r="HQ272" s="260"/>
      <c r="HR272" s="260"/>
      <c r="HS272" s="260"/>
      <c r="HT272" s="260"/>
      <c r="HU272" s="260"/>
      <c r="HV272" s="260"/>
      <c r="HW272" s="260"/>
      <c r="HX272" s="260"/>
      <c r="HY272" s="260"/>
      <c r="HZ272" s="260"/>
      <c r="IA272" s="260"/>
      <c r="IB272" s="260"/>
      <c r="IC272" s="260"/>
      <c r="ID272" s="260"/>
      <c r="IE272" s="260"/>
      <c r="IF272" s="260"/>
      <c r="IG272" s="260"/>
      <c r="IH272" s="260"/>
      <c r="II272" s="260"/>
      <c r="IJ272" s="260"/>
      <c r="IK272" s="260"/>
      <c r="IL272" s="260"/>
      <c r="IM272" s="260"/>
      <c r="IN272" s="260"/>
      <c r="IO272" s="260"/>
      <c r="IP272" s="260"/>
      <c r="IQ272" s="260"/>
      <c r="IR272" s="260"/>
      <c r="IS272" s="260"/>
    </row>
    <row r="273" spans="1:253" s="419" customFormat="1" x14ac:dyDescent="0.2">
      <c r="A273" s="433" t="s">
        <v>378</v>
      </c>
      <c r="B273" s="463">
        <v>0</v>
      </c>
      <c r="C273" s="463">
        <v>0</v>
      </c>
      <c r="D273" s="463">
        <v>0</v>
      </c>
      <c r="E273" s="463">
        <f ca="1">IF(COUNT($D$273:D273)&gt;'Datu ievade'!$B$95,0,$E$274/('Datu ievade'!$B$95-1))</f>
        <v>0</v>
      </c>
      <c r="F273" s="463">
        <f ca="1">IF(COUNT($D$273:E273)&gt;'Datu ievade'!$B$95,0,$E$274/('Datu ievade'!$B$95-1))</f>
        <v>0</v>
      </c>
      <c r="G273" s="463">
        <f ca="1">IF(COUNT($D$273:F273)&gt;'Datu ievade'!$B$95,0,$E$274/('Datu ievade'!$B$95-1))</f>
        <v>0</v>
      </c>
      <c r="H273" s="463">
        <f ca="1">IF(COUNT($D$273:G273)&gt;'Datu ievade'!$B$95,0,$E$274/('Datu ievade'!$B$95-1))</f>
        <v>0</v>
      </c>
      <c r="I273" s="463">
        <f ca="1">IF(COUNT($D$273:H273)&gt;'Datu ievade'!$B$95,0,$E$274/('Datu ievade'!$B$95-1))</f>
        <v>0</v>
      </c>
      <c r="J273" s="463">
        <f ca="1">IF(COUNT($D$273:I273)&gt;'Datu ievade'!$B$95,0,$E$274/('Datu ievade'!$B$95-1))</f>
        <v>0</v>
      </c>
      <c r="K273" s="463">
        <f ca="1">IF(COUNT($D$273:J273)&gt;'Datu ievade'!$B$95,0,$E$274/('Datu ievade'!$B$95-1))</f>
        <v>0</v>
      </c>
      <c r="L273" s="463">
        <f ca="1">IF(COUNT($D$273:K273)&gt;'Datu ievade'!$B$95,0,$E$274/('Datu ievade'!$B$95-1))</f>
        <v>0</v>
      </c>
      <c r="M273" s="463">
        <f ca="1">IF(COUNT($D$273:L273)&gt;'Datu ievade'!$B$95,0,$E$274/('Datu ievade'!$B$95-1))</f>
        <v>0</v>
      </c>
      <c r="N273" s="463">
        <f ca="1">IF(COUNT($D$273:M273)&gt;'Datu ievade'!$B$95,0,$E$274/('Datu ievade'!$B$95-1))</f>
        <v>0</v>
      </c>
      <c r="O273" s="463">
        <f ca="1">IF(COUNT($D$273:N273)&gt;'Datu ievade'!$B$95,0,$E$274/('Datu ievade'!$B$95-1))</f>
        <v>0</v>
      </c>
      <c r="P273" s="463">
        <f ca="1">IF(COUNT($D$273:O273)&gt;'Datu ievade'!$B$95,0,$E$274/('Datu ievade'!$B$95-1))</f>
        <v>0</v>
      </c>
      <c r="Q273" s="463">
        <f ca="1">IF(COUNT($D$273:P273)&gt;'Datu ievade'!$B$95,0,$E$274/('Datu ievade'!$B$95-1))</f>
        <v>0</v>
      </c>
      <c r="R273" s="463">
        <f ca="1">IF(COUNT($D$273:Q273)&gt;'Datu ievade'!$B$95,0,$E$274/('Datu ievade'!$B$95-1))</f>
        <v>0</v>
      </c>
      <c r="S273" s="463">
        <f ca="1">IF(COUNT($D$273:R273)&gt;'Datu ievade'!$B$95,0,$E$274/('Datu ievade'!$B$95-1))</f>
        <v>0</v>
      </c>
      <c r="T273" s="463">
        <f ca="1">IF(COUNT($D$273:S273)&gt;'Datu ievade'!$B$95,0,$E$274/('Datu ievade'!$B$95-1))</f>
        <v>0</v>
      </c>
      <c r="U273" s="463">
        <f ca="1">IF(COUNT($D$273:T273)&gt;'Datu ievade'!$B$95,0,$E$274/('Datu ievade'!$B$95-1))</f>
        <v>0</v>
      </c>
      <c r="V273" s="463">
        <f ca="1">IF(COUNT($D$273:U273)&gt;'Datu ievade'!$B$95,0,$E$274/('Datu ievade'!$B$95-1))</f>
        <v>0</v>
      </c>
      <c r="W273" s="463">
        <f ca="1">IF(COUNT($D$273:V273)&gt;'Datu ievade'!$B$95,0,$E$274/('Datu ievade'!$B$95-1))</f>
        <v>0</v>
      </c>
      <c r="X273" s="463">
        <f ca="1">IF(COUNT($D$273:W273)&gt;'Datu ievade'!$B$95,0,$E$274/('Datu ievade'!$B$95-1))</f>
        <v>0</v>
      </c>
      <c r="Y273" s="463">
        <f ca="1">IF(COUNT($D$273:X273)&gt;'Datu ievade'!$B$95,0,$E$274/('Datu ievade'!$B$95-1))</f>
        <v>0</v>
      </c>
      <c r="Z273" s="463">
        <f ca="1">IF(COUNT($D$273:Y273)&gt;'Datu ievade'!$B$95,0,$E$274/('Datu ievade'!$B$95-1))</f>
        <v>0</v>
      </c>
      <c r="AA273" s="463">
        <f ca="1">IF(COUNT($D$273:Z273)&gt;'Datu ievade'!$B$95,0,$E$274/('Datu ievade'!$B$95-1))</f>
        <v>0</v>
      </c>
      <c r="AB273" s="463">
        <f ca="1">IF(COUNT($D$273:AA273)&gt;'Datu ievade'!$B$95,0,$E$274/('Datu ievade'!$B$95-1))</f>
        <v>0</v>
      </c>
      <c r="AC273" s="463">
        <f ca="1">IF(COUNT($D$273:AB273)&gt;'Datu ievade'!$B$95,0,$E$274/('Datu ievade'!$B$95-1))</f>
        <v>0</v>
      </c>
      <c r="AD273" s="463">
        <f ca="1">IF(COUNT($D$273:AC273)&gt;'Datu ievade'!$B$95,0,$E$274/('Datu ievade'!$B$95-1))</f>
        <v>0</v>
      </c>
      <c r="AE273" s="463">
        <f ca="1">IF(COUNT($D$273:AD273)&gt;'Datu ievade'!$B$95,0,$E$274/('Datu ievade'!$B$95-1))</f>
        <v>0</v>
      </c>
      <c r="AF273" s="463">
        <f ca="1">IF(COUNT($D$273:AE273)&gt;'Datu ievade'!$B$95,0,$E$274/('Datu ievade'!$B$95-1))</f>
        <v>0</v>
      </c>
      <c r="AG273" s="463">
        <f ca="1">IF(COUNT($D$273:AF273)&gt;'Datu ievade'!$B$95,0,$E$274/('Datu ievade'!$B$95-1))</f>
        <v>0</v>
      </c>
      <c r="AH273" s="463">
        <f ca="1">IF(COUNT($D$273:AG273)&gt;'Datu ievade'!$B$95,0,$E$274/('Datu ievade'!$B$95-1))</f>
        <v>0</v>
      </c>
      <c r="AI273" s="463"/>
      <c r="AJ273" s="260"/>
      <c r="AK273" s="260"/>
      <c r="AL273" s="260"/>
      <c r="AM273" s="535"/>
      <c r="AN273" s="260"/>
      <c r="AO273" s="283"/>
      <c r="AP273" s="71"/>
      <c r="AQ273" s="283"/>
      <c r="AR273" s="71"/>
      <c r="AS273" s="283"/>
      <c r="AT273" s="260"/>
      <c r="AU273" s="260"/>
      <c r="AV273" s="260"/>
      <c r="AW273" s="260"/>
      <c r="AX273" s="260"/>
      <c r="AY273" s="260"/>
      <c r="AZ273" s="260"/>
      <c r="BA273" s="260"/>
      <c r="BB273" s="260"/>
      <c r="BC273" s="260"/>
      <c r="BD273" s="260"/>
      <c r="BE273" s="260"/>
      <c r="BF273" s="260"/>
      <c r="BG273" s="260"/>
      <c r="BH273" s="260"/>
      <c r="BI273" s="260"/>
      <c r="BJ273" s="260"/>
      <c r="BK273" s="260"/>
      <c r="BL273" s="260"/>
      <c r="BM273" s="260"/>
      <c r="BN273" s="260"/>
      <c r="BO273" s="260"/>
      <c r="BP273" s="260"/>
      <c r="BQ273" s="260"/>
      <c r="BR273" s="260"/>
      <c r="BS273" s="260"/>
      <c r="BT273" s="260"/>
      <c r="BU273" s="260"/>
      <c r="BV273" s="260"/>
      <c r="BW273" s="260"/>
      <c r="BX273" s="260"/>
      <c r="BY273" s="260"/>
      <c r="BZ273" s="260"/>
      <c r="CA273" s="260"/>
      <c r="CB273" s="260"/>
      <c r="CC273" s="260"/>
      <c r="CD273" s="260"/>
      <c r="CE273" s="260"/>
      <c r="CF273" s="260"/>
      <c r="CG273" s="260"/>
      <c r="CH273" s="260"/>
      <c r="CI273" s="260"/>
      <c r="CJ273" s="260"/>
      <c r="CK273" s="260"/>
      <c r="CL273" s="260"/>
      <c r="CM273" s="260"/>
      <c r="CN273" s="260"/>
      <c r="CO273" s="260"/>
      <c r="CP273" s="260"/>
      <c r="CQ273" s="260"/>
      <c r="CR273" s="260"/>
      <c r="CS273" s="260"/>
      <c r="CT273" s="260"/>
      <c r="CU273" s="260"/>
      <c r="CV273" s="260"/>
      <c r="CW273" s="260"/>
      <c r="CX273" s="260"/>
      <c r="CY273" s="260"/>
      <c r="CZ273" s="260"/>
      <c r="DA273" s="260"/>
      <c r="DB273" s="260"/>
      <c r="DC273" s="260"/>
      <c r="DD273" s="260"/>
      <c r="DE273" s="260"/>
      <c r="DF273" s="260"/>
      <c r="DG273" s="260"/>
      <c r="DH273" s="260"/>
      <c r="DI273" s="260"/>
      <c r="DJ273" s="260"/>
      <c r="DK273" s="260"/>
      <c r="DL273" s="260"/>
      <c r="DM273" s="260"/>
      <c r="DN273" s="260"/>
      <c r="DO273" s="260"/>
      <c r="DP273" s="260"/>
      <c r="DQ273" s="260"/>
      <c r="DR273" s="260"/>
      <c r="DS273" s="260"/>
      <c r="DT273" s="260"/>
      <c r="DU273" s="260"/>
      <c r="DV273" s="260"/>
      <c r="DW273" s="260"/>
      <c r="DX273" s="260"/>
      <c r="DY273" s="260"/>
      <c r="DZ273" s="260"/>
      <c r="EA273" s="260"/>
      <c r="EB273" s="260"/>
      <c r="EC273" s="260"/>
      <c r="ED273" s="260"/>
      <c r="EE273" s="260"/>
      <c r="EF273" s="260"/>
      <c r="EG273" s="260"/>
      <c r="EH273" s="260"/>
      <c r="EI273" s="260"/>
      <c r="EJ273" s="260"/>
      <c r="EK273" s="260"/>
      <c r="EL273" s="260"/>
      <c r="EM273" s="260"/>
      <c r="EN273" s="260"/>
      <c r="EO273" s="260"/>
      <c r="EP273" s="260"/>
      <c r="EQ273" s="260"/>
      <c r="ER273" s="260"/>
      <c r="ES273" s="260"/>
      <c r="ET273" s="260"/>
      <c r="EU273" s="260"/>
      <c r="EV273" s="260"/>
      <c r="EW273" s="260"/>
      <c r="EX273" s="260"/>
      <c r="EY273" s="260"/>
      <c r="EZ273" s="260"/>
      <c r="FA273" s="260"/>
      <c r="FB273" s="260"/>
      <c r="FC273" s="260"/>
      <c r="FD273" s="260"/>
      <c r="FE273" s="260"/>
      <c r="FF273" s="260"/>
      <c r="FG273" s="260"/>
      <c r="FH273" s="260"/>
      <c r="FI273" s="260"/>
      <c r="FJ273" s="260"/>
      <c r="FK273" s="260"/>
      <c r="FL273" s="260"/>
      <c r="FM273" s="260"/>
      <c r="FN273" s="260"/>
      <c r="FO273" s="260"/>
      <c r="FP273" s="260"/>
      <c r="FQ273" s="260"/>
      <c r="FR273" s="260"/>
      <c r="FS273" s="260"/>
      <c r="FT273" s="260"/>
      <c r="FU273" s="260"/>
      <c r="FV273" s="260"/>
      <c r="FW273" s="260"/>
      <c r="FX273" s="260"/>
      <c r="FY273" s="260"/>
      <c r="FZ273" s="260"/>
      <c r="GA273" s="260"/>
      <c r="GB273" s="260"/>
      <c r="GC273" s="260"/>
      <c r="GD273" s="260"/>
      <c r="GE273" s="260"/>
      <c r="GF273" s="260"/>
      <c r="GG273" s="260"/>
      <c r="GH273" s="260"/>
      <c r="GI273" s="260"/>
      <c r="GJ273" s="260"/>
      <c r="GK273" s="260"/>
      <c r="GL273" s="260"/>
      <c r="GM273" s="260"/>
      <c r="GN273" s="260"/>
      <c r="GO273" s="260"/>
      <c r="GP273" s="260"/>
      <c r="GQ273" s="260"/>
      <c r="GR273" s="260"/>
      <c r="GS273" s="260"/>
      <c r="GT273" s="260"/>
      <c r="GU273" s="260"/>
      <c r="GV273" s="260"/>
      <c r="GW273" s="260"/>
      <c r="GX273" s="260"/>
      <c r="GY273" s="260"/>
      <c r="GZ273" s="260"/>
      <c r="HA273" s="260"/>
      <c r="HB273" s="260"/>
      <c r="HC273" s="260"/>
      <c r="HD273" s="260"/>
      <c r="HE273" s="260"/>
      <c r="HF273" s="260"/>
      <c r="HG273" s="260"/>
      <c r="HH273" s="260"/>
      <c r="HI273" s="260"/>
      <c r="HJ273" s="260"/>
      <c r="HK273" s="260"/>
      <c r="HL273" s="260"/>
      <c r="HM273" s="260"/>
      <c r="HN273" s="260"/>
      <c r="HO273" s="260"/>
      <c r="HP273" s="260"/>
      <c r="HQ273" s="260"/>
      <c r="HR273" s="260"/>
      <c r="HS273" s="260"/>
      <c r="HT273" s="260"/>
      <c r="HU273" s="260"/>
      <c r="HV273" s="260"/>
      <c r="HW273" s="260"/>
      <c r="HX273" s="260"/>
      <c r="HY273" s="260"/>
      <c r="HZ273" s="260"/>
      <c r="IA273" s="260"/>
      <c r="IB273" s="260"/>
      <c r="IC273" s="260"/>
      <c r="ID273" s="260"/>
      <c r="IE273" s="260"/>
      <c r="IF273" s="260"/>
      <c r="IG273" s="260"/>
      <c r="IH273" s="260"/>
      <c r="II273" s="260"/>
      <c r="IJ273" s="260"/>
      <c r="IK273" s="260"/>
      <c r="IL273" s="260"/>
      <c r="IM273" s="260"/>
      <c r="IN273" s="260"/>
      <c r="IO273" s="260"/>
      <c r="IP273" s="260"/>
      <c r="IQ273" s="260"/>
      <c r="IR273" s="260"/>
      <c r="IS273" s="260"/>
    </row>
    <row r="274" spans="1:253" s="419" customFormat="1" x14ac:dyDescent="0.2">
      <c r="A274" s="464" t="s">
        <v>379</v>
      </c>
      <c r="B274" s="487">
        <f>B270</f>
        <v>0</v>
      </c>
      <c r="C274" s="465">
        <f t="shared" ref="C274:AH274" si="96">(B274+C270)-C273</f>
        <v>0</v>
      </c>
      <c r="D274" s="465">
        <f t="shared" si="96"/>
        <v>0</v>
      </c>
      <c r="E274" s="465">
        <f t="shared" ca="1" si="96"/>
        <v>0</v>
      </c>
      <c r="F274" s="465">
        <f t="shared" ca="1" si="96"/>
        <v>0</v>
      </c>
      <c r="G274" s="465">
        <f t="shared" ca="1" si="96"/>
        <v>0</v>
      </c>
      <c r="H274" s="465">
        <f t="shared" ca="1" si="96"/>
        <v>0</v>
      </c>
      <c r="I274" s="465">
        <f t="shared" ca="1" si="96"/>
        <v>0</v>
      </c>
      <c r="J274" s="465">
        <f t="shared" ca="1" si="96"/>
        <v>0</v>
      </c>
      <c r="K274" s="465">
        <f t="shared" ca="1" si="96"/>
        <v>0</v>
      </c>
      <c r="L274" s="465">
        <f t="shared" ca="1" si="96"/>
        <v>0</v>
      </c>
      <c r="M274" s="465">
        <f t="shared" ca="1" si="96"/>
        <v>0</v>
      </c>
      <c r="N274" s="465">
        <f t="shared" ca="1" si="96"/>
        <v>0</v>
      </c>
      <c r="O274" s="465">
        <f t="shared" ca="1" si="96"/>
        <v>0</v>
      </c>
      <c r="P274" s="465">
        <f t="shared" ca="1" si="96"/>
        <v>0</v>
      </c>
      <c r="Q274" s="465">
        <f t="shared" ca="1" si="96"/>
        <v>0</v>
      </c>
      <c r="R274" s="465">
        <f t="shared" ca="1" si="96"/>
        <v>0</v>
      </c>
      <c r="S274" s="465">
        <f t="shared" ca="1" si="96"/>
        <v>0</v>
      </c>
      <c r="T274" s="465">
        <f t="shared" ca="1" si="96"/>
        <v>0</v>
      </c>
      <c r="U274" s="465">
        <f t="shared" ca="1" si="96"/>
        <v>0</v>
      </c>
      <c r="V274" s="465">
        <f t="shared" ca="1" si="96"/>
        <v>0</v>
      </c>
      <c r="W274" s="465">
        <f t="shared" ca="1" si="96"/>
        <v>0</v>
      </c>
      <c r="X274" s="465">
        <f t="shared" ca="1" si="96"/>
        <v>0</v>
      </c>
      <c r="Y274" s="465">
        <f t="shared" ca="1" si="96"/>
        <v>0</v>
      </c>
      <c r="Z274" s="465">
        <f t="shared" ca="1" si="96"/>
        <v>0</v>
      </c>
      <c r="AA274" s="465">
        <f t="shared" ca="1" si="96"/>
        <v>0</v>
      </c>
      <c r="AB274" s="465">
        <f t="shared" ca="1" si="96"/>
        <v>0</v>
      </c>
      <c r="AC274" s="465">
        <f t="shared" ca="1" si="96"/>
        <v>0</v>
      </c>
      <c r="AD274" s="465">
        <f t="shared" ca="1" si="96"/>
        <v>0</v>
      </c>
      <c r="AE274" s="465">
        <f t="shared" ca="1" si="96"/>
        <v>0</v>
      </c>
      <c r="AF274" s="465">
        <f t="shared" ca="1" si="96"/>
        <v>0</v>
      </c>
      <c r="AG274" s="465">
        <f t="shared" ca="1" si="96"/>
        <v>0</v>
      </c>
      <c r="AH274" s="465">
        <f t="shared" ca="1" si="96"/>
        <v>0</v>
      </c>
      <c r="AI274" s="465"/>
      <c r="AJ274" s="260"/>
      <c r="AK274" s="260"/>
      <c r="AL274" s="260"/>
      <c r="AM274" s="535"/>
      <c r="AN274" s="260"/>
      <c r="AO274" s="283"/>
      <c r="AP274" s="71"/>
      <c r="AQ274" s="283"/>
      <c r="AR274" s="71"/>
      <c r="AS274" s="283"/>
      <c r="AT274" s="260"/>
      <c r="AU274" s="260"/>
      <c r="AV274" s="260"/>
      <c r="AW274" s="260"/>
      <c r="AX274" s="260"/>
      <c r="AY274" s="260"/>
      <c r="AZ274" s="260"/>
      <c r="BA274" s="260"/>
      <c r="BB274" s="260"/>
      <c r="BC274" s="260"/>
      <c r="BD274" s="260"/>
      <c r="BE274" s="260"/>
      <c r="BF274" s="260"/>
      <c r="BG274" s="260"/>
      <c r="BH274" s="260"/>
      <c r="BI274" s="260"/>
      <c r="BJ274" s="260"/>
      <c r="BK274" s="260"/>
      <c r="BL274" s="260"/>
      <c r="BM274" s="260"/>
      <c r="BN274" s="260"/>
      <c r="BO274" s="260"/>
      <c r="BP274" s="260"/>
      <c r="BQ274" s="260"/>
      <c r="BR274" s="260"/>
      <c r="BS274" s="260"/>
      <c r="BT274" s="260"/>
      <c r="BU274" s="260"/>
      <c r="BV274" s="260"/>
      <c r="BW274" s="260"/>
      <c r="BX274" s="260"/>
      <c r="BY274" s="260"/>
      <c r="BZ274" s="260"/>
      <c r="CA274" s="260"/>
      <c r="CB274" s="260"/>
      <c r="CC274" s="260"/>
      <c r="CD274" s="260"/>
      <c r="CE274" s="260"/>
      <c r="CF274" s="260"/>
      <c r="CG274" s="260"/>
      <c r="CH274" s="260"/>
      <c r="CI274" s="260"/>
      <c r="CJ274" s="260"/>
      <c r="CK274" s="260"/>
      <c r="CL274" s="260"/>
      <c r="CM274" s="260"/>
      <c r="CN274" s="260"/>
      <c r="CO274" s="260"/>
      <c r="CP274" s="260"/>
      <c r="CQ274" s="260"/>
      <c r="CR274" s="260"/>
      <c r="CS274" s="260"/>
      <c r="CT274" s="260"/>
      <c r="CU274" s="260"/>
      <c r="CV274" s="260"/>
      <c r="CW274" s="260"/>
      <c r="CX274" s="260"/>
      <c r="CY274" s="260"/>
      <c r="CZ274" s="260"/>
      <c r="DA274" s="260"/>
      <c r="DB274" s="260"/>
      <c r="DC274" s="260"/>
      <c r="DD274" s="260"/>
      <c r="DE274" s="260"/>
      <c r="DF274" s="260"/>
      <c r="DG274" s="260"/>
      <c r="DH274" s="260"/>
      <c r="DI274" s="260"/>
      <c r="DJ274" s="260"/>
      <c r="DK274" s="260"/>
      <c r="DL274" s="260"/>
      <c r="DM274" s="260"/>
      <c r="DN274" s="260"/>
      <c r="DO274" s="260"/>
      <c r="DP274" s="260"/>
      <c r="DQ274" s="260"/>
      <c r="DR274" s="260"/>
      <c r="DS274" s="260"/>
      <c r="DT274" s="260"/>
      <c r="DU274" s="260"/>
      <c r="DV274" s="260"/>
      <c r="DW274" s="260"/>
      <c r="DX274" s="260"/>
      <c r="DY274" s="260"/>
      <c r="DZ274" s="260"/>
      <c r="EA274" s="260"/>
      <c r="EB274" s="260"/>
      <c r="EC274" s="260"/>
      <c r="ED274" s="260"/>
      <c r="EE274" s="260"/>
      <c r="EF274" s="260"/>
      <c r="EG274" s="260"/>
      <c r="EH274" s="260"/>
      <c r="EI274" s="260"/>
      <c r="EJ274" s="260"/>
      <c r="EK274" s="260"/>
      <c r="EL274" s="260"/>
      <c r="EM274" s="260"/>
      <c r="EN274" s="260"/>
      <c r="EO274" s="260"/>
      <c r="EP274" s="260"/>
      <c r="EQ274" s="260"/>
      <c r="ER274" s="260"/>
      <c r="ES274" s="260"/>
      <c r="ET274" s="260"/>
      <c r="EU274" s="260"/>
      <c r="EV274" s="260"/>
      <c r="EW274" s="260"/>
      <c r="EX274" s="260"/>
      <c r="EY274" s="260"/>
      <c r="EZ274" s="260"/>
      <c r="FA274" s="260"/>
      <c r="FB274" s="260"/>
      <c r="FC274" s="260"/>
      <c r="FD274" s="260"/>
      <c r="FE274" s="260"/>
      <c r="FF274" s="260"/>
      <c r="FG274" s="260"/>
      <c r="FH274" s="260"/>
      <c r="FI274" s="260"/>
      <c r="FJ274" s="260"/>
      <c r="FK274" s="260"/>
      <c r="FL274" s="260"/>
      <c r="FM274" s="260"/>
      <c r="FN274" s="260"/>
      <c r="FO274" s="260"/>
      <c r="FP274" s="260"/>
      <c r="FQ274" s="260"/>
      <c r="FR274" s="260"/>
      <c r="FS274" s="260"/>
      <c r="FT274" s="260"/>
      <c r="FU274" s="260"/>
      <c r="FV274" s="260"/>
      <c r="FW274" s="260"/>
      <c r="FX274" s="260"/>
      <c r="FY274" s="260"/>
      <c r="FZ274" s="260"/>
      <c r="GA274" s="260"/>
      <c r="GB274" s="260"/>
      <c r="GC274" s="260"/>
      <c r="GD274" s="260"/>
      <c r="GE274" s="260"/>
      <c r="GF274" s="260"/>
      <c r="GG274" s="260"/>
      <c r="GH274" s="260"/>
      <c r="GI274" s="260"/>
      <c r="GJ274" s="260"/>
      <c r="GK274" s="260"/>
      <c r="GL274" s="260"/>
      <c r="GM274" s="260"/>
      <c r="GN274" s="260"/>
      <c r="GO274" s="260"/>
      <c r="GP274" s="260"/>
      <c r="GQ274" s="260"/>
      <c r="GR274" s="260"/>
      <c r="GS274" s="260"/>
      <c r="GT274" s="260"/>
      <c r="GU274" s="260"/>
      <c r="GV274" s="260"/>
      <c r="GW274" s="260"/>
      <c r="GX274" s="260"/>
      <c r="GY274" s="260"/>
      <c r="GZ274" s="260"/>
      <c r="HA274" s="260"/>
      <c r="HB274" s="260"/>
      <c r="HC274" s="260"/>
      <c r="HD274" s="260"/>
      <c r="HE274" s="260"/>
      <c r="HF274" s="260"/>
      <c r="HG274" s="260"/>
      <c r="HH274" s="260"/>
      <c r="HI274" s="260"/>
      <c r="HJ274" s="260"/>
      <c r="HK274" s="260"/>
      <c r="HL274" s="260"/>
      <c r="HM274" s="260"/>
      <c r="HN274" s="260"/>
      <c r="HO274" s="260"/>
      <c r="HP274" s="260"/>
      <c r="HQ274" s="260"/>
      <c r="HR274" s="260"/>
      <c r="HS274" s="260"/>
      <c r="HT274" s="260"/>
      <c r="HU274" s="260"/>
      <c r="HV274" s="260"/>
      <c r="HW274" s="260"/>
      <c r="HX274" s="260"/>
      <c r="HY274" s="260"/>
      <c r="HZ274" s="260"/>
      <c r="IA274" s="260"/>
      <c r="IB274" s="260"/>
      <c r="IC274" s="260"/>
      <c r="ID274" s="260"/>
      <c r="IE274" s="260"/>
      <c r="IF274" s="260"/>
      <c r="IG274" s="260"/>
      <c r="IH274" s="260"/>
      <c r="II274" s="260"/>
      <c r="IJ274" s="260"/>
      <c r="IK274" s="260"/>
      <c r="IL274" s="260"/>
      <c r="IM274" s="260"/>
      <c r="IN274" s="260"/>
      <c r="IO274" s="260"/>
      <c r="IP274" s="260"/>
      <c r="IQ274" s="260"/>
      <c r="IR274" s="260"/>
      <c r="IS274" s="260"/>
    </row>
    <row r="275" spans="1:253" s="419" customFormat="1" x14ac:dyDescent="0.2">
      <c r="A275" s="424"/>
      <c r="B275" s="513"/>
      <c r="C275" s="514"/>
      <c r="D275" s="514"/>
      <c r="E275" s="514"/>
      <c r="F275" s="514"/>
      <c r="G275" s="514"/>
      <c r="H275" s="514"/>
      <c r="I275" s="514"/>
      <c r="J275" s="514"/>
      <c r="K275" s="514"/>
      <c r="L275" s="514"/>
      <c r="M275" s="514"/>
      <c r="N275" s="514"/>
      <c r="O275" s="514"/>
      <c r="P275" s="514"/>
      <c r="Q275" s="514"/>
      <c r="R275" s="514"/>
      <c r="S275" s="514"/>
      <c r="T275" s="514"/>
      <c r="U275" s="514"/>
      <c r="V275" s="514"/>
      <c r="W275" s="514"/>
      <c r="X275" s="514"/>
      <c r="Y275" s="514"/>
      <c r="Z275" s="515"/>
      <c r="AA275" s="515"/>
      <c r="AB275" s="515"/>
      <c r="AC275" s="515"/>
      <c r="AD275" s="515"/>
      <c r="AE275" s="515"/>
      <c r="AF275" s="515"/>
      <c r="AG275" s="515"/>
      <c r="AH275" s="515"/>
      <c r="AI275" s="515"/>
      <c r="AJ275" s="260"/>
      <c r="AK275" s="260"/>
      <c r="AL275" s="260"/>
      <c r="AM275" s="535"/>
      <c r="AN275" s="260"/>
      <c r="AO275" s="283"/>
      <c r="AP275" s="71"/>
      <c r="AQ275" s="283"/>
      <c r="AR275" s="71"/>
      <c r="AS275" s="283"/>
      <c r="AT275" s="260"/>
      <c r="AU275" s="260"/>
      <c r="AV275" s="260"/>
      <c r="AW275" s="260"/>
      <c r="AX275" s="260"/>
      <c r="AY275" s="260"/>
      <c r="AZ275" s="260"/>
      <c r="BA275" s="260"/>
      <c r="BB275" s="260"/>
      <c r="BC275" s="260"/>
      <c r="BD275" s="260"/>
      <c r="BE275" s="260"/>
      <c r="BF275" s="260"/>
      <c r="BG275" s="260"/>
      <c r="BH275" s="260"/>
      <c r="BI275" s="260"/>
      <c r="BJ275" s="260"/>
      <c r="BK275" s="260"/>
      <c r="BL275" s="260"/>
      <c r="BM275" s="260"/>
      <c r="BN275" s="260"/>
      <c r="BO275" s="260"/>
      <c r="BP275" s="260"/>
      <c r="BQ275" s="260"/>
      <c r="BR275" s="260"/>
      <c r="BS275" s="260"/>
      <c r="BT275" s="260"/>
      <c r="BU275" s="260"/>
      <c r="BV275" s="260"/>
      <c r="BW275" s="260"/>
      <c r="BX275" s="260"/>
      <c r="BY275" s="260"/>
      <c r="BZ275" s="260"/>
      <c r="CA275" s="260"/>
      <c r="CB275" s="260"/>
      <c r="CC275" s="260"/>
      <c r="CD275" s="260"/>
      <c r="CE275" s="260"/>
      <c r="CF275" s="260"/>
      <c r="CG275" s="260"/>
      <c r="CH275" s="260"/>
      <c r="CI275" s="260"/>
      <c r="CJ275" s="260"/>
      <c r="CK275" s="260"/>
      <c r="CL275" s="260"/>
      <c r="CM275" s="260"/>
      <c r="CN275" s="260"/>
      <c r="CO275" s="260"/>
      <c r="CP275" s="260"/>
      <c r="CQ275" s="260"/>
      <c r="CR275" s="260"/>
      <c r="CS275" s="260"/>
      <c r="CT275" s="260"/>
      <c r="CU275" s="260"/>
      <c r="CV275" s="260"/>
      <c r="CW275" s="260"/>
      <c r="CX275" s="260"/>
      <c r="CY275" s="260"/>
      <c r="CZ275" s="260"/>
      <c r="DA275" s="260"/>
      <c r="DB275" s="260"/>
      <c r="DC275" s="260"/>
      <c r="DD275" s="260"/>
      <c r="DE275" s="260"/>
      <c r="DF275" s="260"/>
      <c r="DG275" s="260"/>
      <c r="DH275" s="260"/>
      <c r="DI275" s="260"/>
      <c r="DJ275" s="260"/>
      <c r="DK275" s="260"/>
      <c r="DL275" s="260"/>
      <c r="DM275" s="260"/>
      <c r="DN275" s="260"/>
      <c r="DO275" s="260"/>
      <c r="DP275" s="260"/>
      <c r="DQ275" s="260"/>
      <c r="DR275" s="260"/>
      <c r="DS275" s="260"/>
      <c r="DT275" s="260"/>
      <c r="DU275" s="260"/>
      <c r="DV275" s="260"/>
      <c r="DW275" s="260"/>
      <c r="DX275" s="260"/>
      <c r="DY275" s="260"/>
      <c r="DZ275" s="260"/>
      <c r="EA275" s="260"/>
      <c r="EB275" s="260"/>
      <c r="EC275" s="260"/>
      <c r="ED275" s="260"/>
      <c r="EE275" s="260"/>
      <c r="EF275" s="260"/>
      <c r="EG275" s="260"/>
      <c r="EH275" s="260"/>
      <c r="EI275" s="260"/>
      <c r="EJ275" s="260"/>
      <c r="EK275" s="260"/>
      <c r="EL275" s="260"/>
      <c r="EM275" s="260"/>
      <c r="EN275" s="260"/>
      <c r="EO275" s="260"/>
      <c r="EP275" s="260"/>
      <c r="EQ275" s="260"/>
      <c r="ER275" s="260"/>
      <c r="ES275" s="260"/>
      <c r="ET275" s="260"/>
      <c r="EU275" s="260"/>
      <c r="EV275" s="260"/>
      <c r="EW275" s="260"/>
      <c r="EX275" s="260"/>
      <c r="EY275" s="260"/>
      <c r="EZ275" s="260"/>
      <c r="FA275" s="260"/>
      <c r="FB275" s="260"/>
      <c r="FC275" s="260"/>
      <c r="FD275" s="260"/>
      <c r="FE275" s="260"/>
      <c r="FF275" s="260"/>
      <c r="FG275" s="260"/>
      <c r="FH275" s="260"/>
      <c r="FI275" s="260"/>
      <c r="FJ275" s="260"/>
      <c r="FK275" s="260"/>
      <c r="FL275" s="260"/>
      <c r="FM275" s="260"/>
      <c r="FN275" s="260"/>
      <c r="FO275" s="260"/>
      <c r="FP275" s="260"/>
      <c r="FQ275" s="260"/>
      <c r="FR275" s="260"/>
      <c r="FS275" s="260"/>
      <c r="FT275" s="260"/>
      <c r="FU275" s="260"/>
      <c r="FV275" s="260"/>
      <c r="FW275" s="260"/>
      <c r="FX275" s="260"/>
      <c r="FY275" s="260"/>
      <c r="FZ275" s="260"/>
      <c r="GA275" s="260"/>
      <c r="GB275" s="260"/>
      <c r="GC275" s="260"/>
      <c r="GD275" s="260"/>
      <c r="GE275" s="260"/>
      <c r="GF275" s="260"/>
      <c r="GG275" s="260"/>
      <c r="GH275" s="260"/>
      <c r="GI275" s="260"/>
      <c r="GJ275" s="260"/>
      <c r="GK275" s="260"/>
      <c r="GL275" s="260"/>
      <c r="GM275" s="260"/>
      <c r="GN275" s="260"/>
      <c r="GO275" s="260"/>
      <c r="GP275" s="260"/>
      <c r="GQ275" s="260"/>
      <c r="GR275" s="260"/>
      <c r="GS275" s="260"/>
      <c r="GT275" s="260"/>
      <c r="GU275" s="260"/>
      <c r="GV275" s="260"/>
      <c r="GW275" s="260"/>
      <c r="GX275" s="260"/>
      <c r="GY275" s="260"/>
      <c r="GZ275" s="260"/>
      <c r="HA275" s="260"/>
      <c r="HB275" s="260"/>
      <c r="HC275" s="260"/>
      <c r="HD275" s="260"/>
      <c r="HE275" s="260"/>
      <c r="HF275" s="260"/>
      <c r="HG275" s="260"/>
      <c r="HH275" s="260"/>
      <c r="HI275" s="260"/>
      <c r="HJ275" s="260"/>
      <c r="HK275" s="260"/>
      <c r="HL275" s="260"/>
      <c r="HM275" s="260"/>
      <c r="HN275" s="260"/>
      <c r="HO275" s="260"/>
      <c r="HP275" s="260"/>
      <c r="HQ275" s="260"/>
      <c r="HR275" s="260"/>
      <c r="HS275" s="260"/>
      <c r="HT275" s="260"/>
      <c r="HU275" s="260"/>
      <c r="HV275" s="260"/>
      <c r="HW275" s="260"/>
      <c r="HX275" s="260"/>
      <c r="HY275" s="260"/>
      <c r="HZ275" s="260"/>
      <c r="IA275" s="260"/>
      <c r="IB275" s="260"/>
      <c r="IC275" s="260"/>
      <c r="ID275" s="260"/>
      <c r="IE275" s="260"/>
      <c r="IF275" s="260"/>
      <c r="IG275" s="260"/>
      <c r="IH275" s="260"/>
      <c r="II275" s="260"/>
      <c r="IJ275" s="260"/>
      <c r="IK275" s="260"/>
      <c r="IL275" s="260"/>
      <c r="IM275" s="260"/>
      <c r="IN275" s="260"/>
      <c r="IO275" s="260"/>
      <c r="IP275" s="260"/>
      <c r="IQ275" s="260"/>
      <c r="IR275" s="260"/>
      <c r="IS275" s="260"/>
    </row>
    <row r="276" spans="1:253" s="419" customFormat="1" x14ac:dyDescent="0.2">
      <c r="A276" s="506"/>
      <c r="B276" s="431">
        <f>B267</f>
        <v>2014</v>
      </c>
      <c r="C276" s="431">
        <f t="shared" ref="C276:AH276" si="97">C267</f>
        <v>2015</v>
      </c>
      <c r="D276" s="431">
        <f t="shared" si="97"/>
        <v>2016</v>
      </c>
      <c r="E276" s="431">
        <f t="shared" si="97"/>
        <v>2017</v>
      </c>
      <c r="F276" s="431">
        <f t="shared" si="97"/>
        <v>2018</v>
      </c>
      <c r="G276" s="431">
        <f t="shared" si="97"/>
        <v>2019</v>
      </c>
      <c r="H276" s="431">
        <f t="shared" si="97"/>
        <v>2020</v>
      </c>
      <c r="I276" s="431">
        <f t="shared" si="97"/>
        <v>2021</v>
      </c>
      <c r="J276" s="431">
        <f t="shared" si="97"/>
        <v>2022</v>
      </c>
      <c r="K276" s="431">
        <f t="shared" si="97"/>
        <v>2023</v>
      </c>
      <c r="L276" s="431">
        <f t="shared" si="97"/>
        <v>2024</v>
      </c>
      <c r="M276" s="431">
        <f t="shared" si="97"/>
        <v>2025</v>
      </c>
      <c r="N276" s="431">
        <f t="shared" si="97"/>
        <v>2026</v>
      </c>
      <c r="O276" s="431">
        <f t="shared" si="97"/>
        <v>2027</v>
      </c>
      <c r="P276" s="431">
        <f t="shared" si="97"/>
        <v>2028</v>
      </c>
      <c r="Q276" s="431">
        <f t="shared" si="97"/>
        <v>2029</v>
      </c>
      <c r="R276" s="431">
        <f t="shared" si="97"/>
        <v>2030</v>
      </c>
      <c r="S276" s="431">
        <f t="shared" si="97"/>
        <v>2031</v>
      </c>
      <c r="T276" s="431">
        <f t="shared" si="97"/>
        <v>2032</v>
      </c>
      <c r="U276" s="431">
        <f t="shared" si="97"/>
        <v>2033</v>
      </c>
      <c r="V276" s="431">
        <f t="shared" si="97"/>
        <v>2034</v>
      </c>
      <c r="W276" s="431">
        <f t="shared" si="97"/>
        <v>2035</v>
      </c>
      <c r="X276" s="431">
        <f t="shared" si="97"/>
        <v>2036</v>
      </c>
      <c r="Y276" s="431">
        <f t="shared" si="97"/>
        <v>2037</v>
      </c>
      <c r="Z276" s="431">
        <f t="shared" si="97"/>
        <v>2038</v>
      </c>
      <c r="AA276" s="431">
        <f t="shared" si="97"/>
        <v>2039</v>
      </c>
      <c r="AB276" s="431">
        <f t="shared" si="97"/>
        <v>2040</v>
      </c>
      <c r="AC276" s="431">
        <f t="shared" si="97"/>
        <v>2041</v>
      </c>
      <c r="AD276" s="431">
        <f t="shared" si="97"/>
        <v>2042</v>
      </c>
      <c r="AE276" s="431">
        <f t="shared" si="97"/>
        <v>2043</v>
      </c>
      <c r="AF276" s="431">
        <f t="shared" si="97"/>
        <v>2044</v>
      </c>
      <c r="AG276" s="431">
        <f t="shared" si="97"/>
        <v>2045</v>
      </c>
      <c r="AH276" s="431">
        <f t="shared" si="97"/>
        <v>2046</v>
      </c>
      <c r="AI276" s="431"/>
      <c r="AJ276" s="260"/>
      <c r="AK276" s="260"/>
      <c r="AL276" s="260"/>
      <c r="AM276" s="535"/>
      <c r="AN276" s="260"/>
      <c r="AO276" s="283"/>
      <c r="AP276" s="71"/>
      <c r="AQ276" s="283"/>
      <c r="AR276" s="71"/>
      <c r="AS276" s="283"/>
      <c r="AT276" s="260"/>
      <c r="AU276" s="260"/>
      <c r="AV276" s="260"/>
      <c r="AW276" s="260"/>
      <c r="AX276" s="260"/>
      <c r="AY276" s="260"/>
      <c r="AZ276" s="260"/>
      <c r="BA276" s="260"/>
      <c r="BB276" s="260"/>
      <c r="BC276" s="260"/>
      <c r="BD276" s="260"/>
      <c r="BE276" s="260"/>
      <c r="BF276" s="260"/>
      <c r="BG276" s="260"/>
      <c r="BH276" s="260"/>
      <c r="BI276" s="260"/>
      <c r="BJ276" s="260"/>
      <c r="BK276" s="260"/>
      <c r="BL276" s="260"/>
      <c r="BM276" s="260"/>
      <c r="BN276" s="260"/>
      <c r="BO276" s="260"/>
      <c r="BP276" s="260"/>
      <c r="BQ276" s="260"/>
      <c r="BR276" s="260"/>
      <c r="BS276" s="260"/>
      <c r="BT276" s="260"/>
      <c r="BU276" s="260"/>
      <c r="BV276" s="260"/>
      <c r="BW276" s="260"/>
      <c r="BX276" s="260"/>
      <c r="BY276" s="260"/>
      <c r="BZ276" s="260"/>
      <c r="CA276" s="260"/>
      <c r="CB276" s="260"/>
      <c r="CC276" s="260"/>
      <c r="CD276" s="260"/>
      <c r="CE276" s="260"/>
      <c r="CF276" s="260"/>
      <c r="CG276" s="260"/>
      <c r="CH276" s="260"/>
      <c r="CI276" s="260"/>
      <c r="CJ276" s="260"/>
      <c r="CK276" s="260"/>
      <c r="CL276" s="260"/>
      <c r="CM276" s="260"/>
      <c r="CN276" s="260"/>
      <c r="CO276" s="260"/>
      <c r="CP276" s="260"/>
      <c r="CQ276" s="260"/>
      <c r="CR276" s="260"/>
      <c r="CS276" s="260"/>
      <c r="CT276" s="260"/>
      <c r="CU276" s="260"/>
      <c r="CV276" s="260"/>
      <c r="CW276" s="260"/>
      <c r="CX276" s="260"/>
      <c r="CY276" s="260"/>
      <c r="CZ276" s="260"/>
      <c r="DA276" s="260"/>
      <c r="DB276" s="260"/>
      <c r="DC276" s="260"/>
      <c r="DD276" s="260"/>
      <c r="DE276" s="260"/>
      <c r="DF276" s="260"/>
      <c r="DG276" s="260"/>
      <c r="DH276" s="260"/>
      <c r="DI276" s="260"/>
      <c r="DJ276" s="260"/>
      <c r="DK276" s="260"/>
      <c r="DL276" s="260"/>
      <c r="DM276" s="260"/>
      <c r="DN276" s="260"/>
      <c r="DO276" s="260"/>
      <c r="DP276" s="260"/>
      <c r="DQ276" s="260"/>
      <c r="DR276" s="260"/>
      <c r="DS276" s="260"/>
      <c r="DT276" s="260"/>
      <c r="DU276" s="260"/>
      <c r="DV276" s="260"/>
      <c r="DW276" s="260"/>
      <c r="DX276" s="260"/>
      <c r="DY276" s="260"/>
      <c r="DZ276" s="260"/>
      <c r="EA276" s="260"/>
      <c r="EB276" s="260"/>
      <c r="EC276" s="260"/>
      <c r="ED276" s="260"/>
      <c r="EE276" s="260"/>
      <c r="EF276" s="260"/>
      <c r="EG276" s="260"/>
      <c r="EH276" s="260"/>
      <c r="EI276" s="260"/>
      <c r="EJ276" s="260"/>
      <c r="EK276" s="260"/>
      <c r="EL276" s="260"/>
      <c r="EM276" s="260"/>
      <c r="EN276" s="260"/>
      <c r="EO276" s="260"/>
      <c r="EP276" s="260"/>
      <c r="EQ276" s="260"/>
      <c r="ER276" s="260"/>
      <c r="ES276" s="260"/>
      <c r="ET276" s="260"/>
      <c r="EU276" s="260"/>
      <c r="EV276" s="260"/>
      <c r="EW276" s="260"/>
      <c r="EX276" s="260"/>
      <c r="EY276" s="260"/>
      <c r="EZ276" s="260"/>
      <c r="FA276" s="260"/>
      <c r="FB276" s="260"/>
      <c r="FC276" s="260"/>
      <c r="FD276" s="260"/>
      <c r="FE276" s="260"/>
      <c r="FF276" s="260"/>
      <c r="FG276" s="260"/>
      <c r="FH276" s="260"/>
      <c r="FI276" s="260"/>
      <c r="FJ276" s="260"/>
      <c r="FK276" s="260"/>
      <c r="FL276" s="260"/>
      <c r="FM276" s="260"/>
      <c r="FN276" s="260"/>
      <c r="FO276" s="260"/>
      <c r="FP276" s="260"/>
      <c r="FQ276" s="260"/>
      <c r="FR276" s="260"/>
      <c r="FS276" s="260"/>
      <c r="FT276" s="260"/>
      <c r="FU276" s="260"/>
      <c r="FV276" s="260"/>
      <c r="FW276" s="260"/>
      <c r="FX276" s="260"/>
      <c r="FY276" s="260"/>
      <c r="FZ276" s="260"/>
      <c r="GA276" s="260"/>
      <c r="GB276" s="260"/>
      <c r="GC276" s="260"/>
      <c r="GD276" s="260"/>
      <c r="GE276" s="260"/>
      <c r="GF276" s="260"/>
      <c r="GG276" s="260"/>
      <c r="GH276" s="260"/>
      <c r="GI276" s="260"/>
      <c r="GJ276" s="260"/>
      <c r="GK276" s="260"/>
      <c r="GL276" s="260"/>
      <c r="GM276" s="260"/>
      <c r="GN276" s="260"/>
      <c r="GO276" s="260"/>
      <c r="GP276" s="260"/>
      <c r="GQ276" s="260"/>
      <c r="GR276" s="260"/>
      <c r="GS276" s="260"/>
      <c r="GT276" s="260"/>
      <c r="GU276" s="260"/>
      <c r="GV276" s="260"/>
      <c r="GW276" s="260"/>
      <c r="GX276" s="260"/>
      <c r="GY276" s="260"/>
      <c r="GZ276" s="260"/>
      <c r="HA276" s="260"/>
      <c r="HB276" s="260"/>
      <c r="HC276" s="260"/>
      <c r="HD276" s="260"/>
      <c r="HE276" s="260"/>
      <c r="HF276" s="260"/>
      <c r="HG276" s="260"/>
      <c r="HH276" s="260"/>
      <c r="HI276" s="260"/>
      <c r="HJ276" s="260"/>
      <c r="HK276" s="260"/>
      <c r="HL276" s="260"/>
      <c r="HM276" s="260"/>
      <c r="HN276" s="260"/>
      <c r="HO276" s="260"/>
      <c r="HP276" s="260"/>
      <c r="HQ276" s="260"/>
      <c r="HR276" s="260"/>
      <c r="HS276" s="260"/>
      <c r="HT276" s="260"/>
      <c r="HU276" s="260"/>
      <c r="HV276" s="260"/>
      <c r="HW276" s="260"/>
      <c r="HX276" s="260"/>
      <c r="HY276" s="260"/>
      <c r="HZ276" s="260"/>
      <c r="IA276" s="260"/>
      <c r="IB276" s="260"/>
      <c r="IC276" s="260"/>
      <c r="ID276" s="260"/>
      <c r="IE276" s="260"/>
      <c r="IF276" s="260"/>
      <c r="IG276" s="260"/>
      <c r="IH276" s="260"/>
      <c r="II276" s="260"/>
      <c r="IJ276" s="260"/>
      <c r="IK276" s="260"/>
      <c r="IL276" s="260"/>
      <c r="IM276" s="260"/>
      <c r="IN276" s="260"/>
      <c r="IO276" s="260"/>
      <c r="IP276" s="260"/>
      <c r="IQ276" s="260"/>
      <c r="IR276" s="260"/>
      <c r="IS276" s="260"/>
    </row>
    <row r="277" spans="1:253" s="419" customFormat="1" ht="38.25" x14ac:dyDescent="0.2">
      <c r="A277" s="424" t="s">
        <v>413</v>
      </c>
      <c r="B277" s="509"/>
      <c r="C277" s="509"/>
      <c r="D277" s="509"/>
      <c r="E277" s="509"/>
      <c r="F277" s="509"/>
      <c r="G277" s="509"/>
      <c r="H277" s="509"/>
      <c r="I277" s="509"/>
      <c r="J277" s="509"/>
      <c r="K277" s="509"/>
      <c r="L277" s="509"/>
      <c r="M277" s="509"/>
      <c r="N277" s="509"/>
      <c r="O277" s="509"/>
      <c r="P277" s="509"/>
      <c r="Q277" s="509"/>
      <c r="R277" s="509"/>
      <c r="S277" s="509"/>
      <c r="T277" s="509"/>
      <c r="U277" s="509"/>
      <c r="V277" s="509"/>
      <c r="W277" s="509"/>
      <c r="X277" s="509"/>
      <c r="Y277" s="509"/>
      <c r="Z277" s="510"/>
      <c r="AA277" s="510"/>
      <c r="AB277" s="510"/>
      <c r="AC277" s="510"/>
      <c r="AD277" s="510"/>
      <c r="AE277" s="510"/>
      <c r="AF277" s="510"/>
      <c r="AG277" s="510"/>
      <c r="AH277" s="510"/>
      <c r="AI277" s="510"/>
      <c r="AJ277" s="260"/>
      <c r="AK277" s="260"/>
      <c r="AL277" s="260"/>
      <c r="AM277" s="535"/>
      <c r="AN277" s="260"/>
      <c r="AO277" s="283"/>
      <c r="AP277" s="71"/>
      <c r="AQ277" s="283"/>
      <c r="AR277" s="71"/>
      <c r="AS277" s="283"/>
      <c r="AT277" s="260"/>
      <c r="AU277" s="260"/>
      <c r="AV277" s="260"/>
      <c r="AW277" s="260"/>
      <c r="AX277" s="260"/>
      <c r="AY277" s="260"/>
      <c r="AZ277" s="260"/>
      <c r="BA277" s="260"/>
      <c r="BB277" s="260"/>
      <c r="BC277" s="260"/>
      <c r="BD277" s="260"/>
      <c r="BE277" s="260"/>
      <c r="BF277" s="260"/>
      <c r="BG277" s="260"/>
      <c r="BH277" s="260"/>
      <c r="BI277" s="260"/>
      <c r="BJ277" s="260"/>
      <c r="BK277" s="260"/>
      <c r="BL277" s="260"/>
      <c r="BM277" s="260"/>
      <c r="BN277" s="260"/>
      <c r="BO277" s="260"/>
      <c r="BP277" s="260"/>
      <c r="BQ277" s="260"/>
      <c r="BR277" s="260"/>
      <c r="BS277" s="260"/>
      <c r="BT277" s="260"/>
      <c r="BU277" s="260"/>
      <c r="BV277" s="260"/>
      <c r="BW277" s="260"/>
      <c r="BX277" s="260"/>
      <c r="BY277" s="260"/>
      <c r="BZ277" s="260"/>
      <c r="CA277" s="260"/>
      <c r="CB277" s="260"/>
      <c r="CC277" s="260"/>
      <c r="CD277" s="260"/>
      <c r="CE277" s="260"/>
      <c r="CF277" s="260"/>
      <c r="CG277" s="260"/>
      <c r="CH277" s="260"/>
      <c r="CI277" s="260"/>
      <c r="CJ277" s="260"/>
      <c r="CK277" s="260"/>
      <c r="CL277" s="260"/>
      <c r="CM277" s="260"/>
      <c r="CN277" s="260"/>
      <c r="CO277" s="260"/>
      <c r="CP277" s="260"/>
      <c r="CQ277" s="260"/>
      <c r="CR277" s="260"/>
      <c r="CS277" s="260"/>
      <c r="CT277" s="260"/>
      <c r="CU277" s="260"/>
      <c r="CV277" s="260"/>
      <c r="CW277" s="260"/>
      <c r="CX277" s="260"/>
      <c r="CY277" s="260"/>
      <c r="CZ277" s="260"/>
      <c r="DA277" s="260"/>
      <c r="DB277" s="260"/>
      <c r="DC277" s="260"/>
      <c r="DD277" s="260"/>
      <c r="DE277" s="260"/>
      <c r="DF277" s="260"/>
      <c r="DG277" s="260"/>
      <c r="DH277" s="260"/>
      <c r="DI277" s="260"/>
      <c r="DJ277" s="260"/>
      <c r="DK277" s="260"/>
      <c r="DL277" s="260"/>
      <c r="DM277" s="260"/>
      <c r="DN277" s="260"/>
      <c r="DO277" s="260"/>
      <c r="DP277" s="260"/>
      <c r="DQ277" s="260"/>
      <c r="DR277" s="260"/>
      <c r="DS277" s="260"/>
      <c r="DT277" s="260"/>
      <c r="DU277" s="260"/>
      <c r="DV277" s="260"/>
      <c r="DW277" s="260"/>
      <c r="DX277" s="260"/>
      <c r="DY277" s="260"/>
      <c r="DZ277" s="260"/>
      <c r="EA277" s="260"/>
      <c r="EB277" s="260"/>
      <c r="EC277" s="260"/>
      <c r="ED277" s="260"/>
      <c r="EE277" s="260"/>
      <c r="EF277" s="260"/>
      <c r="EG277" s="260"/>
      <c r="EH277" s="260"/>
      <c r="EI277" s="260"/>
      <c r="EJ277" s="260"/>
      <c r="EK277" s="260"/>
      <c r="EL277" s="260"/>
      <c r="EM277" s="260"/>
      <c r="EN277" s="260"/>
      <c r="EO277" s="260"/>
      <c r="EP277" s="260"/>
      <c r="EQ277" s="260"/>
      <c r="ER277" s="260"/>
      <c r="ES277" s="260"/>
      <c r="ET277" s="260"/>
      <c r="EU277" s="260"/>
      <c r="EV277" s="260"/>
      <c r="EW277" s="260"/>
      <c r="EX277" s="260"/>
      <c r="EY277" s="260"/>
      <c r="EZ277" s="260"/>
      <c r="FA277" s="260"/>
      <c r="FB277" s="260"/>
      <c r="FC277" s="260"/>
      <c r="FD277" s="260"/>
      <c r="FE277" s="260"/>
      <c r="FF277" s="260"/>
      <c r="FG277" s="260"/>
      <c r="FH277" s="260"/>
      <c r="FI277" s="260"/>
      <c r="FJ277" s="260"/>
      <c r="FK277" s="260"/>
      <c r="FL277" s="260"/>
      <c r="FM277" s="260"/>
      <c r="FN277" s="260"/>
      <c r="FO277" s="260"/>
      <c r="FP277" s="260"/>
      <c r="FQ277" s="260"/>
      <c r="FR277" s="260"/>
      <c r="FS277" s="260"/>
      <c r="FT277" s="260"/>
      <c r="FU277" s="260"/>
      <c r="FV277" s="260"/>
      <c r="FW277" s="260"/>
      <c r="FX277" s="260"/>
      <c r="FY277" s="260"/>
      <c r="FZ277" s="260"/>
      <c r="GA277" s="260"/>
      <c r="GB277" s="260"/>
      <c r="GC277" s="260"/>
      <c r="GD277" s="260"/>
      <c r="GE277" s="260"/>
      <c r="GF277" s="260"/>
      <c r="GG277" s="260"/>
      <c r="GH277" s="260"/>
      <c r="GI277" s="260"/>
      <c r="GJ277" s="260"/>
      <c r="GK277" s="260"/>
      <c r="GL277" s="260"/>
      <c r="GM277" s="260"/>
      <c r="GN277" s="260"/>
      <c r="GO277" s="260"/>
      <c r="GP277" s="260"/>
      <c r="GQ277" s="260"/>
      <c r="GR277" s="260"/>
      <c r="GS277" s="260"/>
      <c r="GT277" s="260"/>
      <c r="GU277" s="260"/>
      <c r="GV277" s="260"/>
      <c r="GW277" s="260"/>
      <c r="GX277" s="260"/>
      <c r="GY277" s="260"/>
      <c r="GZ277" s="260"/>
      <c r="HA277" s="260"/>
      <c r="HB277" s="260"/>
      <c r="HC277" s="260"/>
      <c r="HD277" s="260"/>
      <c r="HE277" s="260"/>
      <c r="HF277" s="260"/>
      <c r="HG277" s="260"/>
      <c r="HH277" s="260"/>
      <c r="HI277" s="260"/>
      <c r="HJ277" s="260"/>
      <c r="HK277" s="260"/>
      <c r="HL277" s="260"/>
      <c r="HM277" s="260"/>
      <c r="HN277" s="260"/>
      <c r="HO277" s="260"/>
      <c r="HP277" s="260"/>
      <c r="HQ277" s="260"/>
      <c r="HR277" s="260"/>
      <c r="HS277" s="260"/>
      <c r="HT277" s="260"/>
      <c r="HU277" s="260"/>
      <c r="HV277" s="260"/>
      <c r="HW277" s="260"/>
      <c r="HX277" s="260"/>
      <c r="HY277" s="260"/>
      <c r="HZ277" s="260"/>
      <c r="IA277" s="260"/>
      <c r="IB277" s="260"/>
      <c r="IC277" s="260"/>
      <c r="ID277" s="260"/>
      <c r="IE277" s="260"/>
      <c r="IF277" s="260"/>
      <c r="IG277" s="260"/>
      <c r="IH277" s="260"/>
      <c r="II277" s="260"/>
      <c r="IJ277" s="260"/>
      <c r="IK277" s="260"/>
      <c r="IL277" s="260"/>
      <c r="IM277" s="260"/>
      <c r="IN277" s="260"/>
      <c r="IO277" s="260"/>
      <c r="IP277" s="260"/>
      <c r="IQ277" s="260"/>
      <c r="IR277" s="260"/>
      <c r="IS277" s="260"/>
    </row>
    <row r="278" spans="1:253" s="419" customFormat="1" x14ac:dyDescent="0.2">
      <c r="A278" s="481" t="s">
        <v>407</v>
      </c>
      <c r="B278" s="511">
        <f>'Datu ievade'!$B$94</f>
        <v>0.02</v>
      </c>
      <c r="C278" s="511"/>
      <c r="D278" s="511"/>
      <c r="E278" s="511"/>
      <c r="F278" s="511"/>
      <c r="G278" s="511"/>
      <c r="H278" s="511"/>
      <c r="I278" s="511"/>
      <c r="J278" s="511"/>
      <c r="K278" s="511"/>
      <c r="L278" s="511"/>
      <c r="M278" s="511"/>
      <c r="N278" s="511"/>
      <c r="O278" s="511"/>
      <c r="P278" s="511"/>
      <c r="Q278" s="511"/>
      <c r="R278" s="511"/>
      <c r="S278" s="511"/>
      <c r="T278" s="511"/>
      <c r="U278" s="511"/>
      <c r="V278" s="511"/>
      <c r="W278" s="511"/>
      <c r="X278" s="511"/>
      <c r="Y278" s="511"/>
      <c r="Z278" s="511"/>
      <c r="AA278" s="511"/>
      <c r="AB278" s="511"/>
      <c r="AC278" s="511"/>
      <c r="AD278" s="511"/>
      <c r="AE278" s="511"/>
      <c r="AF278" s="511"/>
      <c r="AG278" s="511"/>
      <c r="AH278" s="511"/>
      <c r="AI278" s="511"/>
      <c r="AJ278" s="260"/>
      <c r="AK278" s="260"/>
      <c r="AL278" s="260"/>
      <c r="AM278" s="535"/>
      <c r="AN278" s="260"/>
      <c r="AO278" s="283"/>
      <c r="AP278" s="71"/>
      <c r="AQ278" s="283"/>
      <c r="AR278" s="71"/>
      <c r="AS278" s="283"/>
      <c r="AT278" s="260"/>
      <c r="AU278" s="260"/>
      <c r="AV278" s="260"/>
      <c r="AW278" s="260"/>
      <c r="AX278" s="260"/>
      <c r="AY278" s="260"/>
      <c r="AZ278" s="260"/>
      <c r="BA278" s="260"/>
      <c r="BB278" s="260"/>
      <c r="BC278" s="260"/>
      <c r="BD278" s="260"/>
      <c r="BE278" s="260"/>
      <c r="BF278" s="260"/>
      <c r="BG278" s="260"/>
      <c r="BH278" s="260"/>
      <c r="BI278" s="260"/>
      <c r="BJ278" s="260"/>
      <c r="BK278" s="260"/>
      <c r="BL278" s="260"/>
      <c r="BM278" s="260"/>
      <c r="BN278" s="260"/>
      <c r="BO278" s="260"/>
      <c r="BP278" s="260"/>
      <c r="BQ278" s="260"/>
      <c r="BR278" s="260"/>
      <c r="BS278" s="260"/>
      <c r="BT278" s="260"/>
      <c r="BU278" s="260"/>
      <c r="BV278" s="260"/>
      <c r="BW278" s="260"/>
      <c r="BX278" s="260"/>
      <c r="BY278" s="260"/>
      <c r="BZ278" s="260"/>
      <c r="CA278" s="260"/>
      <c r="CB278" s="260"/>
      <c r="CC278" s="260"/>
      <c r="CD278" s="260"/>
      <c r="CE278" s="260"/>
      <c r="CF278" s="260"/>
      <c r="CG278" s="260"/>
      <c r="CH278" s="260"/>
      <c r="CI278" s="260"/>
      <c r="CJ278" s="260"/>
      <c r="CK278" s="260"/>
      <c r="CL278" s="260"/>
      <c r="CM278" s="260"/>
      <c r="CN278" s="260"/>
      <c r="CO278" s="260"/>
      <c r="CP278" s="260"/>
      <c r="CQ278" s="260"/>
      <c r="CR278" s="260"/>
      <c r="CS278" s="260"/>
      <c r="CT278" s="260"/>
      <c r="CU278" s="260"/>
      <c r="CV278" s="260"/>
      <c r="CW278" s="260"/>
      <c r="CX278" s="260"/>
      <c r="CY278" s="260"/>
      <c r="CZ278" s="260"/>
      <c r="DA278" s="260"/>
      <c r="DB278" s="260"/>
      <c r="DC278" s="260"/>
      <c r="DD278" s="260"/>
      <c r="DE278" s="260"/>
      <c r="DF278" s="260"/>
      <c r="DG278" s="260"/>
      <c r="DH278" s="260"/>
      <c r="DI278" s="260"/>
      <c r="DJ278" s="260"/>
      <c r="DK278" s="260"/>
      <c r="DL278" s="260"/>
      <c r="DM278" s="260"/>
      <c r="DN278" s="260"/>
      <c r="DO278" s="260"/>
      <c r="DP278" s="260"/>
      <c r="DQ278" s="260"/>
      <c r="DR278" s="260"/>
      <c r="DS278" s="260"/>
      <c r="DT278" s="260"/>
      <c r="DU278" s="260"/>
      <c r="DV278" s="260"/>
      <c r="DW278" s="260"/>
      <c r="DX278" s="260"/>
      <c r="DY278" s="260"/>
      <c r="DZ278" s="260"/>
      <c r="EA278" s="260"/>
      <c r="EB278" s="260"/>
      <c r="EC278" s="260"/>
      <c r="ED278" s="260"/>
      <c r="EE278" s="260"/>
      <c r="EF278" s="260"/>
      <c r="EG278" s="260"/>
      <c r="EH278" s="260"/>
      <c r="EI278" s="260"/>
      <c r="EJ278" s="260"/>
      <c r="EK278" s="260"/>
      <c r="EL278" s="260"/>
      <c r="EM278" s="260"/>
      <c r="EN278" s="260"/>
      <c r="EO278" s="260"/>
      <c r="EP278" s="260"/>
      <c r="EQ278" s="260"/>
      <c r="ER278" s="260"/>
      <c r="ES278" s="260"/>
      <c r="ET278" s="260"/>
      <c r="EU278" s="260"/>
      <c r="EV278" s="260"/>
      <c r="EW278" s="260"/>
      <c r="EX278" s="260"/>
      <c r="EY278" s="260"/>
      <c r="EZ278" s="260"/>
      <c r="FA278" s="260"/>
      <c r="FB278" s="260"/>
      <c r="FC278" s="260"/>
      <c r="FD278" s="260"/>
      <c r="FE278" s="260"/>
      <c r="FF278" s="260"/>
      <c r="FG278" s="260"/>
      <c r="FH278" s="260"/>
      <c r="FI278" s="260"/>
      <c r="FJ278" s="260"/>
      <c r="FK278" s="260"/>
      <c r="FL278" s="260"/>
      <c r="FM278" s="260"/>
      <c r="FN278" s="260"/>
      <c r="FO278" s="260"/>
      <c r="FP278" s="260"/>
      <c r="FQ278" s="260"/>
      <c r="FR278" s="260"/>
      <c r="FS278" s="260"/>
      <c r="FT278" s="260"/>
      <c r="FU278" s="260"/>
      <c r="FV278" s="260"/>
      <c r="FW278" s="260"/>
      <c r="FX278" s="260"/>
      <c r="FY278" s="260"/>
      <c r="FZ278" s="260"/>
      <c r="GA278" s="260"/>
      <c r="GB278" s="260"/>
      <c r="GC278" s="260"/>
      <c r="GD278" s="260"/>
      <c r="GE278" s="260"/>
      <c r="GF278" s="260"/>
      <c r="GG278" s="260"/>
      <c r="GH278" s="260"/>
      <c r="GI278" s="260"/>
      <c r="GJ278" s="260"/>
      <c r="GK278" s="260"/>
      <c r="GL278" s="260"/>
      <c r="GM278" s="260"/>
      <c r="GN278" s="260"/>
      <c r="GO278" s="260"/>
      <c r="GP278" s="260"/>
      <c r="GQ278" s="260"/>
      <c r="GR278" s="260"/>
      <c r="GS278" s="260"/>
      <c r="GT278" s="260"/>
      <c r="GU278" s="260"/>
      <c r="GV278" s="260"/>
      <c r="GW278" s="260"/>
      <c r="GX278" s="260"/>
      <c r="GY278" s="260"/>
      <c r="GZ278" s="260"/>
      <c r="HA278" s="260"/>
      <c r="HB278" s="260"/>
      <c r="HC278" s="260"/>
      <c r="HD278" s="260"/>
      <c r="HE278" s="260"/>
      <c r="HF278" s="260"/>
      <c r="HG278" s="260"/>
      <c r="HH278" s="260"/>
      <c r="HI278" s="260"/>
      <c r="HJ278" s="260"/>
      <c r="HK278" s="260"/>
      <c r="HL278" s="260"/>
      <c r="HM278" s="260"/>
      <c r="HN278" s="260"/>
      <c r="HO278" s="260"/>
      <c r="HP278" s="260"/>
      <c r="HQ278" s="260"/>
      <c r="HR278" s="260"/>
      <c r="HS278" s="260"/>
      <c r="HT278" s="260"/>
      <c r="HU278" s="260"/>
      <c r="HV278" s="260"/>
      <c r="HW278" s="260"/>
      <c r="HX278" s="260"/>
      <c r="HY278" s="260"/>
      <c r="HZ278" s="260"/>
      <c r="IA278" s="260"/>
      <c r="IB278" s="260"/>
      <c r="IC278" s="260"/>
      <c r="ID278" s="260"/>
      <c r="IE278" s="260"/>
      <c r="IF278" s="260"/>
      <c r="IG278" s="260"/>
      <c r="IH278" s="260"/>
      <c r="II278" s="260"/>
      <c r="IJ278" s="260"/>
      <c r="IK278" s="260"/>
      <c r="IL278" s="260"/>
      <c r="IM278" s="260"/>
      <c r="IN278" s="260"/>
      <c r="IO278" s="260"/>
      <c r="IP278" s="260"/>
      <c r="IQ278" s="260"/>
      <c r="IR278" s="260"/>
      <c r="IS278" s="260"/>
    </row>
    <row r="279" spans="1:253" s="419" customFormat="1" x14ac:dyDescent="0.2">
      <c r="A279" s="433" t="s">
        <v>408</v>
      </c>
      <c r="B279" s="777"/>
      <c r="C279" s="777"/>
      <c r="D279" s="777"/>
      <c r="E279" s="777"/>
      <c r="F279" s="777"/>
      <c r="G279" s="777"/>
      <c r="H279" s="463">
        <f>IF('Datu ievade'!$B$98="Jā",IF('Datu ievade'!$B$102='Datu ievade'!$B$104,'Datu ievade'!H129,0),0)</f>
        <v>0</v>
      </c>
      <c r="I279" s="463">
        <f>IF('Datu ievade'!$B$98="Jā",IF('Datu ievade'!$B$102='Datu ievade'!$B$104,'Datu ievade'!I129,0),0)</f>
        <v>0</v>
      </c>
      <c r="J279" s="463">
        <f>IF('Datu ievade'!$B$98="Jā",IF('Datu ievade'!$B$102='Datu ievade'!$B$104,'Datu ievade'!J129,0),0)</f>
        <v>0</v>
      </c>
      <c r="K279" s="463">
        <f>IF('Datu ievade'!$B$98="Jā",IF('Datu ievade'!$B$102='Datu ievade'!$B$104,'Datu ievade'!K129,0),0)</f>
        <v>0</v>
      </c>
      <c r="L279" s="463">
        <f>IF('Datu ievade'!$B$98="Jā",IF('Datu ievade'!$B$102='Datu ievade'!$B$104,'Datu ievade'!L129,0),0)</f>
        <v>0</v>
      </c>
      <c r="M279" s="463">
        <f>IF('Datu ievade'!$B$98="Jā",IF('Datu ievade'!$B$102='Datu ievade'!$B$104,'Datu ievade'!M129,0),0)</f>
        <v>0</v>
      </c>
      <c r="N279" s="463">
        <f>IF('Datu ievade'!$B$98="Jā",IF('Datu ievade'!$B$102='Datu ievade'!$B$104,'Datu ievade'!N129,0),0)</f>
        <v>0</v>
      </c>
      <c r="O279" s="463">
        <f>IF('Datu ievade'!$B$98="Jā",IF('Datu ievade'!$B$102='Datu ievade'!$B$104,'Datu ievade'!O129,0),0)</f>
        <v>0</v>
      </c>
      <c r="P279" s="463">
        <f>IF('Datu ievade'!$B$98="Jā",IF('Datu ievade'!$B$102='Datu ievade'!$B$104,'Datu ievade'!P129,0),0)</f>
        <v>0</v>
      </c>
      <c r="Q279" s="463">
        <f>IF('Datu ievade'!$B$98="Jā",IF('Datu ievade'!$B$102='Datu ievade'!$B$104,'Datu ievade'!Q129,0),0)</f>
        <v>0</v>
      </c>
      <c r="R279" s="463">
        <f>IF('Datu ievade'!$B$98="Jā",IF('Datu ievade'!$B$102='Datu ievade'!$B$104,'Datu ievade'!R129,0),0)</f>
        <v>0</v>
      </c>
      <c r="S279" s="463">
        <f>IF('Datu ievade'!$B$98="Jā",IF('Datu ievade'!$B$102='Datu ievade'!$B$104,'Datu ievade'!S129,0),0)</f>
        <v>0</v>
      </c>
      <c r="T279" s="463">
        <f>IF('Datu ievade'!$B$98="Jā",IF('Datu ievade'!$B$102='Datu ievade'!$B$104,'Datu ievade'!T129,0),0)</f>
        <v>0</v>
      </c>
      <c r="U279" s="463">
        <f>IF('Datu ievade'!$B$98="Jā",IF('Datu ievade'!$B$102='Datu ievade'!$B$104,'Datu ievade'!U129,0),0)</f>
        <v>0</v>
      </c>
      <c r="V279" s="463">
        <f>IF('Datu ievade'!$B$98="Jā",IF('Datu ievade'!$B$102='Datu ievade'!$B$104,'Datu ievade'!V129,0),0)</f>
        <v>0</v>
      </c>
      <c r="W279" s="463">
        <f>IF('Datu ievade'!$B$98="Jā",IF('Datu ievade'!$B$102='Datu ievade'!$B$104,'Datu ievade'!W129,0),0)</f>
        <v>0</v>
      </c>
      <c r="X279" s="463">
        <f>IF('Datu ievade'!$B$98="Jā",IF('Datu ievade'!$B$102='Datu ievade'!$B$104,'Datu ievade'!X129,0),0)</f>
        <v>0</v>
      </c>
      <c r="Y279" s="463">
        <f>IF('Datu ievade'!$B$98="Jā",IF('Datu ievade'!$B$102='Datu ievade'!$B$104,'Datu ievade'!Y129,0),0)</f>
        <v>0</v>
      </c>
      <c r="Z279" s="463">
        <f>IF('Datu ievade'!$B$98="Jā",IF('Datu ievade'!$B$102='Datu ievade'!$B$104,'Datu ievade'!Z129,0),0)</f>
        <v>0</v>
      </c>
      <c r="AA279" s="463">
        <f>IF('Datu ievade'!$B$98="Jā",IF('Datu ievade'!$B$102='Datu ievade'!$B$104,'Datu ievade'!AA129,0),0)</f>
        <v>0</v>
      </c>
      <c r="AB279" s="463">
        <f>IF('Datu ievade'!$B$98="Jā",IF('Datu ievade'!$B$102='Datu ievade'!$B$104,'Datu ievade'!AB129,0),0)</f>
        <v>0</v>
      </c>
      <c r="AC279" s="463">
        <f>IF('Datu ievade'!$B$98="Jā",IF('Datu ievade'!$B$102='Datu ievade'!$B$104,'Datu ievade'!AC129,0),0)</f>
        <v>0</v>
      </c>
      <c r="AD279" s="463">
        <f>IF('Datu ievade'!$B$98="Jā",IF('Datu ievade'!$B$102='Datu ievade'!$B$104,'Datu ievade'!AD129,0),0)</f>
        <v>0</v>
      </c>
      <c r="AE279" s="463">
        <f>IF('Datu ievade'!$B$98="Jā",IF('Datu ievade'!$B$102='Datu ievade'!$B$104,'Datu ievade'!AE129,0),0)</f>
        <v>0</v>
      </c>
      <c r="AF279" s="463">
        <f>IF('Datu ievade'!$B$98="Jā",IF('Datu ievade'!$B$102='Datu ievade'!$B$104,'Datu ievade'!AF129,0),0)</f>
        <v>0</v>
      </c>
      <c r="AG279" s="463">
        <f>IF('Datu ievade'!$B$98="Jā",IF('Datu ievade'!$B$102='Datu ievade'!$B$104,'Datu ievade'!AG129,0),0)</f>
        <v>0</v>
      </c>
      <c r="AH279" s="463">
        <f>IF('Datu ievade'!$B$98="Jā",IF('Datu ievade'!$B$102='Datu ievade'!$B$104,'Datu ievade'!AH129,0),0)</f>
        <v>0</v>
      </c>
      <c r="AI279" s="463"/>
      <c r="AJ279" s="260"/>
      <c r="AK279" s="260"/>
      <c r="AL279" s="260"/>
      <c r="AM279" s="535"/>
      <c r="AN279" s="260"/>
      <c r="AO279" s="283"/>
      <c r="AP279" s="71"/>
      <c r="AQ279" s="283"/>
      <c r="AR279" s="71"/>
      <c r="AS279" s="283"/>
      <c r="AT279" s="260"/>
      <c r="AU279" s="260"/>
      <c r="AV279" s="260"/>
      <c r="AW279" s="260"/>
      <c r="AX279" s="260"/>
      <c r="AY279" s="260"/>
      <c r="AZ279" s="260"/>
      <c r="BA279" s="260"/>
      <c r="BB279" s="260"/>
      <c r="BC279" s="260"/>
      <c r="BD279" s="260"/>
      <c r="BE279" s="260"/>
      <c r="BF279" s="260"/>
      <c r="BG279" s="260"/>
      <c r="BH279" s="260"/>
      <c r="BI279" s="260"/>
      <c r="BJ279" s="260"/>
      <c r="BK279" s="260"/>
      <c r="BL279" s="260"/>
      <c r="BM279" s="260"/>
      <c r="BN279" s="260"/>
      <c r="BO279" s="260"/>
      <c r="BP279" s="260"/>
      <c r="BQ279" s="260"/>
      <c r="BR279" s="260"/>
      <c r="BS279" s="260"/>
      <c r="BT279" s="260"/>
      <c r="BU279" s="260"/>
      <c r="BV279" s="260"/>
      <c r="BW279" s="260"/>
      <c r="BX279" s="260"/>
      <c r="BY279" s="260"/>
      <c r="BZ279" s="260"/>
      <c r="CA279" s="260"/>
      <c r="CB279" s="260"/>
      <c r="CC279" s="260"/>
      <c r="CD279" s="260"/>
      <c r="CE279" s="260"/>
      <c r="CF279" s="260"/>
      <c r="CG279" s="260"/>
      <c r="CH279" s="260"/>
      <c r="CI279" s="260"/>
      <c r="CJ279" s="260"/>
      <c r="CK279" s="260"/>
      <c r="CL279" s="260"/>
      <c r="CM279" s="260"/>
      <c r="CN279" s="260"/>
      <c r="CO279" s="260"/>
      <c r="CP279" s="260"/>
      <c r="CQ279" s="260"/>
      <c r="CR279" s="260"/>
      <c r="CS279" s="260"/>
      <c r="CT279" s="260"/>
      <c r="CU279" s="260"/>
      <c r="CV279" s="260"/>
      <c r="CW279" s="260"/>
      <c r="CX279" s="260"/>
      <c r="CY279" s="260"/>
      <c r="CZ279" s="260"/>
      <c r="DA279" s="260"/>
      <c r="DB279" s="260"/>
      <c r="DC279" s="260"/>
      <c r="DD279" s="260"/>
      <c r="DE279" s="260"/>
      <c r="DF279" s="260"/>
      <c r="DG279" s="260"/>
      <c r="DH279" s="260"/>
      <c r="DI279" s="260"/>
      <c r="DJ279" s="260"/>
      <c r="DK279" s="260"/>
      <c r="DL279" s="260"/>
      <c r="DM279" s="260"/>
      <c r="DN279" s="260"/>
      <c r="DO279" s="260"/>
      <c r="DP279" s="260"/>
      <c r="DQ279" s="260"/>
      <c r="DR279" s="260"/>
      <c r="DS279" s="260"/>
      <c r="DT279" s="260"/>
      <c r="DU279" s="260"/>
      <c r="DV279" s="260"/>
      <c r="DW279" s="260"/>
      <c r="DX279" s="260"/>
      <c r="DY279" s="260"/>
      <c r="DZ279" s="260"/>
      <c r="EA279" s="260"/>
      <c r="EB279" s="260"/>
      <c r="EC279" s="260"/>
      <c r="ED279" s="260"/>
      <c r="EE279" s="260"/>
      <c r="EF279" s="260"/>
      <c r="EG279" s="260"/>
      <c r="EH279" s="260"/>
      <c r="EI279" s="260"/>
      <c r="EJ279" s="260"/>
      <c r="EK279" s="260"/>
      <c r="EL279" s="260"/>
      <c r="EM279" s="260"/>
      <c r="EN279" s="260"/>
      <c r="EO279" s="260"/>
      <c r="EP279" s="260"/>
      <c r="EQ279" s="260"/>
      <c r="ER279" s="260"/>
      <c r="ES279" s="260"/>
      <c r="ET279" s="260"/>
      <c r="EU279" s="260"/>
      <c r="EV279" s="260"/>
      <c r="EW279" s="260"/>
      <c r="EX279" s="260"/>
      <c r="EY279" s="260"/>
      <c r="EZ279" s="260"/>
      <c r="FA279" s="260"/>
      <c r="FB279" s="260"/>
      <c r="FC279" s="260"/>
      <c r="FD279" s="260"/>
      <c r="FE279" s="260"/>
      <c r="FF279" s="260"/>
      <c r="FG279" s="260"/>
      <c r="FH279" s="260"/>
      <c r="FI279" s="260"/>
      <c r="FJ279" s="260"/>
      <c r="FK279" s="260"/>
      <c r="FL279" s="260"/>
      <c r="FM279" s="260"/>
      <c r="FN279" s="260"/>
      <c r="FO279" s="260"/>
      <c r="FP279" s="260"/>
      <c r="FQ279" s="260"/>
      <c r="FR279" s="260"/>
      <c r="FS279" s="260"/>
      <c r="FT279" s="260"/>
      <c r="FU279" s="260"/>
      <c r="FV279" s="260"/>
      <c r="FW279" s="260"/>
      <c r="FX279" s="260"/>
      <c r="FY279" s="260"/>
      <c r="FZ279" s="260"/>
      <c r="GA279" s="260"/>
      <c r="GB279" s="260"/>
      <c r="GC279" s="260"/>
      <c r="GD279" s="260"/>
      <c r="GE279" s="260"/>
      <c r="GF279" s="260"/>
      <c r="GG279" s="260"/>
      <c r="GH279" s="260"/>
      <c r="GI279" s="260"/>
      <c r="GJ279" s="260"/>
      <c r="GK279" s="260"/>
      <c r="GL279" s="260"/>
      <c r="GM279" s="260"/>
      <c r="GN279" s="260"/>
      <c r="GO279" s="260"/>
      <c r="GP279" s="260"/>
      <c r="GQ279" s="260"/>
      <c r="GR279" s="260"/>
      <c r="GS279" s="260"/>
      <c r="GT279" s="260"/>
      <c r="GU279" s="260"/>
      <c r="GV279" s="260"/>
      <c r="GW279" s="260"/>
      <c r="GX279" s="260"/>
      <c r="GY279" s="260"/>
      <c r="GZ279" s="260"/>
      <c r="HA279" s="260"/>
      <c r="HB279" s="260"/>
      <c r="HC279" s="260"/>
      <c r="HD279" s="260"/>
      <c r="HE279" s="260"/>
      <c r="HF279" s="260"/>
      <c r="HG279" s="260"/>
      <c r="HH279" s="260"/>
      <c r="HI279" s="260"/>
      <c r="HJ279" s="260"/>
      <c r="HK279" s="260"/>
      <c r="HL279" s="260"/>
      <c r="HM279" s="260"/>
      <c r="HN279" s="260"/>
      <c r="HO279" s="260"/>
      <c r="HP279" s="260"/>
      <c r="HQ279" s="260"/>
      <c r="HR279" s="260"/>
      <c r="HS279" s="260"/>
      <c r="HT279" s="260"/>
      <c r="HU279" s="260"/>
      <c r="HV279" s="260"/>
      <c r="HW279" s="260"/>
      <c r="HX279" s="260"/>
      <c r="HY279" s="260"/>
      <c r="HZ279" s="260"/>
      <c r="IA279" s="260"/>
      <c r="IB279" s="260"/>
      <c r="IC279" s="260"/>
      <c r="ID279" s="260"/>
      <c r="IE279" s="260"/>
      <c r="IF279" s="260"/>
      <c r="IG279" s="260"/>
      <c r="IH279" s="260"/>
      <c r="II279" s="260"/>
      <c r="IJ279" s="260"/>
      <c r="IK279" s="260"/>
      <c r="IL279" s="260"/>
      <c r="IM279" s="260"/>
      <c r="IN279" s="260"/>
      <c r="IO279" s="260"/>
      <c r="IP279" s="260"/>
      <c r="IQ279" s="260"/>
      <c r="IR279" s="260"/>
      <c r="IS279" s="260"/>
    </row>
    <row r="280" spans="1:253" s="419" customFormat="1" x14ac:dyDescent="0.2">
      <c r="A280" s="464" t="s">
        <v>409</v>
      </c>
      <c r="B280" s="465">
        <f t="shared" ref="B280:AG280" si="98">SUM(B281:B282)</f>
        <v>0</v>
      </c>
      <c r="C280" s="465">
        <f t="shared" si="98"/>
        <v>0</v>
      </c>
      <c r="D280" s="465">
        <f t="shared" si="98"/>
        <v>0</v>
      </c>
      <c r="E280" s="465">
        <f t="shared" si="98"/>
        <v>0</v>
      </c>
      <c r="F280" s="465">
        <f t="shared" si="98"/>
        <v>0</v>
      </c>
      <c r="G280" s="465">
        <f t="shared" si="98"/>
        <v>0</v>
      </c>
      <c r="H280" s="465">
        <f t="shared" si="98"/>
        <v>0</v>
      </c>
      <c r="I280" s="465">
        <f t="shared" si="98"/>
        <v>0</v>
      </c>
      <c r="J280" s="465">
        <f t="shared" si="98"/>
        <v>0</v>
      </c>
      <c r="K280" s="465">
        <f t="shared" si="98"/>
        <v>0</v>
      </c>
      <c r="L280" s="465">
        <f t="shared" si="98"/>
        <v>0</v>
      </c>
      <c r="M280" s="465">
        <f t="shared" si="98"/>
        <v>0</v>
      </c>
      <c r="N280" s="465">
        <f t="shared" si="98"/>
        <v>0</v>
      </c>
      <c r="O280" s="465">
        <f t="shared" si="98"/>
        <v>0</v>
      </c>
      <c r="P280" s="465">
        <f t="shared" si="98"/>
        <v>0</v>
      </c>
      <c r="Q280" s="465">
        <f t="shared" si="98"/>
        <v>0</v>
      </c>
      <c r="R280" s="465">
        <f t="shared" si="98"/>
        <v>0</v>
      </c>
      <c r="S280" s="465">
        <f t="shared" si="98"/>
        <v>0</v>
      </c>
      <c r="T280" s="465">
        <f t="shared" si="98"/>
        <v>0</v>
      </c>
      <c r="U280" s="465">
        <f t="shared" si="98"/>
        <v>0</v>
      </c>
      <c r="V280" s="465">
        <f t="shared" si="98"/>
        <v>0</v>
      </c>
      <c r="W280" s="465">
        <f t="shared" si="98"/>
        <v>0</v>
      </c>
      <c r="X280" s="465">
        <f t="shared" si="98"/>
        <v>0</v>
      </c>
      <c r="Y280" s="465">
        <f t="shared" si="98"/>
        <v>0</v>
      </c>
      <c r="Z280" s="465">
        <f t="shared" si="98"/>
        <v>0</v>
      </c>
      <c r="AA280" s="465">
        <f t="shared" si="98"/>
        <v>0</v>
      </c>
      <c r="AB280" s="465">
        <f t="shared" si="98"/>
        <v>0</v>
      </c>
      <c r="AC280" s="465">
        <f t="shared" si="98"/>
        <v>0</v>
      </c>
      <c r="AD280" s="465">
        <f t="shared" si="98"/>
        <v>0</v>
      </c>
      <c r="AE280" s="465">
        <f t="shared" si="98"/>
        <v>0</v>
      </c>
      <c r="AF280" s="465">
        <f t="shared" si="98"/>
        <v>0</v>
      </c>
      <c r="AG280" s="465">
        <f t="shared" si="98"/>
        <v>0</v>
      </c>
      <c r="AH280" s="465">
        <f>SUM(AH281:AH282)</f>
        <v>0</v>
      </c>
      <c r="AI280" s="465"/>
      <c r="AJ280" s="260"/>
      <c r="AK280" s="260"/>
      <c r="AL280" s="260"/>
      <c r="AM280" s="535"/>
      <c r="AN280" s="260"/>
      <c r="AO280" s="283"/>
      <c r="AP280" s="71"/>
      <c r="AQ280" s="283"/>
      <c r="AR280" s="71"/>
      <c r="AS280" s="283"/>
      <c r="AT280" s="260"/>
      <c r="AU280" s="260"/>
      <c r="AV280" s="260"/>
      <c r="AW280" s="260"/>
      <c r="AX280" s="260"/>
      <c r="AY280" s="260"/>
      <c r="AZ280" s="260"/>
      <c r="BA280" s="260"/>
      <c r="BB280" s="260"/>
      <c r="BC280" s="260"/>
      <c r="BD280" s="260"/>
      <c r="BE280" s="260"/>
      <c r="BF280" s="260"/>
      <c r="BG280" s="260"/>
      <c r="BH280" s="260"/>
      <c r="BI280" s="260"/>
      <c r="BJ280" s="260"/>
      <c r="BK280" s="260"/>
      <c r="BL280" s="260"/>
      <c r="BM280" s="260"/>
      <c r="BN280" s="260"/>
      <c r="BO280" s="260"/>
      <c r="BP280" s="260"/>
      <c r="BQ280" s="260"/>
      <c r="BR280" s="260"/>
      <c r="BS280" s="260"/>
      <c r="BT280" s="260"/>
      <c r="BU280" s="260"/>
      <c r="BV280" s="260"/>
      <c r="BW280" s="260"/>
      <c r="BX280" s="260"/>
      <c r="BY280" s="260"/>
      <c r="BZ280" s="260"/>
      <c r="CA280" s="260"/>
      <c r="CB280" s="260"/>
      <c r="CC280" s="260"/>
      <c r="CD280" s="260"/>
      <c r="CE280" s="260"/>
      <c r="CF280" s="260"/>
      <c r="CG280" s="260"/>
      <c r="CH280" s="260"/>
      <c r="CI280" s="260"/>
      <c r="CJ280" s="260"/>
      <c r="CK280" s="260"/>
      <c r="CL280" s="260"/>
      <c r="CM280" s="260"/>
      <c r="CN280" s="260"/>
      <c r="CO280" s="260"/>
      <c r="CP280" s="260"/>
      <c r="CQ280" s="260"/>
      <c r="CR280" s="260"/>
      <c r="CS280" s="260"/>
      <c r="CT280" s="260"/>
      <c r="CU280" s="260"/>
      <c r="CV280" s="260"/>
      <c r="CW280" s="260"/>
      <c r="CX280" s="260"/>
      <c r="CY280" s="260"/>
      <c r="CZ280" s="260"/>
      <c r="DA280" s="260"/>
      <c r="DB280" s="260"/>
      <c r="DC280" s="260"/>
      <c r="DD280" s="260"/>
      <c r="DE280" s="260"/>
      <c r="DF280" s="260"/>
      <c r="DG280" s="260"/>
      <c r="DH280" s="260"/>
      <c r="DI280" s="260"/>
      <c r="DJ280" s="260"/>
      <c r="DK280" s="260"/>
      <c r="DL280" s="260"/>
      <c r="DM280" s="260"/>
      <c r="DN280" s="260"/>
      <c r="DO280" s="260"/>
      <c r="DP280" s="260"/>
      <c r="DQ280" s="260"/>
      <c r="DR280" s="260"/>
      <c r="DS280" s="260"/>
      <c r="DT280" s="260"/>
      <c r="DU280" s="260"/>
      <c r="DV280" s="260"/>
      <c r="DW280" s="260"/>
      <c r="DX280" s="260"/>
      <c r="DY280" s="260"/>
      <c r="DZ280" s="260"/>
      <c r="EA280" s="260"/>
      <c r="EB280" s="260"/>
      <c r="EC280" s="260"/>
      <c r="ED280" s="260"/>
      <c r="EE280" s="260"/>
      <c r="EF280" s="260"/>
      <c r="EG280" s="260"/>
      <c r="EH280" s="260"/>
      <c r="EI280" s="260"/>
      <c r="EJ280" s="260"/>
      <c r="EK280" s="260"/>
      <c r="EL280" s="260"/>
      <c r="EM280" s="260"/>
      <c r="EN280" s="260"/>
      <c r="EO280" s="260"/>
      <c r="EP280" s="260"/>
      <c r="EQ280" s="260"/>
      <c r="ER280" s="260"/>
      <c r="ES280" s="260"/>
      <c r="ET280" s="260"/>
      <c r="EU280" s="260"/>
      <c r="EV280" s="260"/>
      <c r="EW280" s="260"/>
      <c r="EX280" s="260"/>
      <c r="EY280" s="260"/>
      <c r="EZ280" s="260"/>
      <c r="FA280" s="260"/>
      <c r="FB280" s="260"/>
      <c r="FC280" s="260"/>
      <c r="FD280" s="260"/>
      <c r="FE280" s="260"/>
      <c r="FF280" s="260"/>
      <c r="FG280" s="260"/>
      <c r="FH280" s="260"/>
      <c r="FI280" s="260"/>
      <c r="FJ280" s="260"/>
      <c r="FK280" s="260"/>
      <c r="FL280" s="260"/>
      <c r="FM280" s="260"/>
      <c r="FN280" s="260"/>
      <c r="FO280" s="260"/>
      <c r="FP280" s="260"/>
      <c r="FQ280" s="260"/>
      <c r="FR280" s="260"/>
      <c r="FS280" s="260"/>
      <c r="FT280" s="260"/>
      <c r="FU280" s="260"/>
      <c r="FV280" s="260"/>
      <c r="FW280" s="260"/>
      <c r="FX280" s="260"/>
      <c r="FY280" s="260"/>
      <c r="FZ280" s="260"/>
      <c r="GA280" s="260"/>
      <c r="GB280" s="260"/>
      <c r="GC280" s="260"/>
      <c r="GD280" s="260"/>
      <c r="GE280" s="260"/>
      <c r="GF280" s="260"/>
      <c r="GG280" s="260"/>
      <c r="GH280" s="260"/>
      <c r="GI280" s="260"/>
      <c r="GJ280" s="260"/>
      <c r="GK280" s="260"/>
      <c r="GL280" s="260"/>
      <c r="GM280" s="260"/>
      <c r="GN280" s="260"/>
      <c r="GO280" s="260"/>
      <c r="GP280" s="260"/>
      <c r="GQ280" s="260"/>
      <c r="GR280" s="260"/>
      <c r="GS280" s="260"/>
      <c r="GT280" s="260"/>
      <c r="GU280" s="260"/>
      <c r="GV280" s="260"/>
      <c r="GW280" s="260"/>
      <c r="GX280" s="260"/>
      <c r="GY280" s="260"/>
      <c r="GZ280" s="260"/>
      <c r="HA280" s="260"/>
      <c r="HB280" s="260"/>
      <c r="HC280" s="260"/>
      <c r="HD280" s="260"/>
      <c r="HE280" s="260"/>
      <c r="HF280" s="260"/>
      <c r="HG280" s="260"/>
      <c r="HH280" s="260"/>
      <c r="HI280" s="260"/>
      <c r="HJ280" s="260"/>
      <c r="HK280" s="260"/>
      <c r="HL280" s="260"/>
      <c r="HM280" s="260"/>
      <c r="HN280" s="260"/>
      <c r="HO280" s="260"/>
      <c r="HP280" s="260"/>
      <c r="HQ280" s="260"/>
      <c r="HR280" s="260"/>
      <c r="HS280" s="260"/>
      <c r="HT280" s="260"/>
      <c r="HU280" s="260"/>
      <c r="HV280" s="260"/>
      <c r="HW280" s="260"/>
      <c r="HX280" s="260"/>
      <c r="HY280" s="260"/>
      <c r="HZ280" s="260"/>
      <c r="IA280" s="260"/>
      <c r="IB280" s="260"/>
      <c r="IC280" s="260"/>
      <c r="ID280" s="260"/>
      <c r="IE280" s="260"/>
      <c r="IF280" s="260"/>
      <c r="IG280" s="260"/>
      <c r="IH280" s="260"/>
      <c r="II280" s="260"/>
      <c r="IJ280" s="260"/>
      <c r="IK280" s="260"/>
      <c r="IL280" s="260"/>
      <c r="IM280" s="260"/>
      <c r="IN280" s="260"/>
      <c r="IO280" s="260"/>
      <c r="IP280" s="260"/>
      <c r="IQ280" s="260"/>
      <c r="IR280" s="260"/>
      <c r="IS280" s="260"/>
    </row>
    <row r="281" spans="1:253" s="419" customFormat="1" x14ac:dyDescent="0.2">
      <c r="A281" s="433" t="s">
        <v>410</v>
      </c>
      <c r="B281" s="463">
        <f>B283*$B$278</f>
        <v>0</v>
      </c>
      <c r="C281" s="463">
        <f>B283*$B$278</f>
        <v>0</v>
      </c>
      <c r="D281" s="463">
        <f t="shared" ref="D281:AH281" si="99">C283*$B$278</f>
        <v>0</v>
      </c>
      <c r="E281" s="463">
        <f t="shared" si="99"/>
        <v>0</v>
      </c>
      <c r="F281" s="463">
        <f t="shared" si="99"/>
        <v>0</v>
      </c>
      <c r="G281" s="463">
        <f t="shared" si="99"/>
        <v>0</v>
      </c>
      <c r="H281" s="463">
        <f t="shared" si="99"/>
        <v>0</v>
      </c>
      <c r="I281" s="463">
        <f t="shared" si="99"/>
        <v>0</v>
      </c>
      <c r="J281" s="463">
        <f t="shared" si="99"/>
        <v>0</v>
      </c>
      <c r="K281" s="463">
        <f t="shared" si="99"/>
        <v>0</v>
      </c>
      <c r="L281" s="463">
        <f t="shared" si="99"/>
        <v>0</v>
      </c>
      <c r="M281" s="463">
        <f t="shared" si="99"/>
        <v>0</v>
      </c>
      <c r="N281" s="463">
        <f t="shared" si="99"/>
        <v>0</v>
      </c>
      <c r="O281" s="463">
        <f t="shared" si="99"/>
        <v>0</v>
      </c>
      <c r="P281" s="463">
        <f t="shared" si="99"/>
        <v>0</v>
      </c>
      <c r="Q281" s="463">
        <f t="shared" si="99"/>
        <v>0</v>
      </c>
      <c r="R281" s="463">
        <f t="shared" si="99"/>
        <v>0</v>
      </c>
      <c r="S281" s="463">
        <f t="shared" si="99"/>
        <v>0</v>
      </c>
      <c r="T281" s="463">
        <f t="shared" si="99"/>
        <v>0</v>
      </c>
      <c r="U281" s="463">
        <f t="shared" si="99"/>
        <v>0</v>
      </c>
      <c r="V281" s="463">
        <f t="shared" si="99"/>
        <v>0</v>
      </c>
      <c r="W281" s="463">
        <f t="shared" si="99"/>
        <v>0</v>
      </c>
      <c r="X281" s="463">
        <f t="shared" si="99"/>
        <v>0</v>
      </c>
      <c r="Y281" s="463">
        <f t="shared" si="99"/>
        <v>0</v>
      </c>
      <c r="Z281" s="463">
        <f t="shared" si="99"/>
        <v>0</v>
      </c>
      <c r="AA281" s="463">
        <f t="shared" si="99"/>
        <v>0</v>
      </c>
      <c r="AB281" s="463">
        <f t="shared" si="99"/>
        <v>0</v>
      </c>
      <c r="AC281" s="463">
        <f t="shared" si="99"/>
        <v>0</v>
      </c>
      <c r="AD281" s="463">
        <f t="shared" si="99"/>
        <v>0</v>
      </c>
      <c r="AE281" s="463">
        <f t="shared" si="99"/>
        <v>0</v>
      </c>
      <c r="AF281" s="463">
        <f t="shared" si="99"/>
        <v>0</v>
      </c>
      <c r="AG281" s="463">
        <f t="shared" si="99"/>
        <v>0</v>
      </c>
      <c r="AH281" s="463">
        <f t="shared" si="99"/>
        <v>0</v>
      </c>
      <c r="AI281" s="463"/>
      <c r="AJ281" s="260"/>
      <c r="AK281" s="260"/>
      <c r="AL281" s="260"/>
      <c r="AM281" s="535"/>
      <c r="AN281" s="260"/>
      <c r="AO281" s="283"/>
      <c r="AP281" s="71"/>
      <c r="AQ281" s="283"/>
      <c r="AR281" s="71"/>
      <c r="AS281" s="283"/>
      <c r="AT281" s="260"/>
      <c r="AU281" s="260"/>
      <c r="AV281" s="260"/>
      <c r="AW281" s="260"/>
      <c r="AX281" s="260"/>
      <c r="AY281" s="260"/>
      <c r="AZ281" s="260"/>
      <c r="BA281" s="260"/>
      <c r="BB281" s="260"/>
      <c r="BC281" s="260"/>
      <c r="BD281" s="260"/>
      <c r="BE281" s="260"/>
      <c r="BF281" s="260"/>
      <c r="BG281" s="260"/>
      <c r="BH281" s="260"/>
      <c r="BI281" s="260"/>
      <c r="BJ281" s="260"/>
      <c r="BK281" s="260"/>
      <c r="BL281" s="260"/>
      <c r="BM281" s="260"/>
      <c r="BN281" s="260"/>
      <c r="BO281" s="260"/>
      <c r="BP281" s="260"/>
      <c r="BQ281" s="260"/>
      <c r="BR281" s="260"/>
      <c r="BS281" s="260"/>
      <c r="BT281" s="260"/>
      <c r="BU281" s="260"/>
      <c r="BV281" s="260"/>
      <c r="BW281" s="260"/>
      <c r="BX281" s="260"/>
      <c r="BY281" s="260"/>
      <c r="BZ281" s="260"/>
      <c r="CA281" s="260"/>
      <c r="CB281" s="260"/>
      <c r="CC281" s="260"/>
      <c r="CD281" s="260"/>
      <c r="CE281" s="260"/>
      <c r="CF281" s="260"/>
      <c r="CG281" s="260"/>
      <c r="CH281" s="260"/>
      <c r="CI281" s="260"/>
      <c r="CJ281" s="260"/>
      <c r="CK281" s="260"/>
      <c r="CL281" s="260"/>
      <c r="CM281" s="260"/>
      <c r="CN281" s="260"/>
      <c r="CO281" s="260"/>
      <c r="CP281" s="260"/>
      <c r="CQ281" s="260"/>
      <c r="CR281" s="260"/>
      <c r="CS281" s="260"/>
      <c r="CT281" s="260"/>
      <c r="CU281" s="260"/>
      <c r="CV281" s="260"/>
      <c r="CW281" s="260"/>
      <c r="CX281" s="260"/>
      <c r="CY281" s="260"/>
      <c r="CZ281" s="260"/>
      <c r="DA281" s="260"/>
      <c r="DB281" s="260"/>
      <c r="DC281" s="260"/>
      <c r="DD281" s="260"/>
      <c r="DE281" s="260"/>
      <c r="DF281" s="260"/>
      <c r="DG281" s="260"/>
      <c r="DH281" s="260"/>
      <c r="DI281" s="260"/>
      <c r="DJ281" s="260"/>
      <c r="DK281" s="260"/>
      <c r="DL281" s="260"/>
      <c r="DM281" s="260"/>
      <c r="DN281" s="260"/>
      <c r="DO281" s="260"/>
      <c r="DP281" s="260"/>
      <c r="DQ281" s="260"/>
      <c r="DR281" s="260"/>
      <c r="DS281" s="260"/>
      <c r="DT281" s="260"/>
      <c r="DU281" s="260"/>
      <c r="DV281" s="260"/>
      <c r="DW281" s="260"/>
      <c r="DX281" s="260"/>
      <c r="DY281" s="260"/>
      <c r="DZ281" s="260"/>
      <c r="EA281" s="260"/>
      <c r="EB281" s="260"/>
      <c r="EC281" s="260"/>
      <c r="ED281" s="260"/>
      <c r="EE281" s="260"/>
      <c r="EF281" s="260"/>
      <c r="EG281" s="260"/>
      <c r="EH281" s="260"/>
      <c r="EI281" s="260"/>
      <c r="EJ281" s="260"/>
      <c r="EK281" s="260"/>
      <c r="EL281" s="260"/>
      <c r="EM281" s="260"/>
      <c r="EN281" s="260"/>
      <c r="EO281" s="260"/>
      <c r="EP281" s="260"/>
      <c r="EQ281" s="260"/>
      <c r="ER281" s="260"/>
      <c r="ES281" s="260"/>
      <c r="ET281" s="260"/>
      <c r="EU281" s="260"/>
      <c r="EV281" s="260"/>
      <c r="EW281" s="260"/>
      <c r="EX281" s="260"/>
      <c r="EY281" s="260"/>
      <c r="EZ281" s="260"/>
      <c r="FA281" s="260"/>
      <c r="FB281" s="260"/>
      <c r="FC281" s="260"/>
      <c r="FD281" s="260"/>
      <c r="FE281" s="260"/>
      <c r="FF281" s="260"/>
      <c r="FG281" s="260"/>
      <c r="FH281" s="260"/>
      <c r="FI281" s="260"/>
      <c r="FJ281" s="260"/>
      <c r="FK281" s="260"/>
      <c r="FL281" s="260"/>
      <c r="FM281" s="260"/>
      <c r="FN281" s="260"/>
      <c r="FO281" s="260"/>
      <c r="FP281" s="260"/>
      <c r="FQ281" s="260"/>
      <c r="FR281" s="260"/>
      <c r="FS281" s="260"/>
      <c r="FT281" s="260"/>
      <c r="FU281" s="260"/>
      <c r="FV281" s="260"/>
      <c r="FW281" s="260"/>
      <c r="FX281" s="260"/>
      <c r="FY281" s="260"/>
      <c r="FZ281" s="260"/>
      <c r="GA281" s="260"/>
      <c r="GB281" s="260"/>
      <c r="GC281" s="260"/>
      <c r="GD281" s="260"/>
      <c r="GE281" s="260"/>
      <c r="GF281" s="260"/>
      <c r="GG281" s="260"/>
      <c r="GH281" s="260"/>
      <c r="GI281" s="260"/>
      <c r="GJ281" s="260"/>
      <c r="GK281" s="260"/>
      <c r="GL281" s="260"/>
      <c r="GM281" s="260"/>
      <c r="GN281" s="260"/>
      <c r="GO281" s="260"/>
      <c r="GP281" s="260"/>
      <c r="GQ281" s="260"/>
      <c r="GR281" s="260"/>
      <c r="GS281" s="260"/>
      <c r="GT281" s="260"/>
      <c r="GU281" s="260"/>
      <c r="GV281" s="260"/>
      <c r="GW281" s="260"/>
      <c r="GX281" s="260"/>
      <c r="GY281" s="260"/>
      <c r="GZ281" s="260"/>
      <c r="HA281" s="260"/>
      <c r="HB281" s="260"/>
      <c r="HC281" s="260"/>
      <c r="HD281" s="260"/>
      <c r="HE281" s="260"/>
      <c r="HF281" s="260"/>
      <c r="HG281" s="260"/>
      <c r="HH281" s="260"/>
      <c r="HI281" s="260"/>
      <c r="HJ281" s="260"/>
      <c r="HK281" s="260"/>
      <c r="HL281" s="260"/>
      <c r="HM281" s="260"/>
      <c r="HN281" s="260"/>
      <c r="HO281" s="260"/>
      <c r="HP281" s="260"/>
      <c r="HQ281" s="260"/>
      <c r="HR281" s="260"/>
      <c r="HS281" s="260"/>
      <c r="HT281" s="260"/>
      <c r="HU281" s="260"/>
      <c r="HV281" s="260"/>
      <c r="HW281" s="260"/>
      <c r="HX281" s="260"/>
      <c r="HY281" s="260"/>
      <c r="HZ281" s="260"/>
      <c r="IA281" s="260"/>
      <c r="IB281" s="260"/>
      <c r="IC281" s="260"/>
      <c r="ID281" s="260"/>
      <c r="IE281" s="260"/>
      <c r="IF281" s="260"/>
      <c r="IG281" s="260"/>
      <c r="IH281" s="260"/>
      <c r="II281" s="260"/>
      <c r="IJ281" s="260"/>
      <c r="IK281" s="260"/>
      <c r="IL281" s="260"/>
      <c r="IM281" s="260"/>
      <c r="IN281" s="260"/>
      <c r="IO281" s="260"/>
      <c r="IP281" s="260"/>
      <c r="IQ281" s="260"/>
      <c r="IR281" s="260"/>
      <c r="IS281" s="260"/>
    </row>
    <row r="282" spans="1:253" s="419" customFormat="1" x14ac:dyDescent="0.2">
      <c r="A282" s="433" t="s">
        <v>411</v>
      </c>
      <c r="B282" s="463">
        <v>0</v>
      </c>
      <c r="C282" s="463">
        <v>0</v>
      </c>
      <c r="D282" s="463">
        <v>0</v>
      </c>
      <c r="E282" s="463">
        <v>0</v>
      </c>
      <c r="F282" s="463">
        <f>IF(COUNT($E$282:E282)&gt;'Datu ievade'!$B$95,0,$E$282/'Datu ievade'!$B$95)</f>
        <v>0</v>
      </c>
      <c r="G282" s="463">
        <f>IF(COUNT($E$282:F282)&gt;'Datu ievade'!$B$95,0,$E$282/'Datu ievade'!$B$95)</f>
        <v>0</v>
      </c>
      <c r="H282" s="463">
        <f>IF(COUNT($E$282:G282)&gt;'Datu ievade'!$B$95,0,$E$282/'Datu ievade'!$B$95)</f>
        <v>0</v>
      </c>
      <c r="I282" s="463">
        <f>IF(COUNT($E$282:H282)&gt;'Datu ievade'!$B$95,0,$E$282/'Datu ievade'!$B$95)</f>
        <v>0</v>
      </c>
      <c r="J282" s="463">
        <f>IF(COUNT($E$282:I282)&gt;'Datu ievade'!$B$95,0,$E$282/'Datu ievade'!$B$95)</f>
        <v>0</v>
      </c>
      <c r="K282" s="463">
        <f>IF(COUNT($E$282:J282)&gt;'Datu ievade'!$B$95,0,$E$282/'Datu ievade'!$B$95)</f>
        <v>0</v>
      </c>
      <c r="L282" s="463">
        <f>IF(COUNT($E$282:K282)&gt;'Datu ievade'!$B$95,0,$E$282/'Datu ievade'!$B$95)</f>
        <v>0</v>
      </c>
      <c r="M282" s="463">
        <f>IF(COUNT($E$282:L282)&gt;'Datu ievade'!$B$95,0,$E$282/'Datu ievade'!$B$95)</f>
        <v>0</v>
      </c>
      <c r="N282" s="463">
        <f>IF(COUNT($E$282:M282)&gt;'Datu ievade'!$B$95,0,$E$282/'Datu ievade'!$B$95)</f>
        <v>0</v>
      </c>
      <c r="O282" s="463">
        <f>IF(COUNT($E$282:N282)&gt;'Datu ievade'!$B$95,0,$E$282/'Datu ievade'!$B$95)</f>
        <v>0</v>
      </c>
      <c r="P282" s="463">
        <f>IF(COUNT($E$282:O282)&gt;'Datu ievade'!$B$95,0,$E$282/'Datu ievade'!$B$95)</f>
        <v>0</v>
      </c>
      <c r="Q282" s="463">
        <f>IF(COUNT($E$282:P282)&gt;'Datu ievade'!$B$95,0,$E$282/'Datu ievade'!$B$95)</f>
        <v>0</v>
      </c>
      <c r="R282" s="463">
        <f>IF(COUNT($E$282:Q282)&gt;'Datu ievade'!$B$95,0,$E$282/'Datu ievade'!$B$95)</f>
        <v>0</v>
      </c>
      <c r="S282" s="463">
        <f>IF(COUNT($E$282:R282)&gt;'Datu ievade'!$B$95,0,$E$282/'Datu ievade'!$B$95)</f>
        <v>0</v>
      </c>
      <c r="T282" s="463">
        <f>IF(COUNT($E$282:S282)&gt;'Datu ievade'!$B$95,0,$E$282/'Datu ievade'!$B$95)</f>
        <v>0</v>
      </c>
      <c r="U282" s="463">
        <f>IF(COUNT($E$282:T282)&gt;'Datu ievade'!$B$95,0,$E$282/'Datu ievade'!$B$95)</f>
        <v>0</v>
      </c>
      <c r="V282" s="463">
        <f>IF(COUNT($E$282:U282)&gt;'Datu ievade'!$B$95,0,$E$282/'Datu ievade'!$B$95)</f>
        <v>0</v>
      </c>
      <c r="W282" s="463">
        <f>IF(COUNT($E$282:V282)&gt;'Datu ievade'!$B$95,0,$E$282/'Datu ievade'!$B$95)</f>
        <v>0</v>
      </c>
      <c r="X282" s="463">
        <f>IF(COUNT($E$282:W282)&gt;'Datu ievade'!$B$95,0,$E$282/'Datu ievade'!$B$95)</f>
        <v>0</v>
      </c>
      <c r="Y282" s="463">
        <f>IF(COUNT($E$282:X282)&gt;'Datu ievade'!$B$95,0,$E$282/'Datu ievade'!$B$95)</f>
        <v>0</v>
      </c>
      <c r="Z282" s="463">
        <f>IF(COUNT($E$282:Y282)&gt;'Datu ievade'!$B$95,0,$E$282/'Datu ievade'!$B$95)</f>
        <v>0</v>
      </c>
      <c r="AA282" s="463">
        <f>IF(COUNT($E$282:Z282)&gt;'Datu ievade'!$B$95,0,$E$282/'Datu ievade'!$B$95)</f>
        <v>0</v>
      </c>
      <c r="AB282" s="463">
        <f>IF(COUNT($E$282:AA282)&gt;'Datu ievade'!$B$95,0,$E$282/'Datu ievade'!$B$95)</f>
        <v>0</v>
      </c>
      <c r="AC282" s="463">
        <f>IF(COUNT($E$282:AB282)&gt;'Datu ievade'!$B$95,0,$E$282/'Datu ievade'!$B$95)</f>
        <v>0</v>
      </c>
      <c r="AD282" s="463">
        <f>IF(COUNT($E$282:AC282)&gt;'Datu ievade'!$B$95,0,$E$282/'Datu ievade'!$B$95)</f>
        <v>0</v>
      </c>
      <c r="AE282" s="463">
        <f>IF(COUNT($E$282:AD282)&gt;'Datu ievade'!$B$95,0,$E$282/'Datu ievade'!$B$95)</f>
        <v>0</v>
      </c>
      <c r="AF282" s="463">
        <f>IF(COUNT($E$282:AE282)&gt;'Datu ievade'!$B$95,0,$E$282/'Datu ievade'!$B$95)</f>
        <v>0</v>
      </c>
      <c r="AG282" s="463">
        <f>IF(COUNT($E$282:AF282)&gt;'Datu ievade'!$B$95,0,$E$282/'Datu ievade'!$B$95)</f>
        <v>0</v>
      </c>
      <c r="AH282" s="463">
        <f>IF(COUNT($E$282:AG282)&gt;'Datu ievade'!$B$95,0,$E$282/'Datu ievade'!$B$95)</f>
        <v>0</v>
      </c>
      <c r="AI282" s="463"/>
      <c r="AJ282" s="260"/>
      <c r="AK282" s="260"/>
      <c r="AL282" s="260"/>
      <c r="AM282" s="535"/>
      <c r="AN282" s="260"/>
      <c r="AO282" s="283"/>
      <c r="AP282" s="71"/>
      <c r="AQ282" s="283"/>
      <c r="AR282" s="71"/>
      <c r="AS282" s="283"/>
      <c r="AT282" s="260"/>
      <c r="AU282" s="260"/>
      <c r="AV282" s="260"/>
      <c r="AW282" s="260"/>
      <c r="AX282" s="260"/>
      <c r="AY282" s="260"/>
      <c r="AZ282" s="260"/>
      <c r="BA282" s="260"/>
      <c r="BB282" s="260"/>
      <c r="BC282" s="260"/>
      <c r="BD282" s="260"/>
      <c r="BE282" s="260"/>
      <c r="BF282" s="260"/>
      <c r="BG282" s="260"/>
      <c r="BH282" s="260"/>
      <c r="BI282" s="260"/>
      <c r="BJ282" s="260"/>
      <c r="BK282" s="260"/>
      <c r="BL282" s="260"/>
      <c r="BM282" s="260"/>
      <c r="BN282" s="260"/>
      <c r="BO282" s="260"/>
      <c r="BP282" s="260"/>
      <c r="BQ282" s="260"/>
      <c r="BR282" s="260"/>
      <c r="BS282" s="260"/>
      <c r="BT282" s="260"/>
      <c r="BU282" s="260"/>
      <c r="BV282" s="260"/>
      <c r="BW282" s="260"/>
      <c r="BX282" s="260"/>
      <c r="BY282" s="260"/>
      <c r="BZ282" s="260"/>
      <c r="CA282" s="260"/>
      <c r="CB282" s="260"/>
      <c r="CC282" s="260"/>
      <c r="CD282" s="260"/>
      <c r="CE282" s="260"/>
      <c r="CF282" s="260"/>
      <c r="CG282" s="260"/>
      <c r="CH282" s="260"/>
      <c r="CI282" s="260"/>
      <c r="CJ282" s="260"/>
      <c r="CK282" s="260"/>
      <c r="CL282" s="260"/>
      <c r="CM282" s="260"/>
      <c r="CN282" s="260"/>
      <c r="CO282" s="260"/>
      <c r="CP282" s="260"/>
      <c r="CQ282" s="260"/>
      <c r="CR282" s="260"/>
      <c r="CS282" s="260"/>
      <c r="CT282" s="260"/>
      <c r="CU282" s="260"/>
      <c r="CV282" s="260"/>
      <c r="CW282" s="260"/>
      <c r="CX282" s="260"/>
      <c r="CY282" s="260"/>
      <c r="CZ282" s="260"/>
      <c r="DA282" s="260"/>
      <c r="DB282" s="260"/>
      <c r="DC282" s="260"/>
      <c r="DD282" s="260"/>
      <c r="DE282" s="260"/>
      <c r="DF282" s="260"/>
      <c r="DG282" s="260"/>
      <c r="DH282" s="260"/>
      <c r="DI282" s="260"/>
      <c r="DJ282" s="260"/>
      <c r="DK282" s="260"/>
      <c r="DL282" s="260"/>
      <c r="DM282" s="260"/>
      <c r="DN282" s="260"/>
      <c r="DO282" s="260"/>
      <c r="DP282" s="260"/>
      <c r="DQ282" s="260"/>
      <c r="DR282" s="260"/>
      <c r="DS282" s="260"/>
      <c r="DT282" s="260"/>
      <c r="DU282" s="260"/>
      <c r="DV282" s="260"/>
      <c r="DW282" s="260"/>
      <c r="DX282" s="260"/>
      <c r="DY282" s="260"/>
      <c r="DZ282" s="260"/>
      <c r="EA282" s="260"/>
      <c r="EB282" s="260"/>
      <c r="EC282" s="260"/>
      <c r="ED282" s="260"/>
      <c r="EE282" s="260"/>
      <c r="EF282" s="260"/>
      <c r="EG282" s="260"/>
      <c r="EH282" s="260"/>
      <c r="EI282" s="260"/>
      <c r="EJ282" s="260"/>
      <c r="EK282" s="260"/>
      <c r="EL282" s="260"/>
      <c r="EM282" s="260"/>
      <c r="EN282" s="260"/>
      <c r="EO282" s="260"/>
      <c r="EP282" s="260"/>
      <c r="EQ282" s="260"/>
      <c r="ER282" s="260"/>
      <c r="ES282" s="260"/>
      <c r="ET282" s="260"/>
      <c r="EU282" s="260"/>
      <c r="EV282" s="260"/>
      <c r="EW282" s="260"/>
      <c r="EX282" s="260"/>
      <c r="EY282" s="260"/>
      <c r="EZ282" s="260"/>
      <c r="FA282" s="260"/>
      <c r="FB282" s="260"/>
      <c r="FC282" s="260"/>
      <c r="FD282" s="260"/>
      <c r="FE282" s="260"/>
      <c r="FF282" s="260"/>
      <c r="FG282" s="260"/>
      <c r="FH282" s="260"/>
      <c r="FI282" s="260"/>
      <c r="FJ282" s="260"/>
      <c r="FK282" s="260"/>
      <c r="FL282" s="260"/>
      <c r="FM282" s="260"/>
      <c r="FN282" s="260"/>
      <c r="FO282" s="260"/>
      <c r="FP282" s="260"/>
      <c r="FQ282" s="260"/>
      <c r="FR282" s="260"/>
      <c r="FS282" s="260"/>
      <c r="FT282" s="260"/>
      <c r="FU282" s="260"/>
      <c r="FV282" s="260"/>
      <c r="FW282" s="260"/>
      <c r="FX282" s="260"/>
      <c r="FY282" s="260"/>
      <c r="FZ282" s="260"/>
      <c r="GA282" s="260"/>
      <c r="GB282" s="260"/>
      <c r="GC282" s="260"/>
      <c r="GD282" s="260"/>
      <c r="GE282" s="260"/>
      <c r="GF282" s="260"/>
      <c r="GG282" s="260"/>
      <c r="GH282" s="260"/>
      <c r="GI282" s="260"/>
      <c r="GJ282" s="260"/>
      <c r="GK282" s="260"/>
      <c r="GL282" s="260"/>
      <c r="GM282" s="260"/>
      <c r="GN282" s="260"/>
      <c r="GO282" s="260"/>
      <c r="GP282" s="260"/>
      <c r="GQ282" s="260"/>
      <c r="GR282" s="260"/>
      <c r="GS282" s="260"/>
      <c r="GT282" s="260"/>
      <c r="GU282" s="260"/>
      <c r="GV282" s="260"/>
      <c r="GW282" s="260"/>
      <c r="GX282" s="260"/>
      <c r="GY282" s="260"/>
      <c r="GZ282" s="260"/>
      <c r="HA282" s="260"/>
      <c r="HB282" s="260"/>
      <c r="HC282" s="260"/>
      <c r="HD282" s="260"/>
      <c r="HE282" s="260"/>
      <c r="HF282" s="260"/>
      <c r="HG282" s="260"/>
      <c r="HH282" s="260"/>
      <c r="HI282" s="260"/>
      <c r="HJ282" s="260"/>
      <c r="HK282" s="260"/>
      <c r="HL282" s="260"/>
      <c r="HM282" s="260"/>
      <c r="HN282" s="260"/>
      <c r="HO282" s="260"/>
      <c r="HP282" s="260"/>
      <c r="HQ282" s="260"/>
      <c r="HR282" s="260"/>
      <c r="HS282" s="260"/>
      <c r="HT282" s="260"/>
      <c r="HU282" s="260"/>
      <c r="HV282" s="260"/>
      <c r="HW282" s="260"/>
      <c r="HX282" s="260"/>
      <c r="HY282" s="260"/>
      <c r="HZ282" s="260"/>
      <c r="IA282" s="260"/>
      <c r="IB282" s="260"/>
      <c r="IC282" s="260"/>
      <c r="ID282" s="260"/>
      <c r="IE282" s="260"/>
      <c r="IF282" s="260"/>
      <c r="IG282" s="260"/>
      <c r="IH282" s="260"/>
      <c r="II282" s="260"/>
      <c r="IJ282" s="260"/>
      <c r="IK282" s="260"/>
      <c r="IL282" s="260"/>
      <c r="IM282" s="260"/>
      <c r="IN282" s="260"/>
      <c r="IO282" s="260"/>
      <c r="IP282" s="260"/>
      <c r="IQ282" s="260"/>
      <c r="IR282" s="260"/>
      <c r="IS282" s="260"/>
    </row>
    <row r="283" spans="1:253" s="419" customFormat="1" x14ac:dyDescent="0.2">
      <c r="A283" s="464" t="s">
        <v>412</v>
      </c>
      <c r="B283" s="516">
        <f>B279</f>
        <v>0</v>
      </c>
      <c r="C283" s="465">
        <f t="shared" ref="C283:AH283" si="100">(B283+C279)-C282</f>
        <v>0</v>
      </c>
      <c r="D283" s="465">
        <f t="shared" si="100"/>
        <v>0</v>
      </c>
      <c r="E283" s="465">
        <f t="shared" si="100"/>
        <v>0</v>
      </c>
      <c r="F283" s="465">
        <f t="shared" si="100"/>
        <v>0</v>
      </c>
      <c r="G283" s="465">
        <f t="shared" si="100"/>
        <v>0</v>
      </c>
      <c r="H283" s="465">
        <f t="shared" si="100"/>
        <v>0</v>
      </c>
      <c r="I283" s="465">
        <f t="shared" si="100"/>
        <v>0</v>
      </c>
      <c r="J283" s="465">
        <f t="shared" si="100"/>
        <v>0</v>
      </c>
      <c r="K283" s="465">
        <f t="shared" si="100"/>
        <v>0</v>
      </c>
      <c r="L283" s="465">
        <f t="shared" si="100"/>
        <v>0</v>
      </c>
      <c r="M283" s="465">
        <f t="shared" si="100"/>
        <v>0</v>
      </c>
      <c r="N283" s="465">
        <f t="shared" si="100"/>
        <v>0</v>
      </c>
      <c r="O283" s="465">
        <f t="shared" si="100"/>
        <v>0</v>
      </c>
      <c r="P283" s="465">
        <f t="shared" si="100"/>
        <v>0</v>
      </c>
      <c r="Q283" s="465">
        <f t="shared" si="100"/>
        <v>0</v>
      </c>
      <c r="R283" s="465">
        <f t="shared" si="100"/>
        <v>0</v>
      </c>
      <c r="S283" s="465">
        <f t="shared" si="100"/>
        <v>0</v>
      </c>
      <c r="T283" s="465">
        <f t="shared" si="100"/>
        <v>0</v>
      </c>
      <c r="U283" s="465">
        <f t="shared" si="100"/>
        <v>0</v>
      </c>
      <c r="V283" s="465">
        <f t="shared" si="100"/>
        <v>0</v>
      </c>
      <c r="W283" s="465">
        <f t="shared" si="100"/>
        <v>0</v>
      </c>
      <c r="X283" s="465">
        <f t="shared" si="100"/>
        <v>0</v>
      </c>
      <c r="Y283" s="465">
        <f t="shared" si="100"/>
        <v>0</v>
      </c>
      <c r="Z283" s="465">
        <f t="shared" si="100"/>
        <v>0</v>
      </c>
      <c r="AA283" s="465">
        <f t="shared" si="100"/>
        <v>0</v>
      </c>
      <c r="AB283" s="465">
        <f t="shared" si="100"/>
        <v>0</v>
      </c>
      <c r="AC283" s="465">
        <f t="shared" si="100"/>
        <v>0</v>
      </c>
      <c r="AD283" s="465">
        <f t="shared" si="100"/>
        <v>0</v>
      </c>
      <c r="AE283" s="465">
        <f t="shared" si="100"/>
        <v>0</v>
      </c>
      <c r="AF283" s="465">
        <f t="shared" si="100"/>
        <v>0</v>
      </c>
      <c r="AG283" s="465">
        <f t="shared" si="100"/>
        <v>0</v>
      </c>
      <c r="AH283" s="465">
        <f t="shared" si="100"/>
        <v>0</v>
      </c>
      <c r="AI283" s="465"/>
      <c r="AJ283" s="260"/>
      <c r="AK283" s="260"/>
      <c r="AL283" s="260"/>
      <c r="AM283" s="535"/>
      <c r="AN283" s="260"/>
      <c r="AO283" s="283"/>
      <c r="AP283" s="71"/>
      <c r="AQ283" s="283"/>
      <c r="AR283" s="71"/>
      <c r="AS283" s="283"/>
      <c r="AT283" s="260"/>
      <c r="AU283" s="260"/>
      <c r="AV283" s="260"/>
      <c r="AW283" s="260"/>
      <c r="AX283" s="260"/>
      <c r="AY283" s="260"/>
      <c r="AZ283" s="260"/>
      <c r="BA283" s="260"/>
      <c r="BB283" s="260"/>
      <c r="BC283" s="260"/>
      <c r="BD283" s="260"/>
      <c r="BE283" s="260"/>
      <c r="BF283" s="260"/>
      <c r="BG283" s="260"/>
      <c r="BH283" s="260"/>
      <c r="BI283" s="260"/>
      <c r="BJ283" s="260"/>
      <c r="BK283" s="260"/>
      <c r="BL283" s="260"/>
      <c r="BM283" s="260"/>
      <c r="BN283" s="260"/>
      <c r="BO283" s="260"/>
      <c r="BP283" s="260"/>
      <c r="BQ283" s="260"/>
      <c r="BR283" s="260"/>
      <c r="BS283" s="260"/>
      <c r="BT283" s="260"/>
      <c r="BU283" s="260"/>
      <c r="BV283" s="260"/>
      <c r="BW283" s="260"/>
      <c r="BX283" s="260"/>
      <c r="BY283" s="260"/>
      <c r="BZ283" s="260"/>
      <c r="CA283" s="260"/>
      <c r="CB283" s="260"/>
      <c r="CC283" s="260"/>
      <c r="CD283" s="260"/>
      <c r="CE283" s="260"/>
      <c r="CF283" s="260"/>
      <c r="CG283" s="260"/>
      <c r="CH283" s="260"/>
      <c r="CI283" s="260"/>
      <c r="CJ283" s="260"/>
      <c r="CK283" s="260"/>
      <c r="CL283" s="260"/>
      <c r="CM283" s="260"/>
      <c r="CN283" s="260"/>
      <c r="CO283" s="260"/>
      <c r="CP283" s="260"/>
      <c r="CQ283" s="260"/>
      <c r="CR283" s="260"/>
      <c r="CS283" s="260"/>
      <c r="CT283" s="260"/>
      <c r="CU283" s="260"/>
      <c r="CV283" s="260"/>
      <c r="CW283" s="260"/>
      <c r="CX283" s="260"/>
      <c r="CY283" s="260"/>
      <c r="CZ283" s="260"/>
      <c r="DA283" s="260"/>
      <c r="DB283" s="260"/>
      <c r="DC283" s="260"/>
      <c r="DD283" s="260"/>
      <c r="DE283" s="260"/>
      <c r="DF283" s="260"/>
      <c r="DG283" s="260"/>
      <c r="DH283" s="260"/>
      <c r="DI283" s="260"/>
      <c r="DJ283" s="260"/>
      <c r="DK283" s="260"/>
      <c r="DL283" s="260"/>
      <c r="DM283" s="260"/>
      <c r="DN283" s="260"/>
      <c r="DO283" s="260"/>
      <c r="DP283" s="260"/>
      <c r="DQ283" s="260"/>
      <c r="DR283" s="260"/>
      <c r="DS283" s="260"/>
      <c r="DT283" s="260"/>
      <c r="DU283" s="260"/>
      <c r="DV283" s="260"/>
      <c r="DW283" s="260"/>
      <c r="DX283" s="260"/>
      <c r="DY283" s="260"/>
      <c r="DZ283" s="260"/>
      <c r="EA283" s="260"/>
      <c r="EB283" s="260"/>
      <c r="EC283" s="260"/>
      <c r="ED283" s="260"/>
      <c r="EE283" s="260"/>
      <c r="EF283" s="260"/>
      <c r="EG283" s="260"/>
      <c r="EH283" s="260"/>
      <c r="EI283" s="260"/>
      <c r="EJ283" s="260"/>
      <c r="EK283" s="260"/>
      <c r="EL283" s="260"/>
      <c r="EM283" s="260"/>
      <c r="EN283" s="260"/>
      <c r="EO283" s="260"/>
      <c r="EP283" s="260"/>
      <c r="EQ283" s="260"/>
      <c r="ER283" s="260"/>
      <c r="ES283" s="260"/>
      <c r="ET283" s="260"/>
      <c r="EU283" s="260"/>
      <c r="EV283" s="260"/>
      <c r="EW283" s="260"/>
      <c r="EX283" s="260"/>
      <c r="EY283" s="260"/>
      <c r="EZ283" s="260"/>
      <c r="FA283" s="260"/>
      <c r="FB283" s="260"/>
      <c r="FC283" s="260"/>
      <c r="FD283" s="260"/>
      <c r="FE283" s="260"/>
      <c r="FF283" s="260"/>
      <c r="FG283" s="260"/>
      <c r="FH283" s="260"/>
      <c r="FI283" s="260"/>
      <c r="FJ283" s="260"/>
      <c r="FK283" s="260"/>
      <c r="FL283" s="260"/>
      <c r="FM283" s="260"/>
      <c r="FN283" s="260"/>
      <c r="FO283" s="260"/>
      <c r="FP283" s="260"/>
      <c r="FQ283" s="260"/>
      <c r="FR283" s="260"/>
      <c r="FS283" s="260"/>
      <c r="FT283" s="260"/>
      <c r="FU283" s="260"/>
      <c r="FV283" s="260"/>
      <c r="FW283" s="260"/>
      <c r="FX283" s="260"/>
      <c r="FY283" s="260"/>
      <c r="FZ283" s="260"/>
      <c r="GA283" s="260"/>
      <c r="GB283" s="260"/>
      <c r="GC283" s="260"/>
      <c r="GD283" s="260"/>
      <c r="GE283" s="260"/>
      <c r="GF283" s="260"/>
      <c r="GG283" s="260"/>
      <c r="GH283" s="260"/>
      <c r="GI283" s="260"/>
      <c r="GJ283" s="260"/>
      <c r="GK283" s="260"/>
      <c r="GL283" s="260"/>
      <c r="GM283" s="260"/>
      <c r="GN283" s="260"/>
      <c r="GO283" s="260"/>
      <c r="GP283" s="260"/>
      <c r="GQ283" s="260"/>
      <c r="GR283" s="260"/>
      <c r="GS283" s="260"/>
      <c r="GT283" s="260"/>
      <c r="GU283" s="260"/>
      <c r="GV283" s="260"/>
      <c r="GW283" s="260"/>
      <c r="GX283" s="260"/>
      <c r="GY283" s="260"/>
      <c r="GZ283" s="260"/>
      <c r="HA283" s="260"/>
      <c r="HB283" s="260"/>
      <c r="HC283" s="260"/>
      <c r="HD283" s="260"/>
      <c r="HE283" s="260"/>
      <c r="HF283" s="260"/>
      <c r="HG283" s="260"/>
      <c r="HH283" s="260"/>
      <c r="HI283" s="260"/>
      <c r="HJ283" s="260"/>
      <c r="HK283" s="260"/>
      <c r="HL283" s="260"/>
      <c r="HM283" s="260"/>
      <c r="HN283" s="260"/>
      <c r="HO283" s="260"/>
      <c r="HP283" s="260"/>
      <c r="HQ283" s="260"/>
      <c r="HR283" s="260"/>
      <c r="HS283" s="260"/>
      <c r="HT283" s="260"/>
      <c r="HU283" s="260"/>
      <c r="HV283" s="260"/>
      <c r="HW283" s="260"/>
      <c r="HX283" s="260"/>
      <c r="HY283" s="260"/>
      <c r="HZ283" s="260"/>
      <c r="IA283" s="260"/>
      <c r="IB283" s="260"/>
      <c r="IC283" s="260"/>
      <c r="ID283" s="260"/>
      <c r="IE283" s="260"/>
      <c r="IF283" s="260"/>
      <c r="IG283" s="260"/>
      <c r="IH283" s="260"/>
      <c r="II283" s="260"/>
      <c r="IJ283" s="260"/>
      <c r="IK283" s="260"/>
      <c r="IL283" s="260"/>
      <c r="IM283" s="260"/>
      <c r="IN283" s="260"/>
      <c r="IO283" s="260"/>
      <c r="IP283" s="260"/>
      <c r="IQ283" s="260"/>
      <c r="IR283" s="260"/>
      <c r="IS283" s="260"/>
    </row>
    <row r="284" spans="1:253" s="419" customFormat="1" ht="45.75" customHeight="1" x14ac:dyDescent="0.2">
      <c r="A284" s="512"/>
      <c r="B284" s="260"/>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60"/>
      <c r="AJ284" s="260"/>
      <c r="AK284" s="260"/>
      <c r="AL284" s="260"/>
      <c r="AM284" s="535"/>
      <c r="AN284" s="260"/>
      <c r="AO284" s="283"/>
      <c r="AP284" s="71"/>
      <c r="AQ284" s="283"/>
      <c r="AR284" s="71"/>
      <c r="AS284" s="283"/>
      <c r="AT284" s="260"/>
      <c r="AU284" s="260"/>
      <c r="AV284" s="260"/>
      <c r="AW284" s="260"/>
      <c r="AX284" s="260"/>
      <c r="AY284" s="260"/>
      <c r="AZ284" s="260"/>
      <c r="BA284" s="260"/>
      <c r="BB284" s="260"/>
      <c r="BC284" s="260"/>
      <c r="BD284" s="260"/>
      <c r="BE284" s="260"/>
      <c r="BF284" s="260"/>
      <c r="BG284" s="260"/>
      <c r="BH284" s="260"/>
      <c r="BI284" s="260"/>
      <c r="BJ284" s="260"/>
      <c r="BK284" s="260"/>
      <c r="BL284" s="260"/>
      <c r="BM284" s="260"/>
      <c r="BN284" s="260"/>
      <c r="BO284" s="260"/>
      <c r="BP284" s="260"/>
      <c r="BQ284" s="260"/>
      <c r="BR284" s="260"/>
      <c r="BS284" s="260"/>
      <c r="BT284" s="260"/>
      <c r="BU284" s="260"/>
      <c r="BV284" s="260"/>
      <c r="BW284" s="260"/>
      <c r="BX284" s="260"/>
      <c r="BY284" s="260"/>
      <c r="BZ284" s="260"/>
      <c r="CA284" s="260"/>
      <c r="CB284" s="260"/>
      <c r="CC284" s="260"/>
      <c r="CD284" s="260"/>
      <c r="CE284" s="260"/>
      <c r="CF284" s="260"/>
      <c r="CG284" s="260"/>
      <c r="CH284" s="260"/>
      <c r="CI284" s="260"/>
      <c r="CJ284" s="260"/>
      <c r="CK284" s="260"/>
      <c r="CL284" s="260"/>
      <c r="CM284" s="260"/>
      <c r="CN284" s="260"/>
      <c r="CO284" s="260"/>
      <c r="CP284" s="260"/>
      <c r="CQ284" s="260"/>
      <c r="CR284" s="260"/>
      <c r="CS284" s="260"/>
      <c r="CT284" s="260"/>
      <c r="CU284" s="260"/>
      <c r="CV284" s="260"/>
      <c r="CW284" s="260"/>
      <c r="CX284" s="260"/>
      <c r="CY284" s="260"/>
      <c r="CZ284" s="260"/>
      <c r="DA284" s="260"/>
      <c r="DB284" s="260"/>
      <c r="DC284" s="260"/>
      <c r="DD284" s="260"/>
      <c r="DE284" s="260"/>
      <c r="DF284" s="260"/>
      <c r="DG284" s="260"/>
      <c r="DH284" s="260"/>
      <c r="DI284" s="260"/>
      <c r="DJ284" s="260"/>
      <c r="DK284" s="260"/>
      <c r="DL284" s="260"/>
      <c r="DM284" s="260"/>
      <c r="DN284" s="260"/>
      <c r="DO284" s="260"/>
      <c r="DP284" s="260"/>
      <c r="DQ284" s="260"/>
      <c r="DR284" s="260"/>
      <c r="DS284" s="260"/>
      <c r="DT284" s="260"/>
      <c r="DU284" s="260"/>
      <c r="DV284" s="260"/>
      <c r="DW284" s="260"/>
      <c r="DX284" s="260"/>
      <c r="DY284" s="260"/>
      <c r="DZ284" s="260"/>
      <c r="EA284" s="260"/>
      <c r="EB284" s="260"/>
      <c r="EC284" s="260"/>
      <c r="ED284" s="260"/>
      <c r="EE284" s="260"/>
      <c r="EF284" s="260"/>
      <c r="EG284" s="260"/>
      <c r="EH284" s="260"/>
      <c r="EI284" s="260"/>
      <c r="EJ284" s="260"/>
      <c r="EK284" s="260"/>
      <c r="EL284" s="260"/>
      <c r="EM284" s="260"/>
      <c r="EN284" s="260"/>
      <c r="EO284" s="260"/>
      <c r="EP284" s="260"/>
      <c r="EQ284" s="260"/>
      <c r="ER284" s="260"/>
      <c r="ES284" s="260"/>
      <c r="ET284" s="260"/>
      <c r="EU284" s="260"/>
      <c r="EV284" s="260"/>
      <c r="EW284" s="260"/>
      <c r="EX284" s="260"/>
      <c r="EY284" s="260"/>
      <c r="EZ284" s="260"/>
      <c r="FA284" s="260"/>
      <c r="FB284" s="260"/>
      <c r="FC284" s="260"/>
      <c r="FD284" s="260"/>
      <c r="FE284" s="260"/>
      <c r="FF284" s="260"/>
      <c r="FG284" s="260"/>
      <c r="FH284" s="260"/>
      <c r="FI284" s="260"/>
      <c r="FJ284" s="260"/>
      <c r="FK284" s="260"/>
      <c r="FL284" s="260"/>
      <c r="FM284" s="260"/>
      <c r="FN284" s="260"/>
      <c r="FO284" s="260"/>
      <c r="FP284" s="260"/>
      <c r="FQ284" s="260"/>
      <c r="FR284" s="260"/>
      <c r="FS284" s="260"/>
      <c r="FT284" s="260"/>
      <c r="FU284" s="260"/>
      <c r="FV284" s="260"/>
      <c r="FW284" s="260"/>
      <c r="FX284" s="260"/>
      <c r="FY284" s="260"/>
      <c r="FZ284" s="260"/>
      <c r="GA284" s="260"/>
      <c r="GB284" s="260"/>
      <c r="GC284" s="260"/>
      <c r="GD284" s="260"/>
      <c r="GE284" s="260"/>
      <c r="GF284" s="260"/>
      <c r="GG284" s="260"/>
      <c r="GH284" s="260"/>
      <c r="GI284" s="260"/>
      <c r="GJ284" s="260"/>
      <c r="GK284" s="260"/>
      <c r="GL284" s="260"/>
      <c r="GM284" s="260"/>
      <c r="GN284" s="260"/>
      <c r="GO284" s="260"/>
      <c r="GP284" s="260"/>
      <c r="GQ284" s="260"/>
      <c r="GR284" s="260"/>
      <c r="GS284" s="260"/>
      <c r="GT284" s="260"/>
      <c r="GU284" s="260"/>
      <c r="GV284" s="260"/>
      <c r="GW284" s="260"/>
      <c r="GX284" s="260"/>
      <c r="GY284" s="260"/>
      <c r="GZ284" s="260"/>
      <c r="HA284" s="260"/>
      <c r="HB284" s="260"/>
      <c r="HC284" s="260"/>
      <c r="HD284" s="260"/>
      <c r="HE284" s="260"/>
      <c r="HF284" s="260"/>
      <c r="HG284" s="260"/>
      <c r="HH284" s="260"/>
      <c r="HI284" s="260"/>
      <c r="HJ284" s="260"/>
      <c r="HK284" s="260"/>
      <c r="HL284" s="260"/>
      <c r="HM284" s="260"/>
      <c r="HN284" s="260"/>
      <c r="HO284" s="260"/>
      <c r="HP284" s="260"/>
      <c r="HQ284" s="260"/>
      <c r="HR284" s="260"/>
      <c r="HS284" s="260"/>
      <c r="HT284" s="260"/>
      <c r="HU284" s="260"/>
      <c r="HV284" s="260"/>
      <c r="HW284" s="260"/>
      <c r="HX284" s="260"/>
      <c r="HY284" s="260"/>
      <c r="HZ284" s="260"/>
      <c r="IA284" s="260"/>
      <c r="IB284" s="260"/>
      <c r="IC284" s="260"/>
      <c r="ID284" s="260"/>
      <c r="IE284" s="260"/>
      <c r="IF284" s="260"/>
      <c r="IG284" s="260"/>
      <c r="IH284" s="260"/>
      <c r="II284" s="260"/>
      <c r="IJ284" s="260"/>
      <c r="IK284" s="260"/>
      <c r="IL284" s="260"/>
      <c r="IM284" s="260"/>
      <c r="IN284" s="260"/>
      <c r="IO284" s="260"/>
      <c r="IP284" s="260"/>
      <c r="IQ284" s="260"/>
      <c r="IR284" s="260"/>
      <c r="IS284" s="260"/>
    </row>
    <row r="285" spans="1:253" s="419" customFormat="1" ht="31.5" x14ac:dyDescent="0.2">
      <c r="A285" s="453" t="s">
        <v>460</v>
      </c>
      <c r="B285" s="455"/>
      <c r="C285" s="455"/>
      <c r="D285" s="455"/>
      <c r="E285" s="455"/>
      <c r="F285" s="455"/>
      <c r="G285" s="455"/>
      <c r="H285" s="455"/>
      <c r="I285" s="455"/>
      <c r="J285" s="455"/>
      <c r="K285" s="455"/>
      <c r="L285" s="455"/>
      <c r="M285" s="455"/>
      <c r="N285" s="455"/>
      <c r="O285" s="455"/>
      <c r="P285" s="456"/>
      <c r="Q285" s="456"/>
      <c r="R285" s="456"/>
      <c r="S285" s="456"/>
      <c r="T285" s="456"/>
      <c r="U285" s="456"/>
      <c r="V285" s="456"/>
      <c r="W285" s="456"/>
      <c r="X285" s="456"/>
      <c r="Y285" s="456"/>
      <c r="Z285" s="456"/>
      <c r="AA285" s="456"/>
      <c r="AB285" s="456"/>
      <c r="AC285" s="456"/>
      <c r="AD285" s="456"/>
      <c r="AE285" s="456"/>
      <c r="AF285" s="456"/>
      <c r="AG285" s="456"/>
      <c r="AH285" s="456"/>
      <c r="AI285" s="456"/>
      <c r="AJ285" s="260"/>
      <c r="AK285" s="260"/>
      <c r="AL285" s="260"/>
      <c r="AM285" s="535"/>
      <c r="AN285" s="260"/>
      <c r="AO285" s="283"/>
      <c r="AP285" s="71"/>
      <c r="AQ285" s="283"/>
      <c r="AR285" s="71"/>
      <c r="AS285" s="283"/>
      <c r="AT285" s="260"/>
      <c r="AU285" s="260"/>
      <c r="AV285" s="260"/>
      <c r="AW285" s="260"/>
      <c r="AX285" s="260"/>
      <c r="AY285" s="260"/>
      <c r="AZ285" s="260"/>
      <c r="BA285" s="260"/>
      <c r="BB285" s="260"/>
      <c r="BC285" s="260"/>
      <c r="BD285" s="260"/>
      <c r="BE285" s="260"/>
      <c r="BF285" s="260"/>
      <c r="BG285" s="260"/>
      <c r="BH285" s="260"/>
      <c r="BI285" s="260"/>
      <c r="BJ285" s="260"/>
      <c r="BK285" s="260"/>
      <c r="BL285" s="260"/>
      <c r="BM285" s="260"/>
      <c r="BN285" s="260"/>
      <c r="BO285" s="260"/>
      <c r="BP285" s="260"/>
      <c r="BQ285" s="260"/>
      <c r="BR285" s="260"/>
      <c r="BS285" s="260"/>
      <c r="BT285" s="260"/>
      <c r="BU285" s="260"/>
      <c r="BV285" s="260"/>
      <c r="BW285" s="260"/>
      <c r="BX285" s="260"/>
      <c r="BY285" s="260"/>
      <c r="BZ285" s="260"/>
      <c r="CA285" s="260"/>
      <c r="CB285" s="260"/>
      <c r="CC285" s="260"/>
      <c r="CD285" s="260"/>
      <c r="CE285" s="260"/>
      <c r="CF285" s="260"/>
      <c r="CG285" s="260"/>
      <c r="CH285" s="260"/>
      <c r="CI285" s="260"/>
      <c r="CJ285" s="260"/>
      <c r="CK285" s="260"/>
      <c r="CL285" s="260"/>
      <c r="CM285" s="260"/>
      <c r="CN285" s="260"/>
      <c r="CO285" s="260"/>
      <c r="CP285" s="260"/>
      <c r="CQ285" s="260"/>
      <c r="CR285" s="260"/>
      <c r="CS285" s="260"/>
      <c r="CT285" s="260"/>
      <c r="CU285" s="260"/>
      <c r="CV285" s="260"/>
      <c r="CW285" s="260"/>
      <c r="CX285" s="260"/>
      <c r="CY285" s="260"/>
      <c r="CZ285" s="260"/>
      <c r="DA285" s="260"/>
      <c r="DB285" s="260"/>
      <c r="DC285" s="260"/>
      <c r="DD285" s="260"/>
      <c r="DE285" s="260"/>
      <c r="DF285" s="260"/>
      <c r="DG285" s="260"/>
      <c r="DH285" s="260"/>
      <c r="DI285" s="260"/>
      <c r="DJ285" s="260"/>
      <c r="DK285" s="260"/>
      <c r="DL285" s="260"/>
      <c r="DM285" s="260"/>
      <c r="DN285" s="260"/>
      <c r="DO285" s="260"/>
      <c r="DP285" s="260"/>
      <c r="DQ285" s="260"/>
      <c r="DR285" s="260"/>
      <c r="DS285" s="260"/>
      <c r="DT285" s="260"/>
      <c r="DU285" s="260"/>
      <c r="DV285" s="260"/>
      <c r="DW285" s="260"/>
      <c r="DX285" s="260"/>
      <c r="DY285" s="260"/>
      <c r="DZ285" s="260"/>
      <c r="EA285" s="260"/>
      <c r="EB285" s="260"/>
      <c r="EC285" s="260"/>
      <c r="ED285" s="260"/>
      <c r="EE285" s="260"/>
      <c r="EF285" s="260"/>
      <c r="EG285" s="260"/>
      <c r="EH285" s="260"/>
      <c r="EI285" s="260"/>
      <c r="EJ285" s="260"/>
      <c r="EK285" s="260"/>
      <c r="EL285" s="260"/>
      <c r="EM285" s="260"/>
      <c r="EN285" s="260"/>
      <c r="EO285" s="260"/>
      <c r="EP285" s="260"/>
      <c r="EQ285" s="260"/>
      <c r="ER285" s="260"/>
      <c r="ES285" s="260"/>
      <c r="ET285" s="260"/>
      <c r="EU285" s="260"/>
      <c r="EV285" s="260"/>
      <c r="EW285" s="260"/>
      <c r="EX285" s="260"/>
      <c r="EY285" s="260"/>
      <c r="EZ285" s="260"/>
      <c r="FA285" s="260"/>
      <c r="FB285" s="260"/>
      <c r="FC285" s="260"/>
      <c r="FD285" s="260"/>
      <c r="FE285" s="260"/>
      <c r="FF285" s="260"/>
      <c r="FG285" s="260"/>
      <c r="FH285" s="260"/>
      <c r="FI285" s="260"/>
      <c r="FJ285" s="260"/>
      <c r="FK285" s="260"/>
      <c r="FL285" s="260"/>
      <c r="FM285" s="260"/>
      <c r="FN285" s="260"/>
      <c r="FO285" s="260"/>
      <c r="FP285" s="260"/>
      <c r="FQ285" s="260"/>
      <c r="FR285" s="260"/>
      <c r="FS285" s="260"/>
      <c r="FT285" s="260"/>
      <c r="FU285" s="260"/>
      <c r="FV285" s="260"/>
      <c r="FW285" s="260"/>
      <c r="FX285" s="260"/>
      <c r="FY285" s="260"/>
      <c r="FZ285" s="260"/>
      <c r="GA285" s="260"/>
      <c r="GB285" s="260"/>
      <c r="GC285" s="260"/>
      <c r="GD285" s="260"/>
      <c r="GE285" s="260"/>
      <c r="GF285" s="260"/>
      <c r="GG285" s="260"/>
      <c r="GH285" s="260"/>
      <c r="GI285" s="260"/>
      <c r="GJ285" s="260"/>
      <c r="GK285" s="260"/>
      <c r="GL285" s="260"/>
      <c r="GM285" s="260"/>
      <c r="GN285" s="260"/>
      <c r="GO285" s="260"/>
      <c r="GP285" s="260"/>
      <c r="GQ285" s="260"/>
      <c r="GR285" s="260"/>
      <c r="GS285" s="260"/>
      <c r="GT285" s="260"/>
      <c r="GU285" s="260"/>
      <c r="GV285" s="260"/>
      <c r="GW285" s="260"/>
      <c r="GX285" s="260"/>
      <c r="GY285" s="260"/>
      <c r="GZ285" s="260"/>
      <c r="HA285" s="260"/>
      <c r="HB285" s="260"/>
      <c r="HC285" s="260"/>
      <c r="HD285" s="260"/>
      <c r="HE285" s="260"/>
      <c r="HF285" s="260"/>
      <c r="HG285" s="260"/>
      <c r="HH285" s="260"/>
      <c r="HI285" s="260"/>
      <c r="HJ285" s="260"/>
      <c r="HK285" s="260"/>
      <c r="HL285" s="260"/>
      <c r="HM285" s="260"/>
      <c r="HN285" s="260"/>
      <c r="HO285" s="260"/>
      <c r="HP285" s="260"/>
      <c r="HQ285" s="260"/>
      <c r="HR285" s="260"/>
      <c r="HS285" s="260"/>
      <c r="HT285" s="260"/>
      <c r="HU285" s="260"/>
      <c r="HV285" s="260"/>
      <c r="HW285" s="260"/>
      <c r="HX285" s="260"/>
      <c r="HY285" s="260"/>
      <c r="HZ285" s="260"/>
      <c r="IA285" s="260"/>
      <c r="IB285" s="260"/>
      <c r="IC285" s="260"/>
      <c r="ID285" s="260"/>
      <c r="IE285" s="260"/>
      <c r="IF285" s="260"/>
      <c r="IG285" s="260"/>
      <c r="IH285" s="260"/>
      <c r="II285" s="260"/>
      <c r="IJ285" s="260"/>
      <c r="IK285" s="260"/>
      <c r="IL285" s="260"/>
      <c r="IM285" s="260"/>
      <c r="IN285" s="260"/>
      <c r="IO285" s="260"/>
      <c r="IP285" s="260"/>
      <c r="IQ285" s="260"/>
      <c r="IR285" s="260"/>
      <c r="IS285" s="260"/>
    </row>
    <row r="286" spans="1:253" s="419" customFormat="1" x14ac:dyDescent="0.2">
      <c r="A286" s="483"/>
      <c r="B286" s="445"/>
      <c r="C286" s="445"/>
      <c r="D286" s="445"/>
      <c r="E286" s="445"/>
      <c r="F286" s="445"/>
      <c r="G286" s="445"/>
      <c r="H286" s="445"/>
      <c r="I286" s="445"/>
      <c r="J286" s="445"/>
      <c r="K286" s="445"/>
      <c r="L286" s="445"/>
      <c r="M286" s="445"/>
      <c r="N286" s="445"/>
      <c r="O286" s="445"/>
      <c r="P286" s="485"/>
      <c r="Q286" s="445" t="s">
        <v>21</v>
      </c>
      <c r="R286" s="485"/>
      <c r="S286" s="485"/>
      <c r="T286" s="485"/>
      <c r="U286" s="485"/>
      <c r="V286" s="485"/>
      <c r="W286" s="485"/>
      <c r="X286" s="485"/>
      <c r="Y286" s="485"/>
      <c r="Z286" s="485"/>
      <c r="AA286" s="485"/>
      <c r="AB286" s="485"/>
      <c r="AC286" s="485"/>
      <c r="AD286" s="485"/>
      <c r="AE286" s="485"/>
      <c r="AF286" s="485"/>
      <c r="AG286" s="485"/>
      <c r="AH286" s="485"/>
      <c r="AI286" s="485"/>
      <c r="AJ286" s="260"/>
      <c r="AK286" s="260"/>
      <c r="AL286" s="260"/>
      <c r="AM286" s="535"/>
      <c r="AN286" s="260"/>
      <c r="AO286" s="283"/>
      <c r="AP286" s="71"/>
      <c r="AQ286" s="283"/>
      <c r="AR286" s="71"/>
      <c r="AS286" s="283"/>
      <c r="AT286" s="260"/>
      <c r="AU286" s="260"/>
      <c r="AV286" s="260"/>
      <c r="AW286" s="260"/>
      <c r="AX286" s="260"/>
      <c r="AY286" s="260"/>
      <c r="AZ286" s="260"/>
      <c r="BA286" s="260"/>
      <c r="BB286" s="260"/>
      <c r="BC286" s="260"/>
      <c r="BD286" s="260"/>
      <c r="BE286" s="260"/>
      <c r="BF286" s="260"/>
      <c r="BG286" s="260"/>
      <c r="BH286" s="260"/>
      <c r="BI286" s="260"/>
      <c r="BJ286" s="260"/>
      <c r="BK286" s="260"/>
      <c r="BL286" s="260"/>
      <c r="BM286" s="260"/>
      <c r="BN286" s="260"/>
      <c r="BO286" s="260"/>
      <c r="BP286" s="260"/>
      <c r="BQ286" s="260"/>
      <c r="BR286" s="260"/>
      <c r="BS286" s="260"/>
      <c r="BT286" s="260"/>
      <c r="BU286" s="260"/>
      <c r="BV286" s="260"/>
      <c r="BW286" s="260"/>
      <c r="BX286" s="260"/>
      <c r="BY286" s="260"/>
      <c r="BZ286" s="260"/>
      <c r="CA286" s="260"/>
      <c r="CB286" s="260"/>
      <c r="CC286" s="260"/>
      <c r="CD286" s="260"/>
      <c r="CE286" s="260"/>
      <c r="CF286" s="260"/>
      <c r="CG286" s="260"/>
      <c r="CH286" s="260"/>
      <c r="CI286" s="260"/>
      <c r="CJ286" s="260"/>
      <c r="CK286" s="260"/>
      <c r="CL286" s="260"/>
      <c r="CM286" s="260"/>
      <c r="CN286" s="260"/>
      <c r="CO286" s="260"/>
      <c r="CP286" s="260"/>
      <c r="CQ286" s="260"/>
      <c r="CR286" s="260"/>
      <c r="CS286" s="260"/>
      <c r="CT286" s="260"/>
      <c r="CU286" s="260"/>
      <c r="CV286" s="260"/>
      <c r="CW286" s="260"/>
      <c r="CX286" s="260"/>
      <c r="CY286" s="260"/>
      <c r="CZ286" s="260"/>
      <c r="DA286" s="260"/>
      <c r="DB286" s="260"/>
      <c r="DC286" s="260"/>
      <c r="DD286" s="260"/>
      <c r="DE286" s="260"/>
      <c r="DF286" s="260"/>
      <c r="DG286" s="260"/>
      <c r="DH286" s="260"/>
      <c r="DI286" s="260"/>
      <c r="DJ286" s="260"/>
      <c r="DK286" s="260"/>
      <c r="DL286" s="260"/>
      <c r="DM286" s="260"/>
      <c r="DN286" s="260"/>
      <c r="DO286" s="260"/>
      <c r="DP286" s="260"/>
      <c r="DQ286" s="260"/>
      <c r="DR286" s="260"/>
      <c r="DS286" s="260"/>
      <c r="DT286" s="260"/>
      <c r="DU286" s="260"/>
      <c r="DV286" s="260"/>
      <c r="DW286" s="260"/>
      <c r="DX286" s="260"/>
      <c r="DY286" s="260"/>
      <c r="DZ286" s="260"/>
      <c r="EA286" s="260"/>
      <c r="EB286" s="260"/>
      <c r="EC286" s="260"/>
      <c r="ED286" s="260"/>
      <c r="EE286" s="260"/>
      <c r="EF286" s="260"/>
      <c r="EG286" s="260"/>
      <c r="EH286" s="260"/>
      <c r="EI286" s="260"/>
      <c r="EJ286" s="260"/>
      <c r="EK286" s="260"/>
      <c r="EL286" s="260"/>
      <c r="EM286" s="260"/>
      <c r="EN286" s="260"/>
      <c r="EO286" s="260"/>
      <c r="EP286" s="260"/>
      <c r="EQ286" s="260"/>
      <c r="ER286" s="260"/>
      <c r="ES286" s="260"/>
      <c r="ET286" s="260"/>
      <c r="EU286" s="260"/>
      <c r="EV286" s="260"/>
      <c r="EW286" s="260"/>
      <c r="EX286" s="260"/>
      <c r="EY286" s="260"/>
      <c r="EZ286" s="260"/>
      <c r="FA286" s="260"/>
      <c r="FB286" s="260"/>
      <c r="FC286" s="260"/>
      <c r="FD286" s="260"/>
      <c r="FE286" s="260"/>
      <c r="FF286" s="260"/>
      <c r="FG286" s="260"/>
      <c r="FH286" s="260"/>
      <c r="FI286" s="260"/>
      <c r="FJ286" s="260"/>
      <c r="FK286" s="260"/>
      <c r="FL286" s="260"/>
      <c r="FM286" s="260"/>
      <c r="FN286" s="260"/>
      <c r="FO286" s="260"/>
      <c r="FP286" s="260"/>
      <c r="FQ286" s="260"/>
      <c r="FR286" s="260"/>
      <c r="FS286" s="260"/>
      <c r="FT286" s="260"/>
      <c r="FU286" s="260"/>
      <c r="FV286" s="260"/>
      <c r="FW286" s="260"/>
      <c r="FX286" s="260"/>
      <c r="FY286" s="260"/>
      <c r="FZ286" s="260"/>
      <c r="GA286" s="260"/>
      <c r="GB286" s="260"/>
      <c r="GC286" s="260"/>
      <c r="GD286" s="260"/>
      <c r="GE286" s="260"/>
      <c r="GF286" s="260"/>
      <c r="GG286" s="260"/>
      <c r="GH286" s="260"/>
      <c r="GI286" s="260"/>
      <c r="GJ286" s="260"/>
      <c r="GK286" s="260"/>
      <c r="GL286" s="260"/>
      <c r="GM286" s="260"/>
      <c r="GN286" s="260"/>
      <c r="GO286" s="260"/>
      <c r="GP286" s="260"/>
      <c r="GQ286" s="260"/>
      <c r="GR286" s="260"/>
      <c r="GS286" s="260"/>
      <c r="GT286" s="260"/>
      <c r="GU286" s="260"/>
      <c r="GV286" s="260"/>
      <c r="GW286" s="260"/>
      <c r="GX286" s="260"/>
      <c r="GY286" s="260"/>
      <c r="GZ286" s="260"/>
      <c r="HA286" s="260"/>
      <c r="HB286" s="260"/>
      <c r="HC286" s="260"/>
      <c r="HD286" s="260"/>
      <c r="HE286" s="260"/>
      <c r="HF286" s="260"/>
      <c r="HG286" s="260"/>
      <c r="HH286" s="260"/>
      <c r="HI286" s="260"/>
      <c r="HJ286" s="260"/>
      <c r="HK286" s="260"/>
      <c r="HL286" s="260"/>
      <c r="HM286" s="260"/>
      <c r="HN286" s="260"/>
      <c r="HO286" s="260"/>
      <c r="HP286" s="260"/>
      <c r="HQ286" s="260"/>
      <c r="HR286" s="260"/>
      <c r="HS286" s="260"/>
      <c r="HT286" s="260"/>
      <c r="HU286" s="260"/>
      <c r="HV286" s="260"/>
      <c r="HW286" s="260"/>
      <c r="HX286" s="260"/>
      <c r="HY286" s="260"/>
      <c r="HZ286" s="260"/>
      <c r="IA286" s="260"/>
      <c r="IB286" s="260"/>
      <c r="IC286" s="260"/>
      <c r="ID286" s="260"/>
      <c r="IE286" s="260"/>
      <c r="IF286" s="260"/>
      <c r="IG286" s="260"/>
      <c r="IH286" s="260"/>
      <c r="II286" s="260"/>
      <c r="IJ286" s="260"/>
      <c r="IK286" s="260"/>
      <c r="IL286" s="260"/>
      <c r="IM286" s="260"/>
      <c r="IN286" s="260"/>
      <c r="IO286" s="260"/>
      <c r="IP286" s="260"/>
      <c r="IQ286" s="260"/>
      <c r="IR286" s="260"/>
      <c r="IS286" s="260"/>
    </row>
    <row r="287" spans="1:253" s="419" customFormat="1" x14ac:dyDescent="0.2">
      <c r="A287" s="417"/>
      <c r="B287" s="467">
        <f>Aprekini!B5</f>
        <v>2014</v>
      </c>
      <c r="C287" s="467">
        <f t="shared" ref="C287:AG287" si="101">B287+1</f>
        <v>2015</v>
      </c>
      <c r="D287" s="467">
        <f t="shared" si="101"/>
        <v>2016</v>
      </c>
      <c r="E287" s="467">
        <f t="shared" si="101"/>
        <v>2017</v>
      </c>
      <c r="F287" s="467">
        <f t="shared" si="101"/>
        <v>2018</v>
      </c>
      <c r="G287" s="467">
        <f t="shared" si="101"/>
        <v>2019</v>
      </c>
      <c r="H287" s="467">
        <f t="shared" si="101"/>
        <v>2020</v>
      </c>
      <c r="I287" s="467">
        <f t="shared" si="101"/>
        <v>2021</v>
      </c>
      <c r="J287" s="467">
        <f t="shared" si="101"/>
        <v>2022</v>
      </c>
      <c r="K287" s="467">
        <f t="shared" si="101"/>
        <v>2023</v>
      </c>
      <c r="L287" s="467">
        <f t="shared" si="101"/>
        <v>2024</v>
      </c>
      <c r="M287" s="467">
        <f t="shared" si="101"/>
        <v>2025</v>
      </c>
      <c r="N287" s="467">
        <f t="shared" si="101"/>
        <v>2026</v>
      </c>
      <c r="O287" s="467">
        <f t="shared" si="101"/>
        <v>2027</v>
      </c>
      <c r="P287" s="467">
        <f t="shared" si="101"/>
        <v>2028</v>
      </c>
      <c r="Q287" s="467">
        <f t="shared" si="101"/>
        <v>2029</v>
      </c>
      <c r="R287" s="467">
        <f t="shared" si="101"/>
        <v>2030</v>
      </c>
      <c r="S287" s="467">
        <f t="shared" si="101"/>
        <v>2031</v>
      </c>
      <c r="T287" s="467">
        <f t="shared" si="101"/>
        <v>2032</v>
      </c>
      <c r="U287" s="461">
        <f t="shared" si="101"/>
        <v>2033</v>
      </c>
      <c r="V287" s="461">
        <f t="shared" si="101"/>
        <v>2034</v>
      </c>
      <c r="W287" s="461">
        <f t="shared" si="101"/>
        <v>2035</v>
      </c>
      <c r="X287" s="461">
        <f t="shared" si="101"/>
        <v>2036</v>
      </c>
      <c r="Y287" s="461">
        <f t="shared" si="101"/>
        <v>2037</v>
      </c>
      <c r="Z287" s="461">
        <f t="shared" si="101"/>
        <v>2038</v>
      </c>
      <c r="AA287" s="461">
        <f t="shared" si="101"/>
        <v>2039</v>
      </c>
      <c r="AB287" s="461">
        <f t="shared" si="101"/>
        <v>2040</v>
      </c>
      <c r="AC287" s="461">
        <f t="shared" si="101"/>
        <v>2041</v>
      </c>
      <c r="AD287" s="461">
        <f t="shared" si="101"/>
        <v>2042</v>
      </c>
      <c r="AE287" s="461">
        <f t="shared" si="101"/>
        <v>2043</v>
      </c>
      <c r="AF287" s="461">
        <f t="shared" si="101"/>
        <v>2044</v>
      </c>
      <c r="AG287" s="461">
        <f t="shared" si="101"/>
        <v>2045</v>
      </c>
      <c r="AH287" s="461">
        <f>AG287+1</f>
        <v>2046</v>
      </c>
      <c r="AI287" s="461"/>
      <c r="AJ287" s="260"/>
      <c r="AK287" s="260"/>
      <c r="AL287" s="260"/>
      <c r="AM287" s="535"/>
      <c r="AN287" s="260"/>
      <c r="AO287" s="283"/>
      <c r="AP287" s="71"/>
      <c r="AQ287" s="283"/>
      <c r="AR287" s="71"/>
      <c r="AS287" s="283"/>
      <c r="AT287" s="260"/>
      <c r="AU287" s="260"/>
      <c r="AV287" s="260"/>
      <c r="AW287" s="260"/>
      <c r="AX287" s="260"/>
      <c r="AY287" s="260"/>
      <c r="AZ287" s="260"/>
      <c r="BA287" s="260"/>
      <c r="BB287" s="260"/>
      <c r="BC287" s="260"/>
      <c r="BD287" s="260"/>
      <c r="BE287" s="260"/>
      <c r="BF287" s="260"/>
      <c r="BG287" s="260"/>
      <c r="BH287" s="260"/>
      <c r="BI287" s="260"/>
      <c r="BJ287" s="260"/>
      <c r="BK287" s="260"/>
      <c r="BL287" s="260"/>
      <c r="BM287" s="260"/>
      <c r="BN287" s="260"/>
      <c r="BO287" s="260"/>
      <c r="BP287" s="260"/>
      <c r="BQ287" s="260"/>
      <c r="BR287" s="260"/>
      <c r="BS287" s="260"/>
      <c r="BT287" s="260"/>
      <c r="BU287" s="260"/>
      <c r="BV287" s="260"/>
      <c r="BW287" s="260"/>
      <c r="BX287" s="260"/>
      <c r="BY287" s="260"/>
      <c r="BZ287" s="260"/>
      <c r="CA287" s="260"/>
      <c r="CB287" s="260"/>
      <c r="CC287" s="260"/>
      <c r="CD287" s="260"/>
      <c r="CE287" s="260"/>
      <c r="CF287" s="260"/>
      <c r="CG287" s="260"/>
      <c r="CH287" s="260"/>
      <c r="CI287" s="260"/>
      <c r="CJ287" s="260"/>
      <c r="CK287" s="260"/>
      <c r="CL287" s="260"/>
      <c r="CM287" s="260"/>
      <c r="CN287" s="260"/>
      <c r="CO287" s="260"/>
      <c r="CP287" s="260"/>
      <c r="CQ287" s="260"/>
      <c r="CR287" s="260"/>
      <c r="CS287" s="260"/>
      <c r="CT287" s="260"/>
      <c r="CU287" s="260"/>
      <c r="CV287" s="260"/>
      <c r="CW287" s="260"/>
      <c r="CX287" s="260"/>
      <c r="CY287" s="260"/>
      <c r="CZ287" s="260"/>
      <c r="DA287" s="260"/>
      <c r="DB287" s="260"/>
      <c r="DC287" s="260"/>
      <c r="DD287" s="260"/>
      <c r="DE287" s="260"/>
      <c r="DF287" s="260"/>
      <c r="DG287" s="260"/>
      <c r="DH287" s="260"/>
      <c r="DI287" s="260"/>
      <c r="DJ287" s="260"/>
      <c r="DK287" s="260"/>
      <c r="DL287" s="260"/>
      <c r="DM287" s="260"/>
      <c r="DN287" s="260"/>
      <c r="DO287" s="260"/>
      <c r="DP287" s="260"/>
      <c r="DQ287" s="260"/>
      <c r="DR287" s="260"/>
      <c r="DS287" s="260"/>
      <c r="DT287" s="260"/>
      <c r="DU287" s="260"/>
      <c r="DV287" s="260"/>
      <c r="DW287" s="260"/>
      <c r="DX287" s="260"/>
      <c r="DY287" s="260"/>
      <c r="DZ287" s="260"/>
      <c r="EA287" s="260"/>
      <c r="EB287" s="260"/>
      <c r="EC287" s="260"/>
      <c r="ED287" s="260"/>
      <c r="EE287" s="260"/>
      <c r="EF287" s="260"/>
      <c r="EG287" s="260"/>
      <c r="EH287" s="260"/>
      <c r="EI287" s="260"/>
      <c r="EJ287" s="260"/>
      <c r="EK287" s="260"/>
      <c r="EL287" s="260"/>
      <c r="EM287" s="260"/>
      <c r="EN287" s="260"/>
      <c r="EO287" s="260"/>
      <c r="EP287" s="260"/>
      <c r="EQ287" s="260"/>
      <c r="ER287" s="260"/>
      <c r="ES287" s="260"/>
      <c r="ET287" s="260"/>
      <c r="EU287" s="260"/>
      <c r="EV287" s="260"/>
      <c r="EW287" s="260"/>
      <c r="EX287" s="260"/>
      <c r="EY287" s="260"/>
      <c r="EZ287" s="260"/>
      <c r="FA287" s="260"/>
      <c r="FB287" s="260"/>
      <c r="FC287" s="260"/>
      <c r="FD287" s="260"/>
      <c r="FE287" s="260"/>
      <c r="FF287" s="260"/>
      <c r="FG287" s="260"/>
      <c r="FH287" s="260"/>
      <c r="FI287" s="260"/>
      <c r="FJ287" s="260"/>
      <c r="FK287" s="260"/>
      <c r="FL287" s="260"/>
      <c r="FM287" s="260"/>
      <c r="FN287" s="260"/>
      <c r="FO287" s="260"/>
      <c r="FP287" s="260"/>
      <c r="FQ287" s="260"/>
      <c r="FR287" s="260"/>
      <c r="FS287" s="260"/>
      <c r="FT287" s="260"/>
      <c r="FU287" s="260"/>
      <c r="FV287" s="260"/>
      <c r="FW287" s="260"/>
      <c r="FX287" s="260"/>
      <c r="FY287" s="260"/>
      <c r="FZ287" s="260"/>
      <c r="GA287" s="260"/>
      <c r="GB287" s="260"/>
      <c r="GC287" s="260"/>
      <c r="GD287" s="260"/>
      <c r="GE287" s="260"/>
      <c r="GF287" s="260"/>
      <c r="GG287" s="260"/>
      <c r="GH287" s="260"/>
      <c r="GI287" s="260"/>
      <c r="GJ287" s="260"/>
      <c r="GK287" s="260"/>
      <c r="GL287" s="260"/>
      <c r="GM287" s="260"/>
      <c r="GN287" s="260"/>
      <c r="GO287" s="260"/>
      <c r="GP287" s="260"/>
      <c r="GQ287" s="260"/>
      <c r="GR287" s="260"/>
      <c r="GS287" s="260"/>
      <c r="GT287" s="260"/>
      <c r="GU287" s="260"/>
      <c r="GV287" s="260"/>
      <c r="GW287" s="260"/>
      <c r="GX287" s="260"/>
      <c r="GY287" s="260"/>
      <c r="GZ287" s="260"/>
      <c r="HA287" s="260"/>
      <c r="HB287" s="260"/>
      <c r="HC287" s="260"/>
      <c r="HD287" s="260"/>
      <c r="HE287" s="260"/>
      <c r="HF287" s="260"/>
      <c r="HG287" s="260"/>
      <c r="HH287" s="260"/>
      <c r="HI287" s="260"/>
      <c r="HJ287" s="260"/>
      <c r="HK287" s="260"/>
      <c r="HL287" s="260"/>
      <c r="HM287" s="260"/>
      <c r="HN287" s="260"/>
      <c r="HO287" s="260"/>
      <c r="HP287" s="260"/>
      <c r="HQ287" s="260"/>
      <c r="HR287" s="260"/>
      <c r="HS287" s="260"/>
      <c r="HT287" s="260"/>
      <c r="HU287" s="260"/>
      <c r="HV287" s="260"/>
      <c r="HW287" s="260"/>
      <c r="HX287" s="260"/>
      <c r="HY287" s="260"/>
      <c r="HZ287" s="260"/>
      <c r="IA287" s="260"/>
      <c r="IB287" s="260"/>
      <c r="IC287" s="260"/>
      <c r="ID287" s="260"/>
      <c r="IE287" s="260"/>
      <c r="IF287" s="260"/>
      <c r="IG287" s="260"/>
      <c r="IH287" s="260"/>
      <c r="II287" s="260"/>
      <c r="IJ287" s="260"/>
      <c r="IK287" s="260"/>
      <c r="IL287" s="260"/>
      <c r="IM287" s="260"/>
      <c r="IN287" s="260"/>
      <c r="IO287" s="260"/>
      <c r="IP287" s="260"/>
      <c r="IQ287" s="260"/>
      <c r="IR287" s="260"/>
      <c r="IS287" s="260"/>
    </row>
    <row r="288" spans="1:253" s="419" customFormat="1" x14ac:dyDescent="0.2">
      <c r="A288" s="517" t="s">
        <v>231</v>
      </c>
      <c r="B288" s="518">
        <f t="shared" ref="B288:AG288" ca="1" si="102">SUM(B289,B294)</f>
        <v>414507.5</v>
      </c>
      <c r="C288" s="518">
        <f t="shared" ca="1" si="102"/>
        <v>416380.98750000005</v>
      </c>
      <c r="D288" s="518">
        <f t="shared" ca="1" si="102"/>
        <v>452388.61249999993</v>
      </c>
      <c r="E288" s="518">
        <f t="shared" ca="1" si="102"/>
        <v>488396.23749999993</v>
      </c>
      <c r="F288" s="518">
        <f t="shared" ca="1" si="102"/>
        <v>556010.77040362335</v>
      </c>
      <c r="G288" s="518">
        <f t="shared" ca="1" si="102"/>
        <v>564841.35040362319</v>
      </c>
      <c r="H288" s="518">
        <f t="shared" ca="1" si="102"/>
        <v>577285.51040362334</v>
      </c>
      <c r="I288" s="518">
        <f t="shared" ca="1" si="102"/>
        <v>589106.28540362325</v>
      </c>
      <c r="J288" s="518">
        <f t="shared" ca="1" si="102"/>
        <v>600647.05040362314</v>
      </c>
      <c r="K288" s="518">
        <f t="shared" ca="1" si="102"/>
        <v>610381.02540362335</v>
      </c>
      <c r="L288" s="518">
        <f t="shared" ca="1" si="102"/>
        <v>618168.20540362317</v>
      </c>
      <c r="M288" s="518">
        <f t="shared" ca="1" si="102"/>
        <v>631655.76540362323</v>
      </c>
      <c r="N288" s="518">
        <f t="shared" ca="1" si="102"/>
        <v>643336.53540362325</v>
      </c>
      <c r="O288" s="518">
        <f t="shared" ca="1" si="102"/>
        <v>654113.91040362325</v>
      </c>
      <c r="P288" s="518">
        <f t="shared" ca="1" si="102"/>
        <v>617937.46006526379</v>
      </c>
      <c r="Q288" s="518">
        <f t="shared" ca="1" si="102"/>
        <v>623637.84006526368</v>
      </c>
      <c r="R288" s="518">
        <f t="shared" ca="1" si="102"/>
        <v>635318.6100652637</v>
      </c>
      <c r="S288" s="518">
        <f t="shared" ca="1" si="102"/>
        <v>648946.17506526376</v>
      </c>
      <c r="T288" s="518">
        <f t="shared" ca="1" si="102"/>
        <v>661530.34006526391</v>
      </c>
      <c r="U288" s="518">
        <f t="shared" ca="1" si="102"/>
        <v>687602.06506526365</v>
      </c>
      <c r="V288" s="518">
        <f t="shared" ca="1" si="102"/>
        <v>700186.23006526369</v>
      </c>
      <c r="W288" s="518">
        <f t="shared" ca="1" si="102"/>
        <v>712910.40006526373</v>
      </c>
      <c r="X288" s="518">
        <f t="shared" ca="1" si="102"/>
        <v>725494.56506526365</v>
      </c>
      <c r="Y288" s="518">
        <f t="shared" ca="1" si="102"/>
        <v>738218.7350652637</v>
      </c>
      <c r="Z288" s="518">
        <f t="shared" ca="1" si="102"/>
        <v>751846.30006526364</v>
      </c>
      <c r="AA288" s="518">
        <f t="shared" ca="1" si="102"/>
        <v>763527.07006526378</v>
      </c>
      <c r="AB288" s="518">
        <f t="shared" ca="1" si="102"/>
        <v>777154.6350652636</v>
      </c>
      <c r="AC288" s="518">
        <f t="shared" ca="1" si="102"/>
        <v>789878.80506526376</v>
      </c>
      <c r="AD288" s="518">
        <f t="shared" ca="1" si="102"/>
        <v>801559.57506526378</v>
      </c>
      <c r="AE288" s="518">
        <f t="shared" ca="1" si="102"/>
        <v>817133.93506526377</v>
      </c>
      <c r="AF288" s="518">
        <f t="shared" ca="1" si="102"/>
        <v>833751.69506526366</v>
      </c>
      <c r="AG288" s="518">
        <f t="shared" ca="1" si="102"/>
        <v>832708.29506526375</v>
      </c>
      <c r="AH288" s="518">
        <f ca="1">SUM(AH289,AH294)</f>
        <v>833611.69006526377</v>
      </c>
      <c r="AI288" s="518"/>
      <c r="AJ288" s="260"/>
      <c r="AK288" s="260"/>
      <c r="AL288" s="260"/>
      <c r="AM288" s="535"/>
      <c r="AN288" s="260"/>
      <c r="AO288" s="283"/>
      <c r="AP288" s="71"/>
      <c r="AQ288" s="283"/>
      <c r="AR288" s="71"/>
      <c r="AS288" s="283"/>
      <c r="AT288" s="260"/>
      <c r="AU288" s="260"/>
      <c r="AV288" s="260"/>
      <c r="AW288" s="260"/>
      <c r="AX288" s="260"/>
      <c r="AY288" s="260"/>
      <c r="AZ288" s="260"/>
      <c r="BA288" s="260"/>
      <c r="BB288" s="260"/>
      <c r="BC288" s="260"/>
      <c r="BD288" s="260"/>
      <c r="BE288" s="260"/>
      <c r="BF288" s="260"/>
      <c r="BG288" s="260"/>
      <c r="BH288" s="260"/>
      <c r="BI288" s="260"/>
      <c r="BJ288" s="260"/>
      <c r="BK288" s="260"/>
      <c r="BL288" s="260"/>
      <c r="BM288" s="260"/>
      <c r="BN288" s="260"/>
      <c r="BO288" s="260"/>
      <c r="BP288" s="260"/>
      <c r="BQ288" s="260"/>
      <c r="BR288" s="260"/>
      <c r="BS288" s="260"/>
      <c r="BT288" s="260"/>
      <c r="BU288" s="260"/>
      <c r="BV288" s="260"/>
      <c r="BW288" s="260"/>
      <c r="BX288" s="260"/>
      <c r="BY288" s="260"/>
      <c r="BZ288" s="260"/>
      <c r="CA288" s="260"/>
      <c r="CB288" s="260"/>
      <c r="CC288" s="260"/>
      <c r="CD288" s="260"/>
      <c r="CE288" s="260"/>
      <c r="CF288" s="260"/>
      <c r="CG288" s="260"/>
      <c r="CH288" s="260"/>
      <c r="CI288" s="260"/>
      <c r="CJ288" s="260"/>
      <c r="CK288" s="260"/>
      <c r="CL288" s="260"/>
      <c r="CM288" s="260"/>
      <c r="CN288" s="260"/>
      <c r="CO288" s="260"/>
      <c r="CP288" s="260"/>
      <c r="CQ288" s="260"/>
      <c r="CR288" s="260"/>
      <c r="CS288" s="260"/>
      <c r="CT288" s="260"/>
      <c r="CU288" s="260"/>
      <c r="CV288" s="260"/>
      <c r="CW288" s="260"/>
      <c r="CX288" s="260"/>
      <c r="CY288" s="260"/>
      <c r="CZ288" s="260"/>
      <c r="DA288" s="260"/>
      <c r="DB288" s="260"/>
      <c r="DC288" s="260"/>
      <c r="DD288" s="260"/>
      <c r="DE288" s="260"/>
      <c r="DF288" s="260"/>
      <c r="DG288" s="260"/>
      <c r="DH288" s="260"/>
      <c r="DI288" s="260"/>
      <c r="DJ288" s="260"/>
      <c r="DK288" s="260"/>
      <c r="DL288" s="260"/>
      <c r="DM288" s="260"/>
      <c r="DN288" s="260"/>
      <c r="DO288" s="260"/>
      <c r="DP288" s="260"/>
      <c r="DQ288" s="260"/>
      <c r="DR288" s="260"/>
      <c r="DS288" s="260"/>
      <c r="DT288" s="260"/>
      <c r="DU288" s="260"/>
      <c r="DV288" s="260"/>
      <c r="DW288" s="260"/>
      <c r="DX288" s="260"/>
      <c r="DY288" s="260"/>
      <c r="DZ288" s="260"/>
      <c r="EA288" s="260"/>
      <c r="EB288" s="260"/>
      <c r="EC288" s="260"/>
      <c r="ED288" s="260"/>
      <c r="EE288" s="260"/>
      <c r="EF288" s="260"/>
      <c r="EG288" s="260"/>
      <c r="EH288" s="260"/>
      <c r="EI288" s="260"/>
      <c r="EJ288" s="260"/>
      <c r="EK288" s="260"/>
      <c r="EL288" s="260"/>
      <c r="EM288" s="260"/>
      <c r="EN288" s="260"/>
      <c r="EO288" s="260"/>
      <c r="EP288" s="260"/>
      <c r="EQ288" s="260"/>
      <c r="ER288" s="260"/>
      <c r="ES288" s="260"/>
      <c r="ET288" s="260"/>
      <c r="EU288" s="260"/>
      <c r="EV288" s="260"/>
      <c r="EW288" s="260"/>
      <c r="EX288" s="260"/>
      <c r="EY288" s="260"/>
      <c r="EZ288" s="260"/>
      <c r="FA288" s="260"/>
      <c r="FB288" s="260"/>
      <c r="FC288" s="260"/>
      <c r="FD288" s="260"/>
      <c r="FE288" s="260"/>
      <c r="FF288" s="260"/>
      <c r="FG288" s="260"/>
      <c r="FH288" s="260"/>
      <c r="FI288" s="260"/>
      <c r="FJ288" s="260"/>
      <c r="FK288" s="260"/>
      <c r="FL288" s="260"/>
      <c r="FM288" s="260"/>
      <c r="FN288" s="260"/>
      <c r="FO288" s="260"/>
      <c r="FP288" s="260"/>
      <c r="FQ288" s="260"/>
      <c r="FR288" s="260"/>
      <c r="FS288" s="260"/>
      <c r="FT288" s="260"/>
      <c r="FU288" s="260"/>
      <c r="FV288" s="260"/>
      <c r="FW288" s="260"/>
      <c r="FX288" s="260"/>
      <c r="FY288" s="260"/>
      <c r="FZ288" s="260"/>
      <c r="GA288" s="260"/>
      <c r="GB288" s="260"/>
      <c r="GC288" s="260"/>
      <c r="GD288" s="260"/>
      <c r="GE288" s="260"/>
      <c r="GF288" s="260"/>
      <c r="GG288" s="260"/>
      <c r="GH288" s="260"/>
      <c r="GI288" s="260"/>
      <c r="GJ288" s="260"/>
      <c r="GK288" s="260"/>
      <c r="GL288" s="260"/>
      <c r="GM288" s="260"/>
      <c r="GN288" s="260"/>
      <c r="GO288" s="260"/>
      <c r="GP288" s="260"/>
      <c r="GQ288" s="260"/>
      <c r="GR288" s="260"/>
      <c r="GS288" s="260"/>
      <c r="GT288" s="260"/>
      <c r="GU288" s="260"/>
      <c r="GV288" s="260"/>
      <c r="GW288" s="260"/>
      <c r="GX288" s="260"/>
      <c r="GY288" s="260"/>
      <c r="GZ288" s="260"/>
      <c r="HA288" s="260"/>
      <c r="HB288" s="260"/>
      <c r="HC288" s="260"/>
      <c r="HD288" s="260"/>
      <c r="HE288" s="260"/>
      <c r="HF288" s="260"/>
      <c r="HG288" s="260"/>
      <c r="HH288" s="260"/>
      <c r="HI288" s="260"/>
      <c r="HJ288" s="260"/>
      <c r="HK288" s="260"/>
      <c r="HL288" s="260"/>
      <c r="HM288" s="260"/>
      <c r="HN288" s="260"/>
      <c r="HO288" s="260"/>
      <c r="HP288" s="260"/>
      <c r="HQ288" s="260"/>
      <c r="HR288" s="260"/>
      <c r="HS288" s="260"/>
      <c r="HT288" s="260"/>
      <c r="HU288" s="260"/>
      <c r="HV288" s="260"/>
      <c r="HW288" s="260"/>
      <c r="HX288" s="260"/>
      <c r="HY288" s="260"/>
      <c r="HZ288" s="260"/>
      <c r="IA288" s="260"/>
      <c r="IB288" s="260"/>
      <c r="IC288" s="260"/>
      <c r="ID288" s="260"/>
      <c r="IE288" s="260"/>
      <c r="IF288" s="260"/>
      <c r="IG288" s="260"/>
      <c r="IH288" s="260"/>
      <c r="II288" s="260"/>
      <c r="IJ288" s="260"/>
      <c r="IK288" s="260"/>
      <c r="IL288" s="260"/>
      <c r="IM288" s="260"/>
      <c r="IN288" s="260"/>
      <c r="IO288" s="260"/>
      <c r="IP288" s="260"/>
      <c r="IQ288" s="260"/>
      <c r="IR288" s="260"/>
      <c r="IS288" s="260"/>
    </row>
    <row r="289" spans="1:253" s="419" customFormat="1" x14ac:dyDescent="0.2">
      <c r="A289" s="519" t="s">
        <v>232</v>
      </c>
      <c r="B289" s="520">
        <f ca="1">SUM(B290:B293)</f>
        <v>239705</v>
      </c>
      <c r="C289" s="520">
        <f t="shared" ref="C289:AG289" ca="1" si="103">SUM(C290:C293)</f>
        <v>233712.37500000003</v>
      </c>
      <c r="D289" s="520">
        <f t="shared" ca="1" si="103"/>
        <v>250491.72499999998</v>
      </c>
      <c r="E289" s="520">
        <f t="shared" ca="1" si="103"/>
        <v>267271.07499999995</v>
      </c>
      <c r="F289" s="520">
        <f t="shared" ca="1" si="103"/>
        <v>290254.31217624625</v>
      </c>
      <c r="G289" s="520">
        <f t="shared" ca="1" si="103"/>
        <v>295471.3121762462</v>
      </c>
      <c r="H289" s="520">
        <f t="shared" ca="1" si="103"/>
        <v>300688.31217624625</v>
      </c>
      <c r="I289" s="520">
        <f t="shared" ca="1" si="103"/>
        <v>307992.11217624618</v>
      </c>
      <c r="J289" s="520">
        <f t="shared" ca="1" si="103"/>
        <v>313209.11217624618</v>
      </c>
      <c r="K289" s="520">
        <f t="shared" ca="1" si="103"/>
        <v>318426.1121762463</v>
      </c>
      <c r="L289" s="520">
        <f t="shared" ca="1" si="103"/>
        <v>322599.71217624622</v>
      </c>
      <c r="M289" s="520">
        <f t="shared" ca="1" si="103"/>
        <v>328860.11217624618</v>
      </c>
      <c r="N289" s="520">
        <f t="shared" ca="1" si="103"/>
        <v>335120.51217624621</v>
      </c>
      <c r="O289" s="520">
        <f t="shared" ca="1" si="103"/>
        <v>341380.91217624623</v>
      </c>
      <c r="P289" s="520">
        <f t="shared" ca="1" si="103"/>
        <v>333890.55630151409</v>
      </c>
      <c r="Q289" s="520">
        <f t="shared" ca="1" si="103"/>
        <v>335977.35630151397</v>
      </c>
      <c r="R289" s="520">
        <f t="shared" ca="1" si="103"/>
        <v>342237.75630151411</v>
      </c>
      <c r="S289" s="520">
        <f t="shared" ca="1" si="103"/>
        <v>349541.55630151409</v>
      </c>
      <c r="T289" s="520">
        <f t="shared" ca="1" si="103"/>
        <v>355801.95630151412</v>
      </c>
      <c r="U289" s="520">
        <f t="shared" ca="1" si="103"/>
        <v>368322.75630151405</v>
      </c>
      <c r="V289" s="520">
        <f t="shared" ca="1" si="103"/>
        <v>374583.15630151407</v>
      </c>
      <c r="W289" s="520">
        <f t="shared" ca="1" si="103"/>
        <v>381886.95630151406</v>
      </c>
      <c r="X289" s="520">
        <f t="shared" ca="1" si="103"/>
        <v>388147.35630151402</v>
      </c>
      <c r="Y289" s="520">
        <f t="shared" ca="1" si="103"/>
        <v>395451.15630151401</v>
      </c>
      <c r="Z289" s="520">
        <f t="shared" ca="1" si="103"/>
        <v>402754.95630151406</v>
      </c>
      <c r="AA289" s="520">
        <f t="shared" ca="1" si="103"/>
        <v>409015.35630151408</v>
      </c>
      <c r="AB289" s="520">
        <f t="shared" ca="1" si="103"/>
        <v>416319.15630151401</v>
      </c>
      <c r="AC289" s="520">
        <f t="shared" ca="1" si="103"/>
        <v>423622.956301514</v>
      </c>
      <c r="AD289" s="520">
        <f t="shared" ca="1" si="103"/>
        <v>429883.35630151402</v>
      </c>
      <c r="AE289" s="520">
        <f t="shared" ca="1" si="103"/>
        <v>438230.55630151409</v>
      </c>
      <c r="AF289" s="520">
        <f t="shared" ca="1" si="103"/>
        <v>447621.15630151401</v>
      </c>
      <c r="AG289" s="520">
        <f t="shared" ca="1" si="103"/>
        <v>446577.75630151405</v>
      </c>
      <c r="AH289" s="520">
        <f ca="1">SUM(AH290:AH293)</f>
        <v>446577.75630151405</v>
      </c>
      <c r="AI289" s="520"/>
      <c r="AJ289" s="260"/>
      <c r="AK289" s="260"/>
      <c r="AL289" s="260"/>
      <c r="AM289" s="535"/>
      <c r="AN289" s="260"/>
      <c r="AO289" s="283"/>
      <c r="AP289" s="71"/>
      <c r="AQ289" s="283"/>
      <c r="AR289" s="71"/>
      <c r="AS289" s="283"/>
      <c r="AT289" s="260"/>
      <c r="AU289" s="260"/>
      <c r="AV289" s="260"/>
      <c r="AW289" s="260"/>
      <c r="AX289" s="260"/>
      <c r="AY289" s="260"/>
      <c r="AZ289" s="260"/>
      <c r="BA289" s="260"/>
      <c r="BB289" s="260"/>
      <c r="BC289" s="260"/>
      <c r="BD289" s="260"/>
      <c r="BE289" s="260"/>
      <c r="BF289" s="260"/>
      <c r="BG289" s="260"/>
      <c r="BH289" s="260"/>
      <c r="BI289" s="260"/>
      <c r="BJ289" s="260"/>
      <c r="BK289" s="260"/>
      <c r="BL289" s="260"/>
      <c r="BM289" s="260"/>
      <c r="BN289" s="260"/>
      <c r="BO289" s="260"/>
      <c r="BP289" s="260"/>
      <c r="BQ289" s="260"/>
      <c r="BR289" s="260"/>
      <c r="BS289" s="260"/>
      <c r="BT289" s="260"/>
      <c r="BU289" s="260"/>
      <c r="BV289" s="260"/>
      <c r="BW289" s="260"/>
      <c r="BX289" s="260"/>
      <c r="BY289" s="260"/>
      <c r="BZ289" s="260"/>
      <c r="CA289" s="260"/>
      <c r="CB289" s="260"/>
      <c r="CC289" s="260"/>
      <c r="CD289" s="260"/>
      <c r="CE289" s="260"/>
      <c r="CF289" s="260"/>
      <c r="CG289" s="260"/>
      <c r="CH289" s="260"/>
      <c r="CI289" s="260"/>
      <c r="CJ289" s="260"/>
      <c r="CK289" s="260"/>
      <c r="CL289" s="260"/>
      <c r="CM289" s="260"/>
      <c r="CN289" s="260"/>
      <c r="CO289" s="260"/>
      <c r="CP289" s="260"/>
      <c r="CQ289" s="260"/>
      <c r="CR289" s="260"/>
      <c r="CS289" s="260"/>
      <c r="CT289" s="260"/>
      <c r="CU289" s="260"/>
      <c r="CV289" s="260"/>
      <c r="CW289" s="260"/>
      <c r="CX289" s="260"/>
      <c r="CY289" s="260"/>
      <c r="CZ289" s="260"/>
      <c r="DA289" s="260"/>
      <c r="DB289" s="260"/>
      <c r="DC289" s="260"/>
      <c r="DD289" s="260"/>
      <c r="DE289" s="260"/>
      <c r="DF289" s="260"/>
      <c r="DG289" s="260"/>
      <c r="DH289" s="260"/>
      <c r="DI289" s="260"/>
      <c r="DJ289" s="260"/>
      <c r="DK289" s="260"/>
      <c r="DL289" s="260"/>
      <c r="DM289" s="260"/>
      <c r="DN289" s="260"/>
      <c r="DO289" s="260"/>
      <c r="DP289" s="260"/>
      <c r="DQ289" s="260"/>
      <c r="DR289" s="260"/>
      <c r="DS289" s="260"/>
      <c r="DT289" s="260"/>
      <c r="DU289" s="260"/>
      <c r="DV289" s="260"/>
      <c r="DW289" s="260"/>
      <c r="DX289" s="260"/>
      <c r="DY289" s="260"/>
      <c r="DZ289" s="260"/>
      <c r="EA289" s="260"/>
      <c r="EB289" s="260"/>
      <c r="EC289" s="260"/>
      <c r="ED289" s="260"/>
      <c r="EE289" s="260"/>
      <c r="EF289" s="260"/>
      <c r="EG289" s="260"/>
      <c r="EH289" s="260"/>
      <c r="EI289" s="260"/>
      <c r="EJ289" s="260"/>
      <c r="EK289" s="260"/>
      <c r="EL289" s="260"/>
      <c r="EM289" s="260"/>
      <c r="EN289" s="260"/>
      <c r="EO289" s="260"/>
      <c r="EP289" s="260"/>
      <c r="EQ289" s="260"/>
      <c r="ER289" s="260"/>
      <c r="ES289" s="260"/>
      <c r="ET289" s="260"/>
      <c r="EU289" s="260"/>
      <c r="EV289" s="260"/>
      <c r="EW289" s="260"/>
      <c r="EX289" s="260"/>
      <c r="EY289" s="260"/>
      <c r="EZ289" s="260"/>
      <c r="FA289" s="260"/>
      <c r="FB289" s="260"/>
      <c r="FC289" s="260"/>
      <c r="FD289" s="260"/>
      <c r="FE289" s="260"/>
      <c r="FF289" s="260"/>
      <c r="FG289" s="260"/>
      <c r="FH289" s="260"/>
      <c r="FI289" s="260"/>
      <c r="FJ289" s="260"/>
      <c r="FK289" s="260"/>
      <c r="FL289" s="260"/>
      <c r="FM289" s="260"/>
      <c r="FN289" s="260"/>
      <c r="FO289" s="260"/>
      <c r="FP289" s="260"/>
      <c r="FQ289" s="260"/>
      <c r="FR289" s="260"/>
      <c r="FS289" s="260"/>
      <c r="FT289" s="260"/>
      <c r="FU289" s="260"/>
      <c r="FV289" s="260"/>
      <c r="FW289" s="260"/>
      <c r="FX289" s="260"/>
      <c r="FY289" s="260"/>
      <c r="FZ289" s="260"/>
      <c r="GA289" s="260"/>
      <c r="GB289" s="260"/>
      <c r="GC289" s="260"/>
      <c r="GD289" s="260"/>
      <c r="GE289" s="260"/>
      <c r="GF289" s="260"/>
      <c r="GG289" s="260"/>
      <c r="GH289" s="260"/>
      <c r="GI289" s="260"/>
      <c r="GJ289" s="260"/>
      <c r="GK289" s="260"/>
      <c r="GL289" s="260"/>
      <c r="GM289" s="260"/>
      <c r="GN289" s="260"/>
      <c r="GO289" s="260"/>
      <c r="GP289" s="260"/>
      <c r="GQ289" s="260"/>
      <c r="GR289" s="260"/>
      <c r="GS289" s="260"/>
      <c r="GT289" s="260"/>
      <c r="GU289" s="260"/>
      <c r="GV289" s="260"/>
      <c r="GW289" s="260"/>
      <c r="GX289" s="260"/>
      <c r="GY289" s="260"/>
      <c r="GZ289" s="260"/>
      <c r="HA289" s="260"/>
      <c r="HB289" s="260"/>
      <c r="HC289" s="260"/>
      <c r="HD289" s="260"/>
      <c r="HE289" s="260"/>
      <c r="HF289" s="260"/>
      <c r="HG289" s="260"/>
      <c r="HH289" s="260"/>
      <c r="HI289" s="260"/>
      <c r="HJ289" s="260"/>
      <c r="HK289" s="260"/>
      <c r="HL289" s="260"/>
      <c r="HM289" s="260"/>
      <c r="HN289" s="260"/>
      <c r="HO289" s="260"/>
      <c r="HP289" s="260"/>
      <c r="HQ289" s="260"/>
      <c r="HR289" s="260"/>
      <c r="HS289" s="260"/>
      <c r="HT289" s="260"/>
      <c r="HU289" s="260"/>
      <c r="HV289" s="260"/>
      <c r="HW289" s="260"/>
      <c r="HX289" s="260"/>
      <c r="HY289" s="260"/>
      <c r="HZ289" s="260"/>
      <c r="IA289" s="260"/>
      <c r="IB289" s="260"/>
      <c r="IC289" s="260"/>
      <c r="ID289" s="260"/>
      <c r="IE289" s="260"/>
      <c r="IF289" s="260"/>
      <c r="IG289" s="260"/>
      <c r="IH289" s="260"/>
      <c r="II289" s="260"/>
      <c r="IJ289" s="260"/>
      <c r="IK289" s="260"/>
      <c r="IL289" s="260"/>
      <c r="IM289" s="260"/>
      <c r="IN289" s="260"/>
      <c r="IO289" s="260"/>
      <c r="IP289" s="260"/>
      <c r="IQ289" s="260"/>
      <c r="IR289" s="260"/>
      <c r="IS289" s="260"/>
    </row>
    <row r="290" spans="1:253" s="419" customFormat="1" x14ac:dyDescent="0.2">
      <c r="A290" s="433" t="s">
        <v>233</v>
      </c>
      <c r="B290" s="463">
        <f>'Saimnieciskas pamatdarbibas NP'!B66</f>
        <v>188705</v>
      </c>
      <c r="C290" s="463">
        <f>'Saimnieciskas pamatdarbibas NP'!C66</f>
        <v>183987.37500000003</v>
      </c>
      <c r="D290" s="463">
        <f>'Saimnieciskas pamatdarbibas NP'!D66</f>
        <v>197196.72499999998</v>
      </c>
      <c r="E290" s="463">
        <f ca="1">'Saimnieciskas pamatdarbibas NP'!E66</f>
        <v>210406.07499999998</v>
      </c>
      <c r="F290" s="463">
        <f ca="1">'Saimnieciskas pamatdarbibas NP'!F66</f>
        <v>209714.40000000002</v>
      </c>
      <c r="G290" s="463">
        <f ca="1">'Saimnieciskas pamatdarbibas NP'!G66</f>
        <v>213656.39999999997</v>
      </c>
      <c r="H290" s="463">
        <f ca="1">'Saimnieciskas pamatdarbibas NP'!H66</f>
        <v>217598.40000000002</v>
      </c>
      <c r="I290" s="463">
        <f ca="1">'Saimnieciskas pamatdarbibas NP'!I66</f>
        <v>223117.19999999998</v>
      </c>
      <c r="J290" s="463">
        <f ca="1">'Saimnieciskas pamatdarbibas NP'!J66</f>
        <v>227059.19999999998</v>
      </c>
      <c r="K290" s="463">
        <f ca="1">'Saimnieciskas pamatdarbibas NP'!K66</f>
        <v>231001.20000000004</v>
      </c>
      <c r="L290" s="463">
        <f ca="1">'Saimnieciskas pamatdarbibas NP'!L66</f>
        <v>234154.8</v>
      </c>
      <c r="M290" s="463">
        <f ca="1">'Saimnieciskas pamatdarbibas NP'!M66</f>
        <v>238885.19999999998</v>
      </c>
      <c r="N290" s="463">
        <f ca="1">'Saimnieciskas pamatdarbibas NP'!N66</f>
        <v>243615.6</v>
      </c>
      <c r="O290" s="463">
        <f ca="1">'Saimnieciskas pamatdarbibas NP'!O66</f>
        <v>248346</v>
      </c>
      <c r="P290" s="463">
        <f ca="1">'Saimnieciskas pamatdarbibas NP'!P66</f>
        <v>249922.80000000002</v>
      </c>
      <c r="Q290" s="463">
        <f ca="1">'Saimnieciskas pamatdarbibas NP'!Q66</f>
        <v>251499.59999999995</v>
      </c>
      <c r="R290" s="463">
        <f ca="1">'Saimnieciskas pamatdarbibas NP'!R66</f>
        <v>256230.00000000006</v>
      </c>
      <c r="S290" s="463">
        <f ca="1">'Saimnieciskas pamatdarbibas NP'!S66</f>
        <v>261748.80000000002</v>
      </c>
      <c r="T290" s="463">
        <f ca="1">'Saimnieciskas pamatdarbibas NP'!T66</f>
        <v>266479.20000000007</v>
      </c>
      <c r="U290" s="463">
        <f ca="1">'Saimnieciskas pamatdarbibas NP'!U66</f>
        <v>275940</v>
      </c>
      <c r="V290" s="463">
        <f ca="1">'Saimnieciskas pamatdarbibas NP'!V66</f>
        <v>280670.40000000002</v>
      </c>
      <c r="W290" s="463">
        <f ca="1">'Saimnieciskas pamatdarbibas NP'!W66</f>
        <v>286189.2</v>
      </c>
      <c r="X290" s="463">
        <f ca="1">'Saimnieciskas pamatdarbibas NP'!X66</f>
        <v>290919.59999999998</v>
      </c>
      <c r="Y290" s="463">
        <f ca="1">'Saimnieciskas pamatdarbibas NP'!Y66</f>
        <v>296438.39999999997</v>
      </c>
      <c r="Z290" s="463">
        <f ca="1">'Saimnieciskas pamatdarbibas NP'!Z66</f>
        <v>301957.2</v>
      </c>
      <c r="AA290" s="463">
        <f ca="1">'Saimnieciskas pamatdarbibas NP'!AA66</f>
        <v>306687.60000000003</v>
      </c>
      <c r="AB290" s="463">
        <f ca="1">'Saimnieciskas pamatdarbibas NP'!AB66</f>
        <v>312206.39999999997</v>
      </c>
      <c r="AC290" s="463">
        <f ca="1">'Saimnieciskas pamatdarbibas NP'!AC66</f>
        <v>317725.19999999995</v>
      </c>
      <c r="AD290" s="463">
        <f ca="1">'Saimnieciskas pamatdarbibas NP'!AD66</f>
        <v>322455.59999999998</v>
      </c>
      <c r="AE290" s="463">
        <f ca="1">'Saimnieciskas pamatdarbibas NP'!AE66</f>
        <v>328762.80000000005</v>
      </c>
      <c r="AF290" s="463">
        <f ca="1">'Saimnieciskas pamatdarbibas NP'!AF66</f>
        <v>335858.39999999997</v>
      </c>
      <c r="AG290" s="463">
        <f ca="1">'Saimnieciskas pamatdarbibas NP'!AG66</f>
        <v>335070</v>
      </c>
      <c r="AH290" s="463">
        <f ca="1">'Saimnieciskas pamatdarbibas NP'!AH66</f>
        <v>335070</v>
      </c>
      <c r="AI290" s="463"/>
      <c r="AJ290" s="260"/>
      <c r="AK290" s="260"/>
      <c r="AL290" s="260"/>
      <c r="AM290" s="535"/>
      <c r="AN290" s="260"/>
      <c r="AO290" s="283"/>
      <c r="AP290" s="71"/>
      <c r="AQ290" s="283"/>
      <c r="AR290" s="71"/>
      <c r="AS290" s="283"/>
      <c r="AT290" s="260"/>
      <c r="AU290" s="260"/>
      <c r="AV290" s="260"/>
      <c r="AW290" s="260"/>
      <c r="AX290" s="260"/>
      <c r="AY290" s="260"/>
      <c r="AZ290" s="260"/>
      <c r="BA290" s="260"/>
      <c r="BB290" s="260"/>
      <c r="BC290" s="260"/>
      <c r="BD290" s="260"/>
      <c r="BE290" s="260"/>
      <c r="BF290" s="260"/>
      <c r="BG290" s="260"/>
      <c r="BH290" s="260"/>
      <c r="BI290" s="260"/>
      <c r="BJ290" s="260"/>
      <c r="BK290" s="260"/>
      <c r="BL290" s="260"/>
      <c r="BM290" s="260"/>
      <c r="BN290" s="260"/>
      <c r="BO290" s="260"/>
      <c r="BP290" s="260"/>
      <c r="BQ290" s="260"/>
      <c r="BR290" s="260"/>
      <c r="BS290" s="260"/>
      <c r="BT290" s="260"/>
      <c r="BU290" s="260"/>
      <c r="BV290" s="260"/>
      <c r="BW290" s="260"/>
      <c r="BX290" s="260"/>
      <c r="BY290" s="260"/>
      <c r="BZ290" s="260"/>
      <c r="CA290" s="260"/>
      <c r="CB290" s="260"/>
      <c r="CC290" s="260"/>
      <c r="CD290" s="260"/>
      <c r="CE290" s="260"/>
      <c r="CF290" s="260"/>
      <c r="CG290" s="260"/>
      <c r="CH290" s="260"/>
      <c r="CI290" s="260"/>
      <c r="CJ290" s="260"/>
      <c r="CK290" s="260"/>
      <c r="CL290" s="260"/>
      <c r="CM290" s="260"/>
      <c r="CN290" s="260"/>
      <c r="CO290" s="260"/>
      <c r="CP290" s="260"/>
      <c r="CQ290" s="260"/>
      <c r="CR290" s="260"/>
      <c r="CS290" s="260"/>
      <c r="CT290" s="260"/>
      <c r="CU290" s="260"/>
      <c r="CV290" s="260"/>
      <c r="CW290" s="260"/>
      <c r="CX290" s="260"/>
      <c r="CY290" s="260"/>
      <c r="CZ290" s="260"/>
      <c r="DA290" s="260"/>
      <c r="DB290" s="260"/>
      <c r="DC290" s="260"/>
      <c r="DD290" s="260"/>
      <c r="DE290" s="260"/>
      <c r="DF290" s="260"/>
      <c r="DG290" s="260"/>
      <c r="DH290" s="260"/>
      <c r="DI290" s="260"/>
      <c r="DJ290" s="260"/>
      <c r="DK290" s="260"/>
      <c r="DL290" s="260"/>
      <c r="DM290" s="260"/>
      <c r="DN290" s="260"/>
      <c r="DO290" s="260"/>
      <c r="DP290" s="260"/>
      <c r="DQ290" s="260"/>
      <c r="DR290" s="260"/>
      <c r="DS290" s="260"/>
      <c r="DT290" s="260"/>
      <c r="DU290" s="260"/>
      <c r="DV290" s="260"/>
      <c r="DW290" s="260"/>
      <c r="DX290" s="260"/>
      <c r="DY290" s="260"/>
      <c r="DZ290" s="260"/>
      <c r="EA290" s="260"/>
      <c r="EB290" s="260"/>
      <c r="EC290" s="260"/>
      <c r="ED290" s="260"/>
      <c r="EE290" s="260"/>
      <c r="EF290" s="260"/>
      <c r="EG290" s="260"/>
      <c r="EH290" s="260"/>
      <c r="EI290" s="260"/>
      <c r="EJ290" s="260"/>
      <c r="EK290" s="260"/>
      <c r="EL290" s="260"/>
      <c r="EM290" s="260"/>
      <c r="EN290" s="260"/>
      <c r="EO290" s="260"/>
      <c r="EP290" s="260"/>
      <c r="EQ290" s="260"/>
      <c r="ER290" s="260"/>
      <c r="ES290" s="260"/>
      <c r="ET290" s="260"/>
      <c r="EU290" s="260"/>
      <c r="EV290" s="260"/>
      <c r="EW290" s="260"/>
      <c r="EX290" s="260"/>
      <c r="EY290" s="260"/>
      <c r="EZ290" s="260"/>
      <c r="FA290" s="260"/>
      <c r="FB290" s="260"/>
      <c r="FC290" s="260"/>
      <c r="FD290" s="260"/>
      <c r="FE290" s="260"/>
      <c r="FF290" s="260"/>
      <c r="FG290" s="260"/>
      <c r="FH290" s="260"/>
      <c r="FI290" s="260"/>
      <c r="FJ290" s="260"/>
      <c r="FK290" s="260"/>
      <c r="FL290" s="260"/>
      <c r="FM290" s="260"/>
      <c r="FN290" s="260"/>
      <c r="FO290" s="260"/>
      <c r="FP290" s="260"/>
      <c r="FQ290" s="260"/>
      <c r="FR290" s="260"/>
      <c r="FS290" s="260"/>
      <c r="FT290" s="260"/>
      <c r="FU290" s="260"/>
      <c r="FV290" s="260"/>
      <c r="FW290" s="260"/>
      <c r="FX290" s="260"/>
      <c r="FY290" s="260"/>
      <c r="FZ290" s="260"/>
      <c r="GA290" s="260"/>
      <c r="GB290" s="260"/>
      <c r="GC290" s="260"/>
      <c r="GD290" s="260"/>
      <c r="GE290" s="260"/>
      <c r="GF290" s="260"/>
      <c r="GG290" s="260"/>
      <c r="GH290" s="260"/>
      <c r="GI290" s="260"/>
      <c r="GJ290" s="260"/>
      <c r="GK290" s="260"/>
      <c r="GL290" s="260"/>
      <c r="GM290" s="260"/>
      <c r="GN290" s="260"/>
      <c r="GO290" s="260"/>
      <c r="GP290" s="260"/>
      <c r="GQ290" s="260"/>
      <c r="GR290" s="260"/>
      <c r="GS290" s="260"/>
      <c r="GT290" s="260"/>
      <c r="GU290" s="260"/>
      <c r="GV290" s="260"/>
      <c r="GW290" s="260"/>
      <c r="GX290" s="260"/>
      <c r="GY290" s="260"/>
      <c r="GZ290" s="260"/>
      <c r="HA290" s="260"/>
      <c r="HB290" s="260"/>
      <c r="HC290" s="260"/>
      <c r="HD290" s="260"/>
      <c r="HE290" s="260"/>
      <c r="HF290" s="260"/>
      <c r="HG290" s="260"/>
      <c r="HH290" s="260"/>
      <c r="HI290" s="260"/>
      <c r="HJ290" s="260"/>
      <c r="HK290" s="260"/>
      <c r="HL290" s="260"/>
      <c r="HM290" s="260"/>
      <c r="HN290" s="260"/>
      <c r="HO290" s="260"/>
      <c r="HP290" s="260"/>
      <c r="HQ290" s="260"/>
      <c r="HR290" s="260"/>
      <c r="HS290" s="260"/>
      <c r="HT290" s="260"/>
      <c r="HU290" s="260"/>
      <c r="HV290" s="260"/>
      <c r="HW290" s="260"/>
      <c r="HX290" s="260"/>
      <c r="HY290" s="260"/>
      <c r="HZ290" s="260"/>
      <c r="IA290" s="260"/>
      <c r="IB290" s="260"/>
      <c r="IC290" s="260"/>
      <c r="ID290" s="260"/>
      <c r="IE290" s="260"/>
      <c r="IF290" s="260"/>
      <c r="IG290" s="260"/>
      <c r="IH290" s="260"/>
      <c r="II290" s="260"/>
      <c r="IJ290" s="260"/>
      <c r="IK290" s="260"/>
      <c r="IL290" s="260"/>
      <c r="IM290" s="260"/>
      <c r="IN290" s="260"/>
      <c r="IO290" s="260"/>
      <c r="IP290" s="260"/>
      <c r="IQ290" s="260"/>
      <c r="IR290" s="260"/>
      <c r="IS290" s="260"/>
    </row>
    <row r="291" spans="1:253" s="419" customFormat="1" x14ac:dyDescent="0.2">
      <c r="A291" s="433" t="s">
        <v>234</v>
      </c>
      <c r="B291" s="463">
        <f>'Saimnieciskas pamatdarbibas NP'!B67</f>
        <v>27000</v>
      </c>
      <c r="C291" s="463">
        <f>'Saimnieciskas pamatdarbibas NP'!C67</f>
        <v>26325.000000000004</v>
      </c>
      <c r="D291" s="463">
        <f>'Saimnieciskas pamatdarbibas NP'!D67</f>
        <v>28214.999999999996</v>
      </c>
      <c r="E291" s="463">
        <f ca="1">'Saimnieciskas pamatdarbibas NP'!E67</f>
        <v>30104.999999999996</v>
      </c>
      <c r="F291" s="463">
        <f ca="1">'Saimnieciskas pamatdarbibas NP'!F67</f>
        <v>35910</v>
      </c>
      <c r="G291" s="463">
        <f ca="1">'Saimnieciskas pamatdarbibas NP'!G67</f>
        <v>36584.999999999993</v>
      </c>
      <c r="H291" s="463">
        <f ca="1">'Saimnieciskas pamatdarbibas NP'!H67</f>
        <v>37260</v>
      </c>
      <c r="I291" s="463">
        <f ca="1">'Saimnieciskas pamatdarbibas NP'!I67</f>
        <v>38205</v>
      </c>
      <c r="J291" s="463">
        <f ca="1">'Saimnieciskas pamatdarbibas NP'!J67</f>
        <v>38880</v>
      </c>
      <c r="K291" s="463">
        <f ca="1">'Saimnieciskas pamatdarbibas NP'!K67</f>
        <v>39555.000000000007</v>
      </c>
      <c r="L291" s="463">
        <f ca="1">'Saimnieciskas pamatdarbibas NP'!L67</f>
        <v>40095</v>
      </c>
      <c r="M291" s="463">
        <f ca="1">'Saimnieciskas pamatdarbibas NP'!M67</f>
        <v>40905</v>
      </c>
      <c r="N291" s="463">
        <f ca="1">'Saimnieciskas pamatdarbibas NP'!N67</f>
        <v>41715</v>
      </c>
      <c r="O291" s="463">
        <f ca="1">'Saimnieciskas pamatdarbibas NP'!O67</f>
        <v>42525</v>
      </c>
      <c r="P291" s="463">
        <f ca="1">'Saimnieciskas pamatdarbibas NP'!P67</f>
        <v>42795</v>
      </c>
      <c r="Q291" s="463">
        <f ca="1">'Saimnieciskas pamatdarbibas NP'!Q67</f>
        <v>43064.999999999993</v>
      </c>
      <c r="R291" s="463">
        <f ca="1">'Saimnieciskas pamatdarbibas NP'!R67</f>
        <v>43875.000000000007</v>
      </c>
      <c r="S291" s="463">
        <f ca="1">'Saimnieciskas pamatdarbibas NP'!S67</f>
        <v>44820</v>
      </c>
      <c r="T291" s="463">
        <f ca="1">'Saimnieciskas pamatdarbibas NP'!T67</f>
        <v>45630.000000000007</v>
      </c>
      <c r="U291" s="463">
        <f ca="1">'Saimnieciskas pamatdarbibas NP'!U67</f>
        <v>47250</v>
      </c>
      <c r="V291" s="463">
        <f ca="1">'Saimnieciskas pamatdarbibas NP'!V67</f>
        <v>48060.000000000007</v>
      </c>
      <c r="W291" s="463">
        <f ca="1">'Saimnieciskas pamatdarbibas NP'!W67</f>
        <v>49005</v>
      </c>
      <c r="X291" s="463">
        <f ca="1">'Saimnieciskas pamatdarbibas NP'!X67</f>
        <v>49814.999999999993</v>
      </c>
      <c r="Y291" s="463">
        <f ca="1">'Saimnieciskas pamatdarbibas NP'!Y67</f>
        <v>50759.999999999993</v>
      </c>
      <c r="Z291" s="463">
        <f ca="1">'Saimnieciskas pamatdarbibas NP'!Z67</f>
        <v>51705</v>
      </c>
      <c r="AA291" s="463">
        <f ca="1">'Saimnieciskas pamatdarbibas NP'!AA67</f>
        <v>52515</v>
      </c>
      <c r="AB291" s="463">
        <f ca="1">'Saimnieciskas pamatdarbibas NP'!AB67</f>
        <v>53459.999999999993</v>
      </c>
      <c r="AC291" s="463">
        <f ca="1">'Saimnieciskas pamatdarbibas NP'!AC67</f>
        <v>54404.999999999993</v>
      </c>
      <c r="AD291" s="463">
        <f ca="1">'Saimnieciskas pamatdarbibas NP'!AD67</f>
        <v>55215</v>
      </c>
      <c r="AE291" s="463">
        <f ca="1">'Saimnieciskas pamatdarbibas NP'!AE67</f>
        <v>56295.000000000015</v>
      </c>
      <c r="AF291" s="463">
        <f ca="1">'Saimnieciskas pamatdarbibas NP'!AF67</f>
        <v>57509.999999999993</v>
      </c>
      <c r="AG291" s="463">
        <f ca="1">'Saimnieciskas pamatdarbibas NP'!AG67</f>
        <v>57375</v>
      </c>
      <c r="AH291" s="463">
        <f ca="1">'Saimnieciskas pamatdarbibas NP'!AH67</f>
        <v>57375</v>
      </c>
      <c r="AI291" s="463"/>
      <c r="AJ291" s="260"/>
      <c r="AK291" s="260"/>
      <c r="AL291" s="260"/>
      <c r="AM291" s="535"/>
      <c r="AN291" s="260"/>
      <c r="AO291" s="283"/>
      <c r="AP291" s="71"/>
      <c r="AQ291" s="283"/>
      <c r="AR291" s="71"/>
      <c r="AS291" s="283"/>
      <c r="AT291" s="260"/>
      <c r="AU291" s="260"/>
      <c r="AV291" s="260"/>
      <c r="AW291" s="260"/>
      <c r="AX291" s="260"/>
      <c r="AY291" s="260"/>
      <c r="AZ291" s="260"/>
      <c r="BA291" s="260"/>
      <c r="BB291" s="260"/>
      <c r="BC291" s="260"/>
      <c r="BD291" s="260"/>
      <c r="BE291" s="260"/>
      <c r="BF291" s="260"/>
      <c r="BG291" s="260"/>
      <c r="BH291" s="260"/>
      <c r="BI291" s="260"/>
      <c r="BJ291" s="260"/>
      <c r="BK291" s="260"/>
      <c r="BL291" s="260"/>
      <c r="BM291" s="260"/>
      <c r="BN291" s="260"/>
      <c r="BO291" s="260"/>
      <c r="BP291" s="260"/>
      <c r="BQ291" s="260"/>
      <c r="BR291" s="260"/>
      <c r="BS291" s="260"/>
      <c r="BT291" s="260"/>
      <c r="BU291" s="260"/>
      <c r="BV291" s="260"/>
      <c r="BW291" s="260"/>
      <c r="BX291" s="260"/>
      <c r="BY291" s="260"/>
      <c r="BZ291" s="260"/>
      <c r="CA291" s="260"/>
      <c r="CB291" s="260"/>
      <c r="CC291" s="260"/>
      <c r="CD291" s="260"/>
      <c r="CE291" s="260"/>
      <c r="CF291" s="260"/>
      <c r="CG291" s="260"/>
      <c r="CH291" s="260"/>
      <c r="CI291" s="260"/>
      <c r="CJ291" s="260"/>
      <c r="CK291" s="260"/>
      <c r="CL291" s="260"/>
      <c r="CM291" s="260"/>
      <c r="CN291" s="260"/>
      <c r="CO291" s="260"/>
      <c r="CP291" s="260"/>
      <c r="CQ291" s="260"/>
      <c r="CR291" s="260"/>
      <c r="CS291" s="260"/>
      <c r="CT291" s="260"/>
      <c r="CU291" s="260"/>
      <c r="CV291" s="260"/>
      <c r="CW291" s="260"/>
      <c r="CX291" s="260"/>
      <c r="CY291" s="260"/>
      <c r="CZ291" s="260"/>
      <c r="DA291" s="260"/>
      <c r="DB291" s="260"/>
      <c r="DC291" s="260"/>
      <c r="DD291" s="260"/>
      <c r="DE291" s="260"/>
      <c r="DF291" s="260"/>
      <c r="DG291" s="260"/>
      <c r="DH291" s="260"/>
      <c r="DI291" s="260"/>
      <c r="DJ291" s="260"/>
      <c r="DK291" s="260"/>
      <c r="DL291" s="260"/>
      <c r="DM291" s="260"/>
      <c r="DN291" s="260"/>
      <c r="DO291" s="260"/>
      <c r="DP291" s="260"/>
      <c r="DQ291" s="260"/>
      <c r="DR291" s="260"/>
      <c r="DS291" s="260"/>
      <c r="DT291" s="260"/>
      <c r="DU291" s="260"/>
      <c r="DV291" s="260"/>
      <c r="DW291" s="260"/>
      <c r="DX291" s="260"/>
      <c r="DY291" s="260"/>
      <c r="DZ291" s="260"/>
      <c r="EA291" s="260"/>
      <c r="EB291" s="260"/>
      <c r="EC291" s="260"/>
      <c r="ED291" s="260"/>
      <c r="EE291" s="260"/>
      <c r="EF291" s="260"/>
      <c r="EG291" s="260"/>
      <c r="EH291" s="260"/>
      <c r="EI291" s="260"/>
      <c r="EJ291" s="260"/>
      <c r="EK291" s="260"/>
      <c r="EL291" s="260"/>
      <c r="EM291" s="260"/>
      <c r="EN291" s="260"/>
      <c r="EO291" s="260"/>
      <c r="EP291" s="260"/>
      <c r="EQ291" s="260"/>
      <c r="ER291" s="260"/>
      <c r="ES291" s="260"/>
      <c r="ET291" s="260"/>
      <c r="EU291" s="260"/>
      <c r="EV291" s="260"/>
      <c r="EW291" s="260"/>
      <c r="EX291" s="260"/>
      <c r="EY291" s="260"/>
      <c r="EZ291" s="260"/>
      <c r="FA291" s="260"/>
      <c r="FB291" s="260"/>
      <c r="FC291" s="260"/>
      <c r="FD291" s="260"/>
      <c r="FE291" s="260"/>
      <c r="FF291" s="260"/>
      <c r="FG291" s="260"/>
      <c r="FH291" s="260"/>
      <c r="FI291" s="260"/>
      <c r="FJ291" s="260"/>
      <c r="FK291" s="260"/>
      <c r="FL291" s="260"/>
      <c r="FM291" s="260"/>
      <c r="FN291" s="260"/>
      <c r="FO291" s="260"/>
      <c r="FP291" s="260"/>
      <c r="FQ291" s="260"/>
      <c r="FR291" s="260"/>
      <c r="FS291" s="260"/>
      <c r="FT291" s="260"/>
      <c r="FU291" s="260"/>
      <c r="FV291" s="260"/>
      <c r="FW291" s="260"/>
      <c r="FX291" s="260"/>
      <c r="FY291" s="260"/>
      <c r="FZ291" s="260"/>
      <c r="GA291" s="260"/>
      <c r="GB291" s="260"/>
      <c r="GC291" s="260"/>
      <c r="GD291" s="260"/>
      <c r="GE291" s="260"/>
      <c r="GF291" s="260"/>
      <c r="GG291" s="260"/>
      <c r="GH291" s="260"/>
      <c r="GI291" s="260"/>
      <c r="GJ291" s="260"/>
      <c r="GK291" s="260"/>
      <c r="GL291" s="260"/>
      <c r="GM291" s="260"/>
      <c r="GN291" s="260"/>
      <c r="GO291" s="260"/>
      <c r="GP291" s="260"/>
      <c r="GQ291" s="260"/>
      <c r="GR291" s="260"/>
      <c r="GS291" s="260"/>
      <c r="GT291" s="260"/>
      <c r="GU291" s="260"/>
      <c r="GV291" s="260"/>
      <c r="GW291" s="260"/>
      <c r="GX291" s="260"/>
      <c r="GY291" s="260"/>
      <c r="GZ291" s="260"/>
      <c r="HA291" s="260"/>
      <c r="HB291" s="260"/>
      <c r="HC291" s="260"/>
      <c r="HD291" s="260"/>
      <c r="HE291" s="260"/>
      <c r="HF291" s="260"/>
      <c r="HG291" s="260"/>
      <c r="HH291" s="260"/>
      <c r="HI291" s="260"/>
      <c r="HJ291" s="260"/>
      <c r="HK291" s="260"/>
      <c r="HL291" s="260"/>
      <c r="HM291" s="260"/>
      <c r="HN291" s="260"/>
      <c r="HO291" s="260"/>
      <c r="HP291" s="260"/>
      <c r="HQ291" s="260"/>
      <c r="HR291" s="260"/>
      <c r="HS291" s="260"/>
      <c r="HT291" s="260"/>
      <c r="HU291" s="260"/>
      <c r="HV291" s="260"/>
      <c r="HW291" s="260"/>
      <c r="HX291" s="260"/>
      <c r="HY291" s="260"/>
      <c r="HZ291" s="260"/>
      <c r="IA291" s="260"/>
      <c r="IB291" s="260"/>
      <c r="IC291" s="260"/>
      <c r="ID291" s="260"/>
      <c r="IE291" s="260"/>
      <c r="IF291" s="260"/>
      <c r="IG291" s="260"/>
      <c r="IH291" s="260"/>
      <c r="II291" s="260"/>
      <c r="IJ291" s="260"/>
      <c r="IK291" s="260"/>
      <c r="IL291" s="260"/>
      <c r="IM291" s="260"/>
      <c r="IN291" s="260"/>
      <c r="IO291" s="260"/>
      <c r="IP291" s="260"/>
      <c r="IQ291" s="260"/>
      <c r="IR291" s="260"/>
      <c r="IS291" s="260"/>
    </row>
    <row r="292" spans="1:253" s="419" customFormat="1" x14ac:dyDescent="0.2">
      <c r="A292" s="433" t="s">
        <v>235</v>
      </c>
      <c r="B292" s="463">
        <f>'Saimnieciskas pamatdarbibas NP'!B68</f>
        <v>24000</v>
      </c>
      <c r="C292" s="463">
        <f>'Saimnieciskas pamatdarbibas NP'!C68</f>
        <v>23400.000000000004</v>
      </c>
      <c r="D292" s="463">
        <f>'Saimnieciskas pamatdarbibas NP'!D68</f>
        <v>25079.999999999996</v>
      </c>
      <c r="E292" s="463">
        <f ca="1">'Saimnieciskas pamatdarbibas NP'!E68</f>
        <v>26759.999999999996</v>
      </c>
      <c r="F292" s="463">
        <f ca="1">'Saimnieciskas pamatdarbibas NP'!F68</f>
        <v>31920</v>
      </c>
      <c r="G292" s="463">
        <f ca="1">'Saimnieciskas pamatdarbibas NP'!G68</f>
        <v>32519.999999999996</v>
      </c>
      <c r="H292" s="463">
        <f ca="1">'Saimnieciskas pamatdarbibas NP'!H68</f>
        <v>33120</v>
      </c>
      <c r="I292" s="463">
        <f ca="1">'Saimnieciskas pamatdarbibas NP'!I68</f>
        <v>33960</v>
      </c>
      <c r="J292" s="463">
        <f ca="1">'Saimnieciskas pamatdarbibas NP'!J68</f>
        <v>34560</v>
      </c>
      <c r="K292" s="463">
        <f ca="1">'Saimnieciskas pamatdarbibas NP'!K68</f>
        <v>35160.000000000007</v>
      </c>
      <c r="L292" s="463">
        <f ca="1">'Saimnieciskas pamatdarbibas NP'!L68</f>
        <v>35640</v>
      </c>
      <c r="M292" s="463">
        <f ca="1">'Saimnieciskas pamatdarbibas NP'!M68</f>
        <v>36360</v>
      </c>
      <c r="N292" s="463">
        <f ca="1">'Saimnieciskas pamatdarbibas NP'!N68</f>
        <v>37080</v>
      </c>
      <c r="O292" s="463">
        <f ca="1">'Saimnieciskas pamatdarbibas NP'!O68</f>
        <v>37800</v>
      </c>
      <c r="P292" s="463">
        <f ca="1">'Saimnieciskas pamatdarbibas NP'!P68</f>
        <v>38040</v>
      </c>
      <c r="Q292" s="463">
        <f ca="1">'Saimnieciskas pamatdarbibas NP'!Q68</f>
        <v>38279.999999999993</v>
      </c>
      <c r="R292" s="463">
        <f ca="1">'Saimnieciskas pamatdarbibas NP'!R68</f>
        <v>39000.000000000007</v>
      </c>
      <c r="S292" s="463">
        <f ca="1">'Saimnieciskas pamatdarbibas NP'!S68</f>
        <v>39840</v>
      </c>
      <c r="T292" s="463">
        <f ca="1">'Saimnieciskas pamatdarbibas NP'!T68</f>
        <v>40560.000000000007</v>
      </c>
      <c r="U292" s="463">
        <f ca="1">'Saimnieciskas pamatdarbibas NP'!U68</f>
        <v>42000</v>
      </c>
      <c r="V292" s="463">
        <f ca="1">'Saimnieciskas pamatdarbibas NP'!V68</f>
        <v>42720.000000000007</v>
      </c>
      <c r="W292" s="463">
        <f ca="1">'Saimnieciskas pamatdarbibas NP'!W68</f>
        <v>43560</v>
      </c>
      <c r="X292" s="463">
        <f ca="1">'Saimnieciskas pamatdarbibas NP'!X68</f>
        <v>44279.999999999993</v>
      </c>
      <c r="Y292" s="463">
        <f ca="1">'Saimnieciskas pamatdarbibas NP'!Y68</f>
        <v>45119.999999999993</v>
      </c>
      <c r="Z292" s="463">
        <f ca="1">'Saimnieciskas pamatdarbibas NP'!Z68</f>
        <v>45960</v>
      </c>
      <c r="AA292" s="463">
        <f ca="1">'Saimnieciskas pamatdarbibas NP'!AA68</f>
        <v>46680</v>
      </c>
      <c r="AB292" s="463">
        <f ca="1">'Saimnieciskas pamatdarbibas NP'!AB68</f>
        <v>47519.999999999993</v>
      </c>
      <c r="AC292" s="463">
        <f ca="1">'Saimnieciskas pamatdarbibas NP'!AC68</f>
        <v>48359.999999999993</v>
      </c>
      <c r="AD292" s="463">
        <f ca="1">'Saimnieciskas pamatdarbibas NP'!AD68</f>
        <v>49080</v>
      </c>
      <c r="AE292" s="463">
        <f ca="1">'Saimnieciskas pamatdarbibas NP'!AE68</f>
        <v>50040.000000000015</v>
      </c>
      <c r="AF292" s="463">
        <f ca="1">'Saimnieciskas pamatdarbibas NP'!AF68</f>
        <v>51119.999999999993</v>
      </c>
      <c r="AG292" s="463">
        <f ca="1">'Saimnieciskas pamatdarbibas NP'!AG68</f>
        <v>51000</v>
      </c>
      <c r="AH292" s="463">
        <f ca="1">'Saimnieciskas pamatdarbibas NP'!AH68</f>
        <v>51000</v>
      </c>
      <c r="AI292" s="463"/>
      <c r="AJ292" s="260"/>
      <c r="AK292" s="260"/>
      <c r="AL292" s="260"/>
      <c r="AM292" s="535"/>
      <c r="AN292" s="260"/>
      <c r="AO292" s="283"/>
      <c r="AP292" s="71"/>
      <c r="AQ292" s="283"/>
      <c r="AR292" s="71"/>
      <c r="AS292" s="283"/>
      <c r="AT292" s="260"/>
      <c r="AU292" s="260"/>
      <c r="AV292" s="260"/>
      <c r="AW292" s="260"/>
      <c r="AX292" s="260"/>
      <c r="AY292" s="260"/>
      <c r="AZ292" s="260"/>
      <c r="BA292" s="260"/>
      <c r="BB292" s="260"/>
      <c r="BC292" s="260"/>
      <c r="BD292" s="260"/>
      <c r="BE292" s="260"/>
      <c r="BF292" s="260"/>
      <c r="BG292" s="260"/>
      <c r="BH292" s="260"/>
      <c r="BI292" s="260"/>
      <c r="BJ292" s="260"/>
      <c r="BK292" s="260"/>
      <c r="BL292" s="260"/>
      <c r="BM292" s="260"/>
      <c r="BN292" s="260"/>
      <c r="BO292" s="260"/>
      <c r="BP292" s="260"/>
      <c r="BQ292" s="260"/>
      <c r="BR292" s="260"/>
      <c r="BS292" s="260"/>
      <c r="BT292" s="260"/>
      <c r="BU292" s="260"/>
      <c r="BV292" s="260"/>
      <c r="BW292" s="260"/>
      <c r="BX292" s="260"/>
      <c r="BY292" s="260"/>
      <c r="BZ292" s="260"/>
      <c r="CA292" s="260"/>
      <c r="CB292" s="260"/>
      <c r="CC292" s="260"/>
      <c r="CD292" s="260"/>
      <c r="CE292" s="260"/>
      <c r="CF292" s="260"/>
      <c r="CG292" s="260"/>
      <c r="CH292" s="260"/>
      <c r="CI292" s="260"/>
      <c r="CJ292" s="260"/>
      <c r="CK292" s="260"/>
      <c r="CL292" s="260"/>
      <c r="CM292" s="260"/>
      <c r="CN292" s="260"/>
      <c r="CO292" s="260"/>
      <c r="CP292" s="260"/>
      <c r="CQ292" s="260"/>
      <c r="CR292" s="260"/>
      <c r="CS292" s="260"/>
      <c r="CT292" s="260"/>
      <c r="CU292" s="260"/>
      <c r="CV292" s="260"/>
      <c r="CW292" s="260"/>
      <c r="CX292" s="260"/>
      <c r="CY292" s="260"/>
      <c r="CZ292" s="260"/>
      <c r="DA292" s="260"/>
      <c r="DB292" s="260"/>
      <c r="DC292" s="260"/>
      <c r="DD292" s="260"/>
      <c r="DE292" s="260"/>
      <c r="DF292" s="260"/>
      <c r="DG292" s="260"/>
      <c r="DH292" s="260"/>
      <c r="DI292" s="260"/>
      <c r="DJ292" s="260"/>
      <c r="DK292" s="260"/>
      <c r="DL292" s="260"/>
      <c r="DM292" s="260"/>
      <c r="DN292" s="260"/>
      <c r="DO292" s="260"/>
      <c r="DP292" s="260"/>
      <c r="DQ292" s="260"/>
      <c r="DR292" s="260"/>
      <c r="DS292" s="260"/>
      <c r="DT292" s="260"/>
      <c r="DU292" s="260"/>
      <c r="DV292" s="260"/>
      <c r="DW292" s="260"/>
      <c r="DX292" s="260"/>
      <c r="DY292" s="260"/>
      <c r="DZ292" s="260"/>
      <c r="EA292" s="260"/>
      <c r="EB292" s="260"/>
      <c r="EC292" s="260"/>
      <c r="ED292" s="260"/>
      <c r="EE292" s="260"/>
      <c r="EF292" s="260"/>
      <c r="EG292" s="260"/>
      <c r="EH292" s="260"/>
      <c r="EI292" s="260"/>
      <c r="EJ292" s="260"/>
      <c r="EK292" s="260"/>
      <c r="EL292" s="260"/>
      <c r="EM292" s="260"/>
      <c r="EN292" s="260"/>
      <c r="EO292" s="260"/>
      <c r="EP292" s="260"/>
      <c r="EQ292" s="260"/>
      <c r="ER292" s="260"/>
      <c r="ES292" s="260"/>
      <c r="ET292" s="260"/>
      <c r="EU292" s="260"/>
      <c r="EV292" s="260"/>
      <c r="EW292" s="260"/>
      <c r="EX292" s="260"/>
      <c r="EY292" s="260"/>
      <c r="EZ292" s="260"/>
      <c r="FA292" s="260"/>
      <c r="FB292" s="260"/>
      <c r="FC292" s="260"/>
      <c r="FD292" s="260"/>
      <c r="FE292" s="260"/>
      <c r="FF292" s="260"/>
      <c r="FG292" s="260"/>
      <c r="FH292" s="260"/>
      <c r="FI292" s="260"/>
      <c r="FJ292" s="260"/>
      <c r="FK292" s="260"/>
      <c r="FL292" s="260"/>
      <c r="FM292" s="260"/>
      <c r="FN292" s="260"/>
      <c r="FO292" s="260"/>
      <c r="FP292" s="260"/>
      <c r="FQ292" s="260"/>
      <c r="FR292" s="260"/>
      <c r="FS292" s="260"/>
      <c r="FT292" s="260"/>
      <c r="FU292" s="260"/>
      <c r="FV292" s="260"/>
      <c r="FW292" s="260"/>
      <c r="FX292" s="260"/>
      <c r="FY292" s="260"/>
      <c r="FZ292" s="260"/>
      <c r="GA292" s="260"/>
      <c r="GB292" s="260"/>
      <c r="GC292" s="260"/>
      <c r="GD292" s="260"/>
      <c r="GE292" s="260"/>
      <c r="GF292" s="260"/>
      <c r="GG292" s="260"/>
      <c r="GH292" s="260"/>
      <c r="GI292" s="260"/>
      <c r="GJ292" s="260"/>
      <c r="GK292" s="260"/>
      <c r="GL292" s="260"/>
      <c r="GM292" s="260"/>
      <c r="GN292" s="260"/>
      <c r="GO292" s="260"/>
      <c r="GP292" s="260"/>
      <c r="GQ292" s="260"/>
      <c r="GR292" s="260"/>
      <c r="GS292" s="260"/>
      <c r="GT292" s="260"/>
      <c r="GU292" s="260"/>
      <c r="GV292" s="260"/>
      <c r="GW292" s="260"/>
      <c r="GX292" s="260"/>
      <c r="GY292" s="260"/>
      <c r="GZ292" s="260"/>
      <c r="HA292" s="260"/>
      <c r="HB292" s="260"/>
      <c r="HC292" s="260"/>
      <c r="HD292" s="260"/>
      <c r="HE292" s="260"/>
      <c r="HF292" s="260"/>
      <c r="HG292" s="260"/>
      <c r="HH292" s="260"/>
      <c r="HI292" s="260"/>
      <c r="HJ292" s="260"/>
      <c r="HK292" s="260"/>
      <c r="HL292" s="260"/>
      <c r="HM292" s="260"/>
      <c r="HN292" s="260"/>
      <c r="HO292" s="260"/>
      <c r="HP292" s="260"/>
      <c r="HQ292" s="260"/>
      <c r="HR292" s="260"/>
      <c r="HS292" s="260"/>
      <c r="HT292" s="260"/>
      <c r="HU292" s="260"/>
      <c r="HV292" s="260"/>
      <c r="HW292" s="260"/>
      <c r="HX292" s="260"/>
      <c r="HY292" s="260"/>
      <c r="HZ292" s="260"/>
      <c r="IA292" s="260"/>
      <c r="IB292" s="260"/>
      <c r="IC292" s="260"/>
      <c r="ID292" s="260"/>
      <c r="IE292" s="260"/>
      <c r="IF292" s="260"/>
      <c r="IG292" s="260"/>
      <c r="IH292" s="260"/>
      <c r="II292" s="260"/>
      <c r="IJ292" s="260"/>
      <c r="IK292" s="260"/>
      <c r="IL292" s="260"/>
      <c r="IM292" s="260"/>
      <c r="IN292" s="260"/>
      <c r="IO292" s="260"/>
      <c r="IP292" s="260"/>
      <c r="IQ292" s="260"/>
      <c r="IR292" s="260"/>
      <c r="IS292" s="260"/>
    </row>
    <row r="293" spans="1:253" s="62" customFormat="1" x14ac:dyDescent="0.2">
      <c r="A293" s="474" t="s">
        <v>93</v>
      </c>
      <c r="B293" s="475">
        <f t="shared" ref="B293:AH293" ca="1" si="104">SUM(B39,B45,B51)*$B$158</f>
        <v>0</v>
      </c>
      <c r="C293" s="475">
        <f t="shared" ca="1" si="104"/>
        <v>0</v>
      </c>
      <c r="D293" s="475">
        <f t="shared" ca="1" si="104"/>
        <v>0</v>
      </c>
      <c r="E293" s="475">
        <f t="shared" ca="1" si="104"/>
        <v>0</v>
      </c>
      <c r="F293" s="463">
        <f t="shared" ca="1" si="104"/>
        <v>12709.912176246227</v>
      </c>
      <c r="G293" s="475">
        <f t="shared" ca="1" si="104"/>
        <v>12709.912176246227</v>
      </c>
      <c r="H293" s="475">
        <f t="shared" ca="1" si="104"/>
        <v>12709.912176246227</v>
      </c>
      <c r="I293" s="475">
        <f t="shared" ca="1" si="104"/>
        <v>12709.912176246227</v>
      </c>
      <c r="J293" s="475">
        <f t="shared" ca="1" si="104"/>
        <v>12709.912176246227</v>
      </c>
      <c r="K293" s="475">
        <f t="shared" ca="1" si="104"/>
        <v>12709.912176246227</v>
      </c>
      <c r="L293" s="475">
        <f t="shared" ca="1" si="104"/>
        <v>12709.912176246227</v>
      </c>
      <c r="M293" s="475">
        <f t="shared" ca="1" si="104"/>
        <v>12709.912176246227</v>
      </c>
      <c r="N293" s="475">
        <f t="shared" ca="1" si="104"/>
        <v>12709.912176246227</v>
      </c>
      <c r="O293" s="475">
        <f t="shared" ca="1" si="104"/>
        <v>12709.912176246227</v>
      </c>
      <c r="P293" s="475">
        <f t="shared" ca="1" si="104"/>
        <v>3132.7563015140422</v>
      </c>
      <c r="Q293" s="475">
        <f t="shared" ca="1" si="104"/>
        <v>3132.7563015140422</v>
      </c>
      <c r="R293" s="475">
        <f t="shared" ca="1" si="104"/>
        <v>3132.7563015140422</v>
      </c>
      <c r="S293" s="475">
        <f t="shared" ca="1" si="104"/>
        <v>3132.7563015140422</v>
      </c>
      <c r="T293" s="475">
        <f t="shared" ca="1" si="104"/>
        <v>3132.7563015140422</v>
      </c>
      <c r="U293" s="475">
        <f t="shared" ca="1" si="104"/>
        <v>3132.7563015140422</v>
      </c>
      <c r="V293" s="475">
        <f t="shared" ca="1" si="104"/>
        <v>3132.7563015140422</v>
      </c>
      <c r="W293" s="475">
        <f t="shared" ca="1" si="104"/>
        <v>3132.7563015140422</v>
      </c>
      <c r="X293" s="475">
        <f t="shared" ca="1" si="104"/>
        <v>3132.7563015140422</v>
      </c>
      <c r="Y293" s="475">
        <f t="shared" ca="1" si="104"/>
        <v>3132.7563015140422</v>
      </c>
      <c r="Z293" s="475">
        <f t="shared" ca="1" si="104"/>
        <v>3132.7563015140422</v>
      </c>
      <c r="AA293" s="475">
        <f t="shared" ca="1" si="104"/>
        <v>3132.7563015140422</v>
      </c>
      <c r="AB293" s="475">
        <f t="shared" ca="1" si="104"/>
        <v>3132.7563015140422</v>
      </c>
      <c r="AC293" s="475">
        <f t="shared" ca="1" si="104"/>
        <v>3132.7563015140422</v>
      </c>
      <c r="AD293" s="475">
        <f t="shared" ca="1" si="104"/>
        <v>3132.7563015140422</v>
      </c>
      <c r="AE293" s="475">
        <f t="shared" ca="1" si="104"/>
        <v>3132.7563015140422</v>
      </c>
      <c r="AF293" s="475">
        <f t="shared" ca="1" si="104"/>
        <v>3132.7563015140422</v>
      </c>
      <c r="AG293" s="475">
        <f t="shared" ca="1" si="104"/>
        <v>3132.7563015140422</v>
      </c>
      <c r="AH293" s="475">
        <f t="shared" ca="1" si="104"/>
        <v>3132.7563015140422</v>
      </c>
      <c r="AI293" s="475"/>
      <c r="AJ293" s="165"/>
      <c r="AK293" s="165"/>
      <c r="AL293" s="165"/>
      <c r="AM293" s="535"/>
      <c r="AN293" s="165"/>
      <c r="AO293" s="283"/>
      <c r="AP293" s="71"/>
      <c r="AQ293" s="283"/>
      <c r="AR293" s="71"/>
      <c r="AS293" s="283"/>
      <c r="AT293" s="165"/>
      <c r="AU293" s="165"/>
      <c r="AV293" s="165"/>
      <c r="AW293" s="165"/>
      <c r="AX293" s="165"/>
      <c r="AY293" s="165"/>
      <c r="AZ293" s="165"/>
      <c r="BA293" s="165"/>
      <c r="BB293" s="165"/>
      <c r="BC293" s="165"/>
      <c r="BD293" s="165"/>
      <c r="BE293" s="165"/>
      <c r="BF293" s="165"/>
      <c r="BG293" s="165"/>
      <c r="BH293" s="165"/>
      <c r="BI293" s="165"/>
      <c r="BJ293" s="165"/>
      <c r="BK293" s="165"/>
      <c r="BL293" s="165"/>
      <c r="BM293" s="165"/>
      <c r="BN293" s="165"/>
      <c r="BO293" s="165"/>
      <c r="BP293" s="165"/>
      <c r="BQ293" s="165"/>
      <c r="BR293" s="165"/>
      <c r="BS293" s="165"/>
      <c r="BT293" s="165"/>
      <c r="BU293" s="165"/>
      <c r="BV293" s="165"/>
      <c r="BW293" s="165"/>
      <c r="BX293" s="165"/>
      <c r="BY293" s="165"/>
      <c r="BZ293" s="165"/>
      <c r="CA293" s="165"/>
      <c r="CB293" s="165"/>
      <c r="CC293" s="165"/>
      <c r="CD293" s="165"/>
      <c r="CE293" s="165"/>
      <c r="CF293" s="165"/>
      <c r="CG293" s="165"/>
      <c r="CH293" s="165"/>
      <c r="CI293" s="165"/>
      <c r="CJ293" s="165"/>
      <c r="CK293" s="165"/>
      <c r="CL293" s="165"/>
      <c r="CM293" s="165"/>
      <c r="CN293" s="165"/>
      <c r="CO293" s="165"/>
      <c r="CP293" s="165"/>
      <c r="CQ293" s="165"/>
      <c r="CR293" s="165"/>
      <c r="CS293" s="165"/>
      <c r="CT293" s="165"/>
      <c r="CU293" s="165"/>
      <c r="CV293" s="165"/>
      <c r="CW293" s="165"/>
      <c r="CX293" s="165"/>
      <c r="CY293" s="165"/>
      <c r="CZ293" s="165"/>
      <c r="DA293" s="165"/>
      <c r="DB293" s="165"/>
      <c r="DC293" s="165"/>
      <c r="DD293" s="165"/>
      <c r="DE293" s="165"/>
      <c r="DF293" s="165"/>
      <c r="DG293" s="165"/>
      <c r="DH293" s="165"/>
      <c r="DI293" s="165"/>
      <c r="DJ293" s="165"/>
      <c r="DK293" s="165"/>
      <c r="DL293" s="165"/>
      <c r="DM293" s="165"/>
      <c r="DN293" s="165"/>
      <c r="DO293" s="165"/>
      <c r="DP293" s="165"/>
      <c r="DQ293" s="165"/>
      <c r="DR293" s="165"/>
      <c r="DS293" s="165"/>
      <c r="DT293" s="165"/>
      <c r="DU293" s="165"/>
      <c r="DV293" s="165"/>
      <c r="DW293" s="165"/>
      <c r="DX293" s="165"/>
      <c r="DY293" s="165"/>
      <c r="DZ293" s="165"/>
      <c r="EA293" s="165"/>
      <c r="EB293" s="165"/>
      <c r="EC293" s="165"/>
      <c r="ED293" s="165"/>
      <c r="EE293" s="165"/>
      <c r="EF293" s="165"/>
      <c r="EG293" s="165"/>
      <c r="EH293" s="165"/>
      <c r="EI293" s="165"/>
      <c r="EJ293" s="165"/>
      <c r="EK293" s="165"/>
      <c r="EL293" s="165"/>
      <c r="EM293" s="165"/>
      <c r="EN293" s="165"/>
      <c r="EO293" s="165"/>
      <c r="EP293" s="165"/>
      <c r="EQ293" s="165"/>
      <c r="ER293" s="165"/>
      <c r="ES293" s="165"/>
      <c r="ET293" s="165"/>
      <c r="EU293" s="165"/>
      <c r="EV293" s="165"/>
      <c r="EW293" s="165"/>
      <c r="EX293" s="165"/>
      <c r="EY293" s="165"/>
      <c r="EZ293" s="165"/>
      <c r="FA293" s="165"/>
      <c r="FB293" s="165"/>
      <c r="FC293" s="165"/>
      <c r="FD293" s="165"/>
      <c r="FE293" s="165"/>
      <c r="FF293" s="165"/>
      <c r="FG293" s="165"/>
      <c r="FH293" s="165"/>
      <c r="FI293" s="165"/>
      <c r="FJ293" s="165"/>
      <c r="FK293" s="165"/>
      <c r="FL293" s="165"/>
      <c r="FM293" s="165"/>
      <c r="FN293" s="165"/>
      <c r="FO293" s="165"/>
      <c r="FP293" s="165"/>
      <c r="FQ293" s="165"/>
      <c r="FR293" s="165"/>
      <c r="FS293" s="165"/>
      <c r="FT293" s="165"/>
      <c r="FU293" s="165"/>
      <c r="FV293" s="165"/>
      <c r="FW293" s="165"/>
      <c r="FX293" s="165"/>
      <c r="FY293" s="165"/>
      <c r="FZ293" s="165"/>
      <c r="GA293" s="165"/>
      <c r="GB293" s="165"/>
      <c r="GC293" s="165"/>
      <c r="GD293" s="165"/>
      <c r="GE293" s="165"/>
      <c r="GF293" s="165"/>
      <c r="GG293" s="165"/>
      <c r="GH293" s="165"/>
      <c r="GI293" s="165"/>
      <c r="GJ293" s="165"/>
      <c r="GK293" s="165"/>
      <c r="GL293" s="165"/>
      <c r="GM293" s="165"/>
      <c r="GN293" s="165"/>
      <c r="GO293" s="165"/>
      <c r="GP293" s="165"/>
      <c r="GQ293" s="165"/>
      <c r="GR293" s="165"/>
      <c r="GS293" s="165"/>
      <c r="GT293" s="165"/>
      <c r="GU293" s="165"/>
      <c r="GV293" s="165"/>
      <c r="GW293" s="165"/>
      <c r="GX293" s="165"/>
      <c r="GY293" s="165"/>
      <c r="GZ293" s="165"/>
      <c r="HA293" s="165"/>
      <c r="HB293" s="165"/>
      <c r="HC293" s="165"/>
      <c r="HD293" s="165"/>
      <c r="HE293" s="165"/>
      <c r="HF293" s="165"/>
      <c r="HG293" s="165"/>
      <c r="HH293" s="165"/>
      <c r="HI293" s="165"/>
      <c r="HJ293" s="165"/>
      <c r="HK293" s="165"/>
      <c r="HL293" s="165"/>
      <c r="HM293" s="165"/>
      <c r="HN293" s="165"/>
      <c r="HO293" s="165"/>
      <c r="HP293" s="165"/>
      <c r="HQ293" s="165"/>
      <c r="HR293" s="165"/>
      <c r="HS293" s="165"/>
      <c r="HT293" s="165"/>
      <c r="HU293" s="165"/>
      <c r="HV293" s="165"/>
      <c r="HW293" s="165"/>
      <c r="HX293" s="165"/>
      <c r="HY293" s="165"/>
      <c r="HZ293" s="165"/>
      <c r="IA293" s="165"/>
      <c r="IB293" s="165"/>
      <c r="IC293" s="165"/>
      <c r="ID293" s="165"/>
      <c r="IE293" s="165"/>
      <c r="IF293" s="165"/>
      <c r="IG293" s="165"/>
      <c r="IH293" s="165"/>
      <c r="II293" s="165"/>
      <c r="IJ293" s="165"/>
      <c r="IK293" s="165"/>
      <c r="IL293" s="165"/>
      <c r="IM293" s="165"/>
      <c r="IN293" s="165"/>
      <c r="IO293" s="165"/>
      <c r="IP293" s="165"/>
      <c r="IQ293" s="165"/>
      <c r="IR293" s="165"/>
      <c r="IS293" s="165"/>
    </row>
    <row r="294" spans="1:253" s="419" customFormat="1" x14ac:dyDescent="0.2">
      <c r="A294" s="519" t="s">
        <v>236</v>
      </c>
      <c r="B294" s="520">
        <f ca="1">SUM(B295:B298)</f>
        <v>174802.5</v>
      </c>
      <c r="C294" s="520">
        <f t="shared" ref="C294:AG294" ca="1" si="105">SUM(C295:C298)</f>
        <v>182668.61250000002</v>
      </c>
      <c r="D294" s="520">
        <f t="shared" ca="1" si="105"/>
        <v>201896.88749999998</v>
      </c>
      <c r="E294" s="520">
        <f t="shared" ca="1" si="105"/>
        <v>221125.16250000001</v>
      </c>
      <c r="F294" s="520">
        <f t="shared" ca="1" si="105"/>
        <v>265756.45822737704</v>
      </c>
      <c r="G294" s="520">
        <f t="shared" ca="1" si="105"/>
        <v>269370.03822737699</v>
      </c>
      <c r="H294" s="520">
        <f t="shared" ca="1" si="105"/>
        <v>276597.19822737708</v>
      </c>
      <c r="I294" s="520">
        <f t="shared" ca="1" si="105"/>
        <v>281114.17322737706</v>
      </c>
      <c r="J294" s="520">
        <f t="shared" ca="1" si="105"/>
        <v>287437.93822737696</v>
      </c>
      <c r="K294" s="520">
        <f t="shared" ca="1" si="105"/>
        <v>291954.91322737705</v>
      </c>
      <c r="L294" s="520">
        <f t="shared" ca="1" si="105"/>
        <v>295568.49322737701</v>
      </c>
      <c r="M294" s="520">
        <f t="shared" ca="1" si="105"/>
        <v>302795.65322737698</v>
      </c>
      <c r="N294" s="520">
        <f t="shared" ca="1" si="105"/>
        <v>308216.02322737704</v>
      </c>
      <c r="O294" s="520">
        <f t="shared" ca="1" si="105"/>
        <v>312732.99822737707</v>
      </c>
      <c r="P294" s="520">
        <f t="shared" ca="1" si="105"/>
        <v>284046.90376374969</v>
      </c>
      <c r="Q294" s="520">
        <f t="shared" ca="1" si="105"/>
        <v>287660.48376374971</v>
      </c>
      <c r="R294" s="520">
        <f t="shared" ca="1" si="105"/>
        <v>293080.85376374965</v>
      </c>
      <c r="S294" s="520">
        <f t="shared" ca="1" si="105"/>
        <v>299404.61876374966</v>
      </c>
      <c r="T294" s="520">
        <f t="shared" ca="1" si="105"/>
        <v>305728.38376374973</v>
      </c>
      <c r="U294" s="520">
        <f t="shared" ca="1" si="105"/>
        <v>319279.30876374961</v>
      </c>
      <c r="V294" s="520">
        <f t="shared" ca="1" si="105"/>
        <v>325603.07376374962</v>
      </c>
      <c r="W294" s="520">
        <f t="shared" ca="1" si="105"/>
        <v>331023.44376374967</v>
      </c>
      <c r="X294" s="520">
        <f t="shared" ca="1" si="105"/>
        <v>337347.20876374963</v>
      </c>
      <c r="Y294" s="520">
        <f t="shared" ca="1" si="105"/>
        <v>342767.57876374968</v>
      </c>
      <c r="Z294" s="520">
        <f t="shared" ca="1" si="105"/>
        <v>349091.34376374964</v>
      </c>
      <c r="AA294" s="520">
        <f t="shared" ca="1" si="105"/>
        <v>354511.71376374969</v>
      </c>
      <c r="AB294" s="520">
        <f t="shared" ca="1" si="105"/>
        <v>360835.47876374965</v>
      </c>
      <c r="AC294" s="520">
        <f t="shared" ca="1" si="105"/>
        <v>366255.8487637497</v>
      </c>
      <c r="AD294" s="520">
        <f t="shared" ca="1" si="105"/>
        <v>371676.2187637497</v>
      </c>
      <c r="AE294" s="520">
        <f t="shared" ca="1" si="105"/>
        <v>378903.37876374967</v>
      </c>
      <c r="AF294" s="520">
        <f t="shared" ca="1" si="105"/>
        <v>386130.5387637497</v>
      </c>
      <c r="AG294" s="520">
        <f t="shared" ca="1" si="105"/>
        <v>386130.5387637497</v>
      </c>
      <c r="AH294" s="520">
        <f ca="1">SUM(AH295:AH298)</f>
        <v>387033.93376374966</v>
      </c>
      <c r="AI294" s="520"/>
      <c r="AJ294" s="260"/>
      <c r="AK294" s="260"/>
      <c r="AL294" s="260"/>
      <c r="AM294" s="535"/>
      <c r="AN294" s="260"/>
      <c r="AO294" s="283"/>
      <c r="AP294" s="71"/>
      <c r="AQ294" s="283"/>
      <c r="AR294" s="71"/>
      <c r="AS294" s="283"/>
      <c r="AT294" s="260"/>
      <c r="AU294" s="260"/>
      <c r="AV294" s="260"/>
      <c r="AW294" s="260"/>
      <c r="AX294" s="260"/>
      <c r="AY294" s="260"/>
      <c r="AZ294" s="260"/>
      <c r="BA294" s="260"/>
      <c r="BB294" s="260"/>
      <c r="BC294" s="260"/>
      <c r="BD294" s="260"/>
      <c r="BE294" s="260"/>
      <c r="BF294" s="260"/>
      <c r="BG294" s="260"/>
      <c r="BH294" s="260"/>
      <c r="BI294" s="260"/>
      <c r="BJ294" s="260"/>
      <c r="BK294" s="260"/>
      <c r="BL294" s="260"/>
      <c r="BM294" s="260"/>
      <c r="BN294" s="260"/>
      <c r="BO294" s="260"/>
      <c r="BP294" s="260"/>
      <c r="BQ294" s="260"/>
      <c r="BR294" s="260"/>
      <c r="BS294" s="260"/>
      <c r="BT294" s="260"/>
      <c r="BU294" s="260"/>
      <c r="BV294" s="260"/>
      <c r="BW294" s="260"/>
      <c r="BX294" s="260"/>
      <c r="BY294" s="260"/>
      <c r="BZ294" s="260"/>
      <c r="CA294" s="260"/>
      <c r="CB294" s="260"/>
      <c r="CC294" s="260"/>
      <c r="CD294" s="260"/>
      <c r="CE294" s="260"/>
      <c r="CF294" s="260"/>
      <c r="CG294" s="260"/>
      <c r="CH294" s="260"/>
      <c r="CI294" s="260"/>
      <c r="CJ294" s="260"/>
      <c r="CK294" s="260"/>
      <c r="CL294" s="260"/>
      <c r="CM294" s="260"/>
      <c r="CN294" s="260"/>
      <c r="CO294" s="260"/>
      <c r="CP294" s="260"/>
      <c r="CQ294" s="260"/>
      <c r="CR294" s="260"/>
      <c r="CS294" s="260"/>
      <c r="CT294" s="260"/>
      <c r="CU294" s="260"/>
      <c r="CV294" s="260"/>
      <c r="CW294" s="260"/>
      <c r="CX294" s="260"/>
      <c r="CY294" s="260"/>
      <c r="CZ294" s="260"/>
      <c r="DA294" s="260"/>
      <c r="DB294" s="260"/>
      <c r="DC294" s="260"/>
      <c r="DD294" s="260"/>
      <c r="DE294" s="260"/>
      <c r="DF294" s="260"/>
      <c r="DG294" s="260"/>
      <c r="DH294" s="260"/>
      <c r="DI294" s="260"/>
      <c r="DJ294" s="260"/>
      <c r="DK294" s="260"/>
      <c r="DL294" s="260"/>
      <c r="DM294" s="260"/>
      <c r="DN294" s="260"/>
      <c r="DO294" s="260"/>
      <c r="DP294" s="260"/>
      <c r="DQ294" s="260"/>
      <c r="DR294" s="260"/>
      <c r="DS294" s="260"/>
      <c r="DT294" s="260"/>
      <c r="DU294" s="260"/>
      <c r="DV294" s="260"/>
      <c r="DW294" s="260"/>
      <c r="DX294" s="260"/>
      <c r="DY294" s="260"/>
      <c r="DZ294" s="260"/>
      <c r="EA294" s="260"/>
      <c r="EB294" s="260"/>
      <c r="EC294" s="260"/>
      <c r="ED294" s="260"/>
      <c r="EE294" s="260"/>
      <c r="EF294" s="260"/>
      <c r="EG294" s="260"/>
      <c r="EH294" s="260"/>
      <c r="EI294" s="260"/>
      <c r="EJ294" s="260"/>
      <c r="EK294" s="260"/>
      <c r="EL294" s="260"/>
      <c r="EM294" s="260"/>
      <c r="EN294" s="260"/>
      <c r="EO294" s="260"/>
      <c r="EP294" s="260"/>
      <c r="EQ294" s="260"/>
      <c r="ER294" s="260"/>
      <c r="ES294" s="260"/>
      <c r="ET294" s="260"/>
      <c r="EU294" s="260"/>
      <c r="EV294" s="260"/>
      <c r="EW294" s="260"/>
      <c r="EX294" s="260"/>
      <c r="EY294" s="260"/>
      <c r="EZ294" s="260"/>
      <c r="FA294" s="260"/>
      <c r="FB294" s="260"/>
      <c r="FC294" s="260"/>
      <c r="FD294" s="260"/>
      <c r="FE294" s="260"/>
      <c r="FF294" s="260"/>
      <c r="FG294" s="260"/>
      <c r="FH294" s="260"/>
      <c r="FI294" s="260"/>
      <c r="FJ294" s="260"/>
      <c r="FK294" s="260"/>
      <c r="FL294" s="260"/>
      <c r="FM294" s="260"/>
      <c r="FN294" s="260"/>
      <c r="FO294" s="260"/>
      <c r="FP294" s="260"/>
      <c r="FQ294" s="260"/>
      <c r="FR294" s="260"/>
      <c r="FS294" s="260"/>
      <c r="FT294" s="260"/>
      <c r="FU294" s="260"/>
      <c r="FV294" s="260"/>
      <c r="FW294" s="260"/>
      <c r="FX294" s="260"/>
      <c r="FY294" s="260"/>
      <c r="FZ294" s="260"/>
      <c r="GA294" s="260"/>
      <c r="GB294" s="260"/>
      <c r="GC294" s="260"/>
      <c r="GD294" s="260"/>
      <c r="GE294" s="260"/>
      <c r="GF294" s="260"/>
      <c r="GG294" s="260"/>
      <c r="GH294" s="260"/>
      <c r="GI294" s="260"/>
      <c r="GJ294" s="260"/>
      <c r="GK294" s="260"/>
      <c r="GL294" s="260"/>
      <c r="GM294" s="260"/>
      <c r="GN294" s="260"/>
      <c r="GO294" s="260"/>
      <c r="GP294" s="260"/>
      <c r="GQ294" s="260"/>
      <c r="GR294" s="260"/>
      <c r="GS294" s="260"/>
      <c r="GT294" s="260"/>
      <c r="GU294" s="260"/>
      <c r="GV294" s="260"/>
      <c r="GW294" s="260"/>
      <c r="GX294" s="260"/>
      <c r="GY294" s="260"/>
      <c r="GZ294" s="260"/>
      <c r="HA294" s="260"/>
      <c r="HB294" s="260"/>
      <c r="HC294" s="260"/>
      <c r="HD294" s="260"/>
      <c r="HE294" s="260"/>
      <c r="HF294" s="260"/>
      <c r="HG294" s="260"/>
      <c r="HH294" s="260"/>
      <c r="HI294" s="260"/>
      <c r="HJ294" s="260"/>
      <c r="HK294" s="260"/>
      <c r="HL294" s="260"/>
      <c r="HM294" s="260"/>
      <c r="HN294" s="260"/>
      <c r="HO294" s="260"/>
      <c r="HP294" s="260"/>
      <c r="HQ294" s="260"/>
      <c r="HR294" s="260"/>
      <c r="HS294" s="260"/>
      <c r="HT294" s="260"/>
      <c r="HU294" s="260"/>
      <c r="HV294" s="260"/>
      <c r="HW294" s="260"/>
      <c r="HX294" s="260"/>
      <c r="HY294" s="260"/>
      <c r="HZ294" s="260"/>
      <c r="IA294" s="260"/>
      <c r="IB294" s="260"/>
      <c r="IC294" s="260"/>
      <c r="ID294" s="260"/>
      <c r="IE294" s="260"/>
      <c r="IF294" s="260"/>
      <c r="IG294" s="260"/>
      <c r="IH294" s="260"/>
      <c r="II294" s="260"/>
      <c r="IJ294" s="260"/>
      <c r="IK294" s="260"/>
      <c r="IL294" s="260"/>
      <c r="IM294" s="260"/>
      <c r="IN294" s="260"/>
      <c r="IO294" s="260"/>
      <c r="IP294" s="260"/>
      <c r="IQ294" s="260"/>
      <c r="IR294" s="260"/>
      <c r="IS294" s="260"/>
    </row>
    <row r="295" spans="1:253" s="419" customFormat="1" x14ac:dyDescent="0.2">
      <c r="A295" s="433" t="s">
        <v>237</v>
      </c>
      <c r="B295" s="463">
        <f>'Saimnieciskas pamatdarbibas NP'!B70</f>
        <v>141802.5</v>
      </c>
      <c r="C295" s="463">
        <f>'Saimnieciskas pamatdarbibas NP'!C70</f>
        <v>148183.61250000002</v>
      </c>
      <c r="D295" s="463">
        <f>'Saimnieciskas pamatdarbibas NP'!D70</f>
        <v>163781.88749999998</v>
      </c>
      <c r="E295" s="463">
        <f ca="1">'Saimnieciskas pamatdarbibas NP'!E70</f>
        <v>179380.16250000001</v>
      </c>
      <c r="F295" s="463">
        <f ca="1">'Saimnieciskas pamatdarbibas NP'!F70</f>
        <v>194197.88500000001</v>
      </c>
      <c r="G295" s="463">
        <f ca="1">'Saimnieciskas pamatdarbibas NP'!G70</f>
        <v>197151.46499999997</v>
      </c>
      <c r="H295" s="463">
        <f ca="1">'Saimnieciskas pamatdarbibas NP'!H70</f>
        <v>203058.62500000003</v>
      </c>
      <c r="I295" s="463">
        <f ca="1">'Saimnieciskas pamatdarbibas NP'!I70</f>
        <v>206750.6</v>
      </c>
      <c r="J295" s="463">
        <f ca="1">'Saimnieciskas pamatdarbibas NP'!J70</f>
        <v>211919.36499999993</v>
      </c>
      <c r="K295" s="463">
        <f ca="1">'Saimnieciskas pamatdarbibas NP'!K70</f>
        <v>215611.34000000003</v>
      </c>
      <c r="L295" s="463">
        <f ca="1">'Saimnieciskas pamatdarbibas NP'!L70</f>
        <v>218564.91999999998</v>
      </c>
      <c r="M295" s="463">
        <f ca="1">'Saimnieciskas pamatdarbibas NP'!M70</f>
        <v>224472.08</v>
      </c>
      <c r="N295" s="463">
        <f ca="1">'Saimnieciskas pamatdarbibas NP'!N70</f>
        <v>228902.45</v>
      </c>
      <c r="O295" s="463">
        <f ca="1">'Saimnieciskas pamatdarbibas NP'!O70</f>
        <v>232594.42500000005</v>
      </c>
      <c r="P295" s="463">
        <f ca="1">'Saimnieciskas pamatdarbibas NP'!P70</f>
        <v>227425.66</v>
      </c>
      <c r="Q295" s="463">
        <f ca="1">'Saimnieciskas pamatdarbibas NP'!Q70</f>
        <v>230379.24000000005</v>
      </c>
      <c r="R295" s="463">
        <f ca="1">'Saimnieciskas pamatdarbibas NP'!R70</f>
        <v>234809.61000000002</v>
      </c>
      <c r="S295" s="463">
        <f ca="1">'Saimnieciskas pamatdarbibas NP'!S70</f>
        <v>239978.375</v>
      </c>
      <c r="T295" s="463">
        <f ca="1">'Saimnieciskas pamatdarbibas NP'!T70</f>
        <v>245147.14000000004</v>
      </c>
      <c r="U295" s="463">
        <f ca="1">'Saimnieciskas pamatdarbibas NP'!U70</f>
        <v>256223.06499999997</v>
      </c>
      <c r="V295" s="463">
        <f ca="1">'Saimnieciskas pamatdarbibas NP'!V70</f>
        <v>261391.83</v>
      </c>
      <c r="W295" s="463">
        <f ca="1">'Saimnieciskas pamatdarbibas NP'!W70</f>
        <v>265822.2</v>
      </c>
      <c r="X295" s="463">
        <f ca="1">'Saimnieciskas pamatdarbibas NP'!X70</f>
        <v>270990.96499999997</v>
      </c>
      <c r="Y295" s="463">
        <f ca="1">'Saimnieciskas pamatdarbibas NP'!Y70</f>
        <v>275421.33500000002</v>
      </c>
      <c r="Z295" s="463">
        <f ca="1">'Saimnieciskas pamatdarbibas NP'!Z70</f>
        <v>280590.09999999998</v>
      </c>
      <c r="AA295" s="463">
        <f ca="1">'Saimnieciskas pamatdarbibas NP'!AA70</f>
        <v>285020.47000000003</v>
      </c>
      <c r="AB295" s="463">
        <f ca="1">'Saimnieciskas pamatdarbibas NP'!AB70</f>
        <v>290189.23499999999</v>
      </c>
      <c r="AC295" s="463">
        <f ca="1">'Saimnieciskas pamatdarbibas NP'!AC70</f>
        <v>294619.60500000004</v>
      </c>
      <c r="AD295" s="463">
        <f ca="1">'Saimnieciskas pamatdarbibas NP'!AD70</f>
        <v>299049.97500000003</v>
      </c>
      <c r="AE295" s="463">
        <f ca="1">'Saimnieciskas pamatdarbibas NP'!AE70</f>
        <v>304957.13500000001</v>
      </c>
      <c r="AF295" s="463">
        <f ca="1">'Saimnieciskas pamatdarbibas NP'!AF70</f>
        <v>310864.29500000004</v>
      </c>
      <c r="AG295" s="463">
        <f ca="1">'Saimnieciskas pamatdarbibas NP'!AG70</f>
        <v>310864.29500000004</v>
      </c>
      <c r="AH295" s="463">
        <f ca="1">'Saimnieciskas pamatdarbibas NP'!AH70</f>
        <v>311602.69</v>
      </c>
      <c r="AI295" s="463"/>
      <c r="AJ295" s="260"/>
      <c r="AK295" s="260"/>
      <c r="AL295" s="260"/>
      <c r="AM295" s="535"/>
      <c r="AN295" s="260"/>
      <c r="AO295" s="283"/>
      <c r="AP295" s="71"/>
      <c r="AQ295" s="283"/>
      <c r="AR295" s="71"/>
      <c r="AS295" s="283"/>
      <c r="AT295" s="260"/>
      <c r="AU295" s="260"/>
      <c r="AV295" s="260"/>
      <c r="AW295" s="260"/>
      <c r="AX295" s="260"/>
      <c r="AY295" s="260"/>
      <c r="AZ295" s="260"/>
      <c r="BA295" s="260"/>
      <c r="BB295" s="260"/>
      <c r="BC295" s="260"/>
      <c r="BD295" s="260"/>
      <c r="BE295" s="260"/>
      <c r="BF295" s="260"/>
      <c r="BG295" s="260"/>
      <c r="BH295" s="260"/>
      <c r="BI295" s="260"/>
      <c r="BJ295" s="260"/>
      <c r="BK295" s="260"/>
      <c r="BL295" s="260"/>
      <c r="BM295" s="260"/>
      <c r="BN295" s="260"/>
      <c r="BO295" s="260"/>
      <c r="BP295" s="260"/>
      <c r="BQ295" s="260"/>
      <c r="BR295" s="260"/>
      <c r="BS295" s="260"/>
      <c r="BT295" s="260"/>
      <c r="BU295" s="260"/>
      <c r="BV295" s="260"/>
      <c r="BW295" s="260"/>
      <c r="BX295" s="260"/>
      <c r="BY295" s="260"/>
      <c r="BZ295" s="260"/>
      <c r="CA295" s="260"/>
      <c r="CB295" s="260"/>
      <c r="CC295" s="260"/>
      <c r="CD295" s="260"/>
      <c r="CE295" s="260"/>
      <c r="CF295" s="260"/>
      <c r="CG295" s="260"/>
      <c r="CH295" s="260"/>
      <c r="CI295" s="260"/>
      <c r="CJ295" s="260"/>
      <c r="CK295" s="260"/>
      <c r="CL295" s="260"/>
      <c r="CM295" s="260"/>
      <c r="CN295" s="260"/>
      <c r="CO295" s="260"/>
      <c r="CP295" s="260"/>
      <c r="CQ295" s="260"/>
      <c r="CR295" s="260"/>
      <c r="CS295" s="260"/>
      <c r="CT295" s="260"/>
      <c r="CU295" s="260"/>
      <c r="CV295" s="260"/>
      <c r="CW295" s="260"/>
      <c r="CX295" s="260"/>
      <c r="CY295" s="260"/>
      <c r="CZ295" s="260"/>
      <c r="DA295" s="260"/>
      <c r="DB295" s="260"/>
      <c r="DC295" s="260"/>
      <c r="DD295" s="260"/>
      <c r="DE295" s="260"/>
      <c r="DF295" s="260"/>
      <c r="DG295" s="260"/>
      <c r="DH295" s="260"/>
      <c r="DI295" s="260"/>
      <c r="DJ295" s="260"/>
      <c r="DK295" s="260"/>
      <c r="DL295" s="260"/>
      <c r="DM295" s="260"/>
      <c r="DN295" s="260"/>
      <c r="DO295" s="260"/>
      <c r="DP295" s="260"/>
      <c r="DQ295" s="260"/>
      <c r="DR295" s="260"/>
      <c r="DS295" s="260"/>
      <c r="DT295" s="260"/>
      <c r="DU295" s="260"/>
      <c r="DV295" s="260"/>
      <c r="DW295" s="260"/>
      <c r="DX295" s="260"/>
      <c r="DY295" s="260"/>
      <c r="DZ295" s="260"/>
      <c r="EA295" s="260"/>
      <c r="EB295" s="260"/>
      <c r="EC295" s="260"/>
      <c r="ED295" s="260"/>
      <c r="EE295" s="260"/>
      <c r="EF295" s="260"/>
      <c r="EG295" s="260"/>
      <c r="EH295" s="260"/>
      <c r="EI295" s="260"/>
      <c r="EJ295" s="260"/>
      <c r="EK295" s="260"/>
      <c r="EL295" s="260"/>
      <c r="EM295" s="260"/>
      <c r="EN295" s="260"/>
      <c r="EO295" s="260"/>
      <c r="EP295" s="260"/>
      <c r="EQ295" s="260"/>
      <c r="ER295" s="260"/>
      <c r="ES295" s="260"/>
      <c r="ET295" s="260"/>
      <c r="EU295" s="260"/>
      <c r="EV295" s="260"/>
      <c r="EW295" s="260"/>
      <c r="EX295" s="260"/>
      <c r="EY295" s="260"/>
      <c r="EZ295" s="260"/>
      <c r="FA295" s="260"/>
      <c r="FB295" s="260"/>
      <c r="FC295" s="260"/>
      <c r="FD295" s="260"/>
      <c r="FE295" s="260"/>
      <c r="FF295" s="260"/>
      <c r="FG295" s="260"/>
      <c r="FH295" s="260"/>
      <c r="FI295" s="260"/>
      <c r="FJ295" s="260"/>
      <c r="FK295" s="260"/>
      <c r="FL295" s="260"/>
      <c r="FM295" s="260"/>
      <c r="FN295" s="260"/>
      <c r="FO295" s="260"/>
      <c r="FP295" s="260"/>
      <c r="FQ295" s="260"/>
      <c r="FR295" s="260"/>
      <c r="FS295" s="260"/>
      <c r="FT295" s="260"/>
      <c r="FU295" s="260"/>
      <c r="FV295" s="260"/>
      <c r="FW295" s="260"/>
      <c r="FX295" s="260"/>
      <c r="FY295" s="260"/>
      <c r="FZ295" s="260"/>
      <c r="GA295" s="260"/>
      <c r="GB295" s="260"/>
      <c r="GC295" s="260"/>
      <c r="GD295" s="260"/>
      <c r="GE295" s="260"/>
      <c r="GF295" s="260"/>
      <c r="GG295" s="260"/>
      <c r="GH295" s="260"/>
      <c r="GI295" s="260"/>
      <c r="GJ295" s="260"/>
      <c r="GK295" s="260"/>
      <c r="GL295" s="260"/>
      <c r="GM295" s="260"/>
      <c r="GN295" s="260"/>
      <c r="GO295" s="260"/>
      <c r="GP295" s="260"/>
      <c r="GQ295" s="260"/>
      <c r="GR295" s="260"/>
      <c r="GS295" s="260"/>
      <c r="GT295" s="260"/>
      <c r="GU295" s="260"/>
      <c r="GV295" s="260"/>
      <c r="GW295" s="260"/>
      <c r="GX295" s="260"/>
      <c r="GY295" s="260"/>
      <c r="GZ295" s="260"/>
      <c r="HA295" s="260"/>
      <c r="HB295" s="260"/>
      <c r="HC295" s="260"/>
      <c r="HD295" s="260"/>
      <c r="HE295" s="260"/>
      <c r="HF295" s="260"/>
      <c r="HG295" s="260"/>
      <c r="HH295" s="260"/>
      <c r="HI295" s="260"/>
      <c r="HJ295" s="260"/>
      <c r="HK295" s="260"/>
      <c r="HL295" s="260"/>
      <c r="HM295" s="260"/>
      <c r="HN295" s="260"/>
      <c r="HO295" s="260"/>
      <c r="HP295" s="260"/>
      <c r="HQ295" s="260"/>
      <c r="HR295" s="260"/>
      <c r="HS295" s="260"/>
      <c r="HT295" s="260"/>
      <c r="HU295" s="260"/>
      <c r="HV295" s="260"/>
      <c r="HW295" s="260"/>
      <c r="HX295" s="260"/>
      <c r="HY295" s="260"/>
      <c r="HZ295" s="260"/>
      <c r="IA295" s="260"/>
      <c r="IB295" s="260"/>
      <c r="IC295" s="260"/>
      <c r="ID295" s="260"/>
      <c r="IE295" s="260"/>
      <c r="IF295" s="260"/>
      <c r="IG295" s="260"/>
      <c r="IH295" s="260"/>
      <c r="II295" s="260"/>
      <c r="IJ295" s="260"/>
      <c r="IK295" s="260"/>
      <c r="IL295" s="260"/>
      <c r="IM295" s="260"/>
      <c r="IN295" s="260"/>
      <c r="IO295" s="260"/>
      <c r="IP295" s="260"/>
      <c r="IQ295" s="260"/>
      <c r="IR295" s="260"/>
      <c r="IS295" s="260"/>
    </row>
    <row r="296" spans="1:253" s="419" customFormat="1" x14ac:dyDescent="0.2">
      <c r="A296" s="433" t="s">
        <v>238</v>
      </c>
      <c r="B296" s="463">
        <f>'Saimnieciskas pamatdarbibas NP'!B71</f>
        <v>19000</v>
      </c>
      <c r="C296" s="463">
        <f>'Saimnieciskas pamatdarbibas NP'!C71</f>
        <v>19855</v>
      </c>
      <c r="D296" s="463">
        <f>'Saimnieciskas pamatdarbibas NP'!D71</f>
        <v>21945</v>
      </c>
      <c r="E296" s="463">
        <f ca="1">'Saimnieciskas pamatdarbibas NP'!E71</f>
        <v>24035</v>
      </c>
      <c r="F296" s="463">
        <f ca="1">'Saimnieciskas pamatdarbibas NP'!F71</f>
        <v>24985</v>
      </c>
      <c r="G296" s="463">
        <f ca="1">'Saimnieciskas pamatdarbibas NP'!G71</f>
        <v>25364.999999999996</v>
      </c>
      <c r="H296" s="463">
        <f ca="1">'Saimnieciskas pamatdarbibas NP'!H71</f>
        <v>26125.000000000004</v>
      </c>
      <c r="I296" s="463">
        <f ca="1">'Saimnieciskas pamatdarbibas NP'!I71</f>
        <v>26600.000000000004</v>
      </c>
      <c r="J296" s="463">
        <f ca="1">'Saimnieciskas pamatdarbibas NP'!J71</f>
        <v>27264.999999999993</v>
      </c>
      <c r="K296" s="463">
        <f ca="1">'Saimnieciskas pamatdarbibas NP'!K71</f>
        <v>27740.000000000004</v>
      </c>
      <c r="L296" s="463">
        <f ca="1">'Saimnieciskas pamatdarbibas NP'!L71</f>
        <v>28120</v>
      </c>
      <c r="M296" s="463">
        <f ca="1">'Saimnieciskas pamatdarbibas NP'!M71</f>
        <v>28880</v>
      </c>
      <c r="N296" s="463">
        <f ca="1">'Saimnieciskas pamatdarbibas NP'!N71</f>
        <v>29450</v>
      </c>
      <c r="O296" s="463">
        <f ca="1">'Saimnieciskas pamatdarbibas NP'!O71</f>
        <v>29925.000000000007</v>
      </c>
      <c r="P296" s="463">
        <f ca="1">'Saimnieciskas pamatdarbibas NP'!P71</f>
        <v>29260</v>
      </c>
      <c r="Q296" s="463">
        <f ca="1">'Saimnieciskas pamatdarbibas NP'!Q71</f>
        <v>29640.000000000004</v>
      </c>
      <c r="R296" s="463">
        <f ca="1">'Saimnieciskas pamatdarbibas NP'!R71</f>
        <v>30210</v>
      </c>
      <c r="S296" s="463">
        <f ca="1">'Saimnieciskas pamatdarbibas NP'!S71</f>
        <v>30875</v>
      </c>
      <c r="T296" s="463">
        <f ca="1">'Saimnieciskas pamatdarbibas NP'!T71</f>
        <v>31540.000000000007</v>
      </c>
      <c r="U296" s="463">
        <f ca="1">'Saimnieciskas pamatdarbibas NP'!U71</f>
        <v>32965</v>
      </c>
      <c r="V296" s="463">
        <f ca="1">'Saimnieciskas pamatdarbibas NP'!V71</f>
        <v>33630</v>
      </c>
      <c r="W296" s="463">
        <f ca="1">'Saimnieciskas pamatdarbibas NP'!W71</f>
        <v>34200</v>
      </c>
      <c r="X296" s="463">
        <f ca="1">'Saimnieciskas pamatdarbibas NP'!X71</f>
        <v>34865</v>
      </c>
      <c r="Y296" s="463">
        <f ca="1">'Saimnieciskas pamatdarbibas NP'!Y71</f>
        <v>35435</v>
      </c>
      <c r="Z296" s="463">
        <f ca="1">'Saimnieciskas pamatdarbibas NP'!Z71</f>
        <v>36100</v>
      </c>
      <c r="AA296" s="463">
        <f ca="1">'Saimnieciskas pamatdarbibas NP'!AA71</f>
        <v>36670</v>
      </c>
      <c r="AB296" s="463">
        <f ca="1">'Saimnieciskas pamatdarbibas NP'!AB71</f>
        <v>37334.999999999993</v>
      </c>
      <c r="AC296" s="463">
        <f ca="1">'Saimnieciskas pamatdarbibas NP'!AC71</f>
        <v>37905</v>
      </c>
      <c r="AD296" s="463">
        <f ca="1">'Saimnieciskas pamatdarbibas NP'!AD71</f>
        <v>38475</v>
      </c>
      <c r="AE296" s="463">
        <f ca="1">'Saimnieciskas pamatdarbibas NP'!AE71</f>
        <v>39235</v>
      </c>
      <c r="AF296" s="463">
        <f ca="1">'Saimnieciskas pamatdarbibas NP'!AF71</f>
        <v>39995.000000000007</v>
      </c>
      <c r="AG296" s="463">
        <f ca="1">'Saimnieciskas pamatdarbibas NP'!AG71</f>
        <v>39995.000000000007</v>
      </c>
      <c r="AH296" s="463">
        <f ca="1">'Saimnieciskas pamatdarbibas NP'!AH71</f>
        <v>40090</v>
      </c>
      <c r="AI296" s="463"/>
      <c r="AJ296" s="260"/>
      <c r="AK296" s="260"/>
      <c r="AL296" s="260"/>
      <c r="AM296" s="535"/>
      <c r="AN296" s="260"/>
      <c r="AO296" s="283"/>
      <c r="AP296" s="71"/>
      <c r="AQ296" s="283"/>
      <c r="AR296" s="71"/>
      <c r="AS296" s="283"/>
      <c r="AT296" s="260"/>
      <c r="AU296" s="260"/>
      <c r="AV296" s="260"/>
      <c r="AW296" s="260"/>
      <c r="AX296" s="260"/>
      <c r="AY296" s="260"/>
      <c r="AZ296" s="260"/>
      <c r="BA296" s="260"/>
      <c r="BB296" s="260"/>
      <c r="BC296" s="260"/>
      <c r="BD296" s="260"/>
      <c r="BE296" s="260"/>
      <c r="BF296" s="260"/>
      <c r="BG296" s="260"/>
      <c r="BH296" s="260"/>
      <c r="BI296" s="260"/>
      <c r="BJ296" s="260"/>
      <c r="BK296" s="260"/>
      <c r="BL296" s="260"/>
      <c r="BM296" s="260"/>
      <c r="BN296" s="260"/>
      <c r="BO296" s="260"/>
      <c r="BP296" s="260"/>
      <c r="BQ296" s="260"/>
      <c r="BR296" s="260"/>
      <c r="BS296" s="260"/>
      <c r="BT296" s="260"/>
      <c r="BU296" s="260"/>
      <c r="BV296" s="260"/>
      <c r="BW296" s="260"/>
      <c r="BX296" s="260"/>
      <c r="BY296" s="260"/>
      <c r="BZ296" s="260"/>
      <c r="CA296" s="260"/>
      <c r="CB296" s="260"/>
      <c r="CC296" s="260"/>
      <c r="CD296" s="260"/>
      <c r="CE296" s="260"/>
      <c r="CF296" s="260"/>
      <c r="CG296" s="260"/>
      <c r="CH296" s="260"/>
      <c r="CI296" s="260"/>
      <c r="CJ296" s="260"/>
      <c r="CK296" s="260"/>
      <c r="CL296" s="260"/>
      <c r="CM296" s="260"/>
      <c r="CN296" s="260"/>
      <c r="CO296" s="260"/>
      <c r="CP296" s="260"/>
      <c r="CQ296" s="260"/>
      <c r="CR296" s="260"/>
      <c r="CS296" s="260"/>
      <c r="CT296" s="260"/>
      <c r="CU296" s="260"/>
      <c r="CV296" s="260"/>
      <c r="CW296" s="260"/>
      <c r="CX296" s="260"/>
      <c r="CY296" s="260"/>
      <c r="CZ296" s="260"/>
      <c r="DA296" s="260"/>
      <c r="DB296" s="260"/>
      <c r="DC296" s="260"/>
      <c r="DD296" s="260"/>
      <c r="DE296" s="260"/>
      <c r="DF296" s="260"/>
      <c r="DG296" s="260"/>
      <c r="DH296" s="260"/>
      <c r="DI296" s="260"/>
      <c r="DJ296" s="260"/>
      <c r="DK296" s="260"/>
      <c r="DL296" s="260"/>
      <c r="DM296" s="260"/>
      <c r="DN296" s="260"/>
      <c r="DO296" s="260"/>
      <c r="DP296" s="260"/>
      <c r="DQ296" s="260"/>
      <c r="DR296" s="260"/>
      <c r="DS296" s="260"/>
      <c r="DT296" s="260"/>
      <c r="DU296" s="260"/>
      <c r="DV296" s="260"/>
      <c r="DW296" s="260"/>
      <c r="DX296" s="260"/>
      <c r="DY296" s="260"/>
      <c r="DZ296" s="260"/>
      <c r="EA296" s="260"/>
      <c r="EB296" s="260"/>
      <c r="EC296" s="260"/>
      <c r="ED296" s="260"/>
      <c r="EE296" s="260"/>
      <c r="EF296" s="260"/>
      <c r="EG296" s="260"/>
      <c r="EH296" s="260"/>
      <c r="EI296" s="260"/>
      <c r="EJ296" s="260"/>
      <c r="EK296" s="260"/>
      <c r="EL296" s="260"/>
      <c r="EM296" s="260"/>
      <c r="EN296" s="260"/>
      <c r="EO296" s="260"/>
      <c r="EP296" s="260"/>
      <c r="EQ296" s="260"/>
      <c r="ER296" s="260"/>
      <c r="ES296" s="260"/>
      <c r="ET296" s="260"/>
      <c r="EU296" s="260"/>
      <c r="EV296" s="260"/>
      <c r="EW296" s="260"/>
      <c r="EX296" s="260"/>
      <c r="EY296" s="260"/>
      <c r="EZ296" s="260"/>
      <c r="FA296" s="260"/>
      <c r="FB296" s="260"/>
      <c r="FC296" s="260"/>
      <c r="FD296" s="260"/>
      <c r="FE296" s="260"/>
      <c r="FF296" s="260"/>
      <c r="FG296" s="260"/>
      <c r="FH296" s="260"/>
      <c r="FI296" s="260"/>
      <c r="FJ296" s="260"/>
      <c r="FK296" s="260"/>
      <c r="FL296" s="260"/>
      <c r="FM296" s="260"/>
      <c r="FN296" s="260"/>
      <c r="FO296" s="260"/>
      <c r="FP296" s="260"/>
      <c r="FQ296" s="260"/>
      <c r="FR296" s="260"/>
      <c r="FS296" s="260"/>
      <c r="FT296" s="260"/>
      <c r="FU296" s="260"/>
      <c r="FV296" s="260"/>
      <c r="FW296" s="260"/>
      <c r="FX296" s="260"/>
      <c r="FY296" s="260"/>
      <c r="FZ296" s="260"/>
      <c r="GA296" s="260"/>
      <c r="GB296" s="260"/>
      <c r="GC296" s="260"/>
      <c r="GD296" s="260"/>
      <c r="GE296" s="260"/>
      <c r="GF296" s="260"/>
      <c r="GG296" s="260"/>
      <c r="GH296" s="260"/>
      <c r="GI296" s="260"/>
      <c r="GJ296" s="260"/>
      <c r="GK296" s="260"/>
      <c r="GL296" s="260"/>
      <c r="GM296" s="260"/>
      <c r="GN296" s="260"/>
      <c r="GO296" s="260"/>
      <c r="GP296" s="260"/>
      <c r="GQ296" s="260"/>
      <c r="GR296" s="260"/>
      <c r="GS296" s="260"/>
      <c r="GT296" s="260"/>
      <c r="GU296" s="260"/>
      <c r="GV296" s="260"/>
      <c r="GW296" s="260"/>
      <c r="GX296" s="260"/>
      <c r="GY296" s="260"/>
      <c r="GZ296" s="260"/>
      <c r="HA296" s="260"/>
      <c r="HB296" s="260"/>
      <c r="HC296" s="260"/>
      <c r="HD296" s="260"/>
      <c r="HE296" s="260"/>
      <c r="HF296" s="260"/>
      <c r="HG296" s="260"/>
      <c r="HH296" s="260"/>
      <c r="HI296" s="260"/>
      <c r="HJ296" s="260"/>
      <c r="HK296" s="260"/>
      <c r="HL296" s="260"/>
      <c r="HM296" s="260"/>
      <c r="HN296" s="260"/>
      <c r="HO296" s="260"/>
      <c r="HP296" s="260"/>
      <c r="HQ296" s="260"/>
      <c r="HR296" s="260"/>
      <c r="HS296" s="260"/>
      <c r="HT296" s="260"/>
      <c r="HU296" s="260"/>
      <c r="HV296" s="260"/>
      <c r="HW296" s="260"/>
      <c r="HX296" s="260"/>
      <c r="HY296" s="260"/>
      <c r="HZ296" s="260"/>
      <c r="IA296" s="260"/>
      <c r="IB296" s="260"/>
      <c r="IC296" s="260"/>
      <c r="ID296" s="260"/>
      <c r="IE296" s="260"/>
      <c r="IF296" s="260"/>
      <c r="IG296" s="260"/>
      <c r="IH296" s="260"/>
      <c r="II296" s="260"/>
      <c r="IJ296" s="260"/>
      <c r="IK296" s="260"/>
      <c r="IL296" s="260"/>
      <c r="IM296" s="260"/>
      <c r="IN296" s="260"/>
      <c r="IO296" s="260"/>
      <c r="IP296" s="260"/>
      <c r="IQ296" s="260"/>
      <c r="IR296" s="260"/>
      <c r="IS296" s="260"/>
    </row>
    <row r="297" spans="1:253" s="419" customFormat="1" x14ac:dyDescent="0.2">
      <c r="A297" s="433" t="s">
        <v>239</v>
      </c>
      <c r="B297" s="463">
        <f>'Saimnieciskas pamatdarbibas NP'!B72</f>
        <v>14000</v>
      </c>
      <c r="C297" s="463">
        <f>'Saimnieciskas pamatdarbibas NP'!C72</f>
        <v>14630.000000000002</v>
      </c>
      <c r="D297" s="463">
        <f>'Saimnieciskas pamatdarbibas NP'!D72</f>
        <v>16169.999999999998</v>
      </c>
      <c r="E297" s="463">
        <f ca="1">'Saimnieciskas pamatdarbibas NP'!E72</f>
        <v>17710</v>
      </c>
      <c r="F297" s="463">
        <f ca="1">'Saimnieciskas pamatdarbibas NP'!F72</f>
        <v>18410</v>
      </c>
      <c r="G297" s="463">
        <f ca="1">'Saimnieciskas pamatdarbibas NP'!G72</f>
        <v>18689.999999999996</v>
      </c>
      <c r="H297" s="463">
        <f ca="1">'Saimnieciskas pamatdarbibas NP'!H72</f>
        <v>19250</v>
      </c>
      <c r="I297" s="463">
        <f ca="1">'Saimnieciskas pamatdarbibas NP'!I72</f>
        <v>19600.000000000004</v>
      </c>
      <c r="J297" s="463">
        <f ca="1">'Saimnieciskas pamatdarbibas NP'!J72</f>
        <v>20089.999999999993</v>
      </c>
      <c r="K297" s="463">
        <f ca="1">'Saimnieciskas pamatdarbibas NP'!K72</f>
        <v>20440.000000000004</v>
      </c>
      <c r="L297" s="463">
        <f ca="1">'Saimnieciskas pamatdarbibas NP'!L72</f>
        <v>20720</v>
      </c>
      <c r="M297" s="463">
        <f ca="1">'Saimnieciskas pamatdarbibas NP'!M72</f>
        <v>21280</v>
      </c>
      <c r="N297" s="463">
        <f ca="1">'Saimnieciskas pamatdarbibas NP'!N72</f>
        <v>21700</v>
      </c>
      <c r="O297" s="463">
        <f ca="1">'Saimnieciskas pamatdarbibas NP'!O72</f>
        <v>22050.000000000004</v>
      </c>
      <c r="P297" s="463">
        <f ca="1">'Saimnieciskas pamatdarbibas NP'!P72</f>
        <v>21560</v>
      </c>
      <c r="Q297" s="463">
        <f ca="1">'Saimnieciskas pamatdarbibas NP'!Q72</f>
        <v>21840.000000000004</v>
      </c>
      <c r="R297" s="463">
        <f ca="1">'Saimnieciskas pamatdarbibas NP'!R72</f>
        <v>22260</v>
      </c>
      <c r="S297" s="463">
        <f ca="1">'Saimnieciskas pamatdarbibas NP'!S72</f>
        <v>22750</v>
      </c>
      <c r="T297" s="463">
        <f ca="1">'Saimnieciskas pamatdarbibas NP'!T72</f>
        <v>23240.000000000004</v>
      </c>
      <c r="U297" s="463">
        <f ca="1">'Saimnieciskas pamatdarbibas NP'!U72</f>
        <v>24290</v>
      </c>
      <c r="V297" s="463">
        <f ca="1">'Saimnieciskas pamatdarbibas NP'!V72</f>
        <v>24780</v>
      </c>
      <c r="W297" s="463">
        <f ca="1">'Saimnieciskas pamatdarbibas NP'!W72</f>
        <v>25200</v>
      </c>
      <c r="X297" s="463">
        <f ca="1">'Saimnieciskas pamatdarbibas NP'!X72</f>
        <v>25690</v>
      </c>
      <c r="Y297" s="463">
        <f ca="1">'Saimnieciskas pamatdarbibas NP'!Y72</f>
        <v>26110</v>
      </c>
      <c r="Z297" s="463">
        <f ca="1">'Saimnieciskas pamatdarbibas NP'!Z72</f>
        <v>26600</v>
      </c>
      <c r="AA297" s="463">
        <f ca="1">'Saimnieciskas pamatdarbibas NP'!AA72</f>
        <v>27020</v>
      </c>
      <c r="AB297" s="463">
        <f ca="1">'Saimnieciskas pamatdarbibas NP'!AB72</f>
        <v>27509.999999999996</v>
      </c>
      <c r="AC297" s="463">
        <f ca="1">'Saimnieciskas pamatdarbibas NP'!AC72</f>
        <v>27930</v>
      </c>
      <c r="AD297" s="463">
        <f ca="1">'Saimnieciskas pamatdarbibas NP'!AD72</f>
        <v>28350.000000000004</v>
      </c>
      <c r="AE297" s="463">
        <f ca="1">'Saimnieciskas pamatdarbibas NP'!AE72</f>
        <v>28910.000000000004</v>
      </c>
      <c r="AF297" s="463">
        <f ca="1">'Saimnieciskas pamatdarbibas NP'!AF72</f>
        <v>29470.000000000004</v>
      </c>
      <c r="AG297" s="463">
        <f ca="1">'Saimnieciskas pamatdarbibas NP'!AG72</f>
        <v>29470.000000000004</v>
      </c>
      <c r="AH297" s="463">
        <f ca="1">'Saimnieciskas pamatdarbibas NP'!AH72</f>
        <v>29540</v>
      </c>
      <c r="AI297" s="463"/>
      <c r="AJ297" s="260"/>
      <c r="AK297" s="260"/>
      <c r="AL297" s="260"/>
      <c r="AM297" s="535"/>
      <c r="AN297" s="260"/>
      <c r="AO297" s="283"/>
      <c r="AP297" s="71"/>
      <c r="AQ297" s="283"/>
      <c r="AR297" s="71"/>
      <c r="AS297" s="283"/>
      <c r="AT297" s="260"/>
      <c r="AU297" s="260"/>
      <c r="AV297" s="260"/>
      <c r="AW297" s="260"/>
      <c r="AX297" s="260"/>
      <c r="AY297" s="260"/>
      <c r="AZ297" s="260"/>
      <c r="BA297" s="260"/>
      <c r="BB297" s="260"/>
      <c r="BC297" s="260"/>
      <c r="BD297" s="260"/>
      <c r="BE297" s="260"/>
      <c r="BF297" s="260"/>
      <c r="BG297" s="260"/>
      <c r="BH297" s="260"/>
      <c r="BI297" s="260"/>
      <c r="BJ297" s="260"/>
      <c r="BK297" s="260"/>
      <c r="BL297" s="260"/>
      <c r="BM297" s="260"/>
      <c r="BN297" s="260"/>
      <c r="BO297" s="260"/>
      <c r="BP297" s="260"/>
      <c r="BQ297" s="260"/>
      <c r="BR297" s="260"/>
      <c r="BS297" s="260"/>
      <c r="BT297" s="260"/>
      <c r="BU297" s="260"/>
      <c r="BV297" s="260"/>
      <c r="BW297" s="260"/>
      <c r="BX297" s="260"/>
      <c r="BY297" s="260"/>
      <c r="BZ297" s="260"/>
      <c r="CA297" s="260"/>
      <c r="CB297" s="260"/>
      <c r="CC297" s="260"/>
      <c r="CD297" s="260"/>
      <c r="CE297" s="260"/>
      <c r="CF297" s="260"/>
      <c r="CG297" s="260"/>
      <c r="CH297" s="260"/>
      <c r="CI297" s="260"/>
      <c r="CJ297" s="260"/>
      <c r="CK297" s="260"/>
      <c r="CL297" s="260"/>
      <c r="CM297" s="260"/>
      <c r="CN297" s="260"/>
      <c r="CO297" s="260"/>
      <c r="CP297" s="260"/>
      <c r="CQ297" s="260"/>
      <c r="CR297" s="260"/>
      <c r="CS297" s="260"/>
      <c r="CT297" s="260"/>
      <c r="CU297" s="260"/>
      <c r="CV297" s="260"/>
      <c r="CW297" s="260"/>
      <c r="CX297" s="260"/>
      <c r="CY297" s="260"/>
      <c r="CZ297" s="260"/>
      <c r="DA297" s="260"/>
      <c r="DB297" s="260"/>
      <c r="DC297" s="260"/>
      <c r="DD297" s="260"/>
      <c r="DE297" s="260"/>
      <c r="DF297" s="260"/>
      <c r="DG297" s="260"/>
      <c r="DH297" s="260"/>
      <c r="DI297" s="260"/>
      <c r="DJ297" s="260"/>
      <c r="DK297" s="260"/>
      <c r="DL297" s="260"/>
      <c r="DM297" s="260"/>
      <c r="DN297" s="260"/>
      <c r="DO297" s="260"/>
      <c r="DP297" s="260"/>
      <c r="DQ297" s="260"/>
      <c r="DR297" s="260"/>
      <c r="DS297" s="260"/>
      <c r="DT297" s="260"/>
      <c r="DU297" s="260"/>
      <c r="DV297" s="260"/>
      <c r="DW297" s="260"/>
      <c r="DX297" s="260"/>
      <c r="DY297" s="260"/>
      <c r="DZ297" s="260"/>
      <c r="EA297" s="260"/>
      <c r="EB297" s="260"/>
      <c r="EC297" s="260"/>
      <c r="ED297" s="260"/>
      <c r="EE297" s="260"/>
      <c r="EF297" s="260"/>
      <c r="EG297" s="260"/>
      <c r="EH297" s="260"/>
      <c r="EI297" s="260"/>
      <c r="EJ297" s="260"/>
      <c r="EK297" s="260"/>
      <c r="EL297" s="260"/>
      <c r="EM297" s="260"/>
      <c r="EN297" s="260"/>
      <c r="EO297" s="260"/>
      <c r="EP297" s="260"/>
      <c r="EQ297" s="260"/>
      <c r="ER297" s="260"/>
      <c r="ES297" s="260"/>
      <c r="ET297" s="260"/>
      <c r="EU297" s="260"/>
      <c r="EV297" s="260"/>
      <c r="EW297" s="260"/>
      <c r="EX297" s="260"/>
      <c r="EY297" s="260"/>
      <c r="EZ297" s="260"/>
      <c r="FA297" s="260"/>
      <c r="FB297" s="260"/>
      <c r="FC297" s="260"/>
      <c r="FD297" s="260"/>
      <c r="FE297" s="260"/>
      <c r="FF297" s="260"/>
      <c r="FG297" s="260"/>
      <c r="FH297" s="260"/>
      <c r="FI297" s="260"/>
      <c r="FJ297" s="260"/>
      <c r="FK297" s="260"/>
      <c r="FL297" s="260"/>
      <c r="FM297" s="260"/>
      <c r="FN297" s="260"/>
      <c r="FO297" s="260"/>
      <c r="FP297" s="260"/>
      <c r="FQ297" s="260"/>
      <c r="FR297" s="260"/>
      <c r="FS297" s="260"/>
      <c r="FT297" s="260"/>
      <c r="FU297" s="260"/>
      <c r="FV297" s="260"/>
      <c r="FW297" s="260"/>
      <c r="FX297" s="260"/>
      <c r="FY297" s="260"/>
      <c r="FZ297" s="260"/>
      <c r="GA297" s="260"/>
      <c r="GB297" s="260"/>
      <c r="GC297" s="260"/>
      <c r="GD297" s="260"/>
      <c r="GE297" s="260"/>
      <c r="GF297" s="260"/>
      <c r="GG297" s="260"/>
      <c r="GH297" s="260"/>
      <c r="GI297" s="260"/>
      <c r="GJ297" s="260"/>
      <c r="GK297" s="260"/>
      <c r="GL297" s="260"/>
      <c r="GM297" s="260"/>
      <c r="GN297" s="260"/>
      <c r="GO297" s="260"/>
      <c r="GP297" s="260"/>
      <c r="GQ297" s="260"/>
      <c r="GR297" s="260"/>
      <c r="GS297" s="260"/>
      <c r="GT297" s="260"/>
      <c r="GU297" s="260"/>
      <c r="GV297" s="260"/>
      <c r="GW297" s="260"/>
      <c r="GX297" s="260"/>
      <c r="GY297" s="260"/>
      <c r="GZ297" s="260"/>
      <c r="HA297" s="260"/>
      <c r="HB297" s="260"/>
      <c r="HC297" s="260"/>
      <c r="HD297" s="260"/>
      <c r="HE297" s="260"/>
      <c r="HF297" s="260"/>
      <c r="HG297" s="260"/>
      <c r="HH297" s="260"/>
      <c r="HI297" s="260"/>
      <c r="HJ297" s="260"/>
      <c r="HK297" s="260"/>
      <c r="HL297" s="260"/>
      <c r="HM297" s="260"/>
      <c r="HN297" s="260"/>
      <c r="HO297" s="260"/>
      <c r="HP297" s="260"/>
      <c r="HQ297" s="260"/>
      <c r="HR297" s="260"/>
      <c r="HS297" s="260"/>
      <c r="HT297" s="260"/>
      <c r="HU297" s="260"/>
      <c r="HV297" s="260"/>
      <c r="HW297" s="260"/>
      <c r="HX297" s="260"/>
      <c r="HY297" s="260"/>
      <c r="HZ297" s="260"/>
      <c r="IA297" s="260"/>
      <c r="IB297" s="260"/>
      <c r="IC297" s="260"/>
      <c r="ID297" s="260"/>
      <c r="IE297" s="260"/>
      <c r="IF297" s="260"/>
      <c r="IG297" s="260"/>
      <c r="IH297" s="260"/>
      <c r="II297" s="260"/>
      <c r="IJ297" s="260"/>
      <c r="IK297" s="260"/>
      <c r="IL297" s="260"/>
      <c r="IM297" s="260"/>
      <c r="IN297" s="260"/>
      <c r="IO297" s="260"/>
      <c r="IP297" s="260"/>
      <c r="IQ297" s="260"/>
      <c r="IR297" s="260"/>
      <c r="IS297" s="260"/>
    </row>
    <row r="298" spans="1:253" s="62" customFormat="1" x14ac:dyDescent="0.2">
      <c r="A298" s="474" t="s">
        <v>240</v>
      </c>
      <c r="B298" s="475">
        <f ca="1">SUM(Aprekini!B59,Aprekini!B65,Aprekini!B71)*Aprekini!$B$158</f>
        <v>0</v>
      </c>
      <c r="C298" s="475">
        <f ca="1">SUM(Aprekini!C59,Aprekini!C65,Aprekini!C71)*Aprekini!$B$158</f>
        <v>0</v>
      </c>
      <c r="D298" s="475">
        <f ca="1">SUM(Aprekini!D59,Aprekini!D65,Aprekini!D71)*Aprekini!$B$158</f>
        <v>0</v>
      </c>
      <c r="E298" s="475">
        <f ca="1">SUM(Aprekini!E59,Aprekini!E65,Aprekini!E71)*Aprekini!$B$158</f>
        <v>0</v>
      </c>
      <c r="F298" s="463">
        <f ca="1">SUM(Aprekini!F59,Aprekini!F65,Aprekini!F71)*Aprekini!$B$158</f>
        <v>28163.573227377052</v>
      </c>
      <c r="G298" s="475">
        <f ca="1">SUM(Aprekini!G59,Aprekini!G65,Aprekini!G71)*Aprekini!$B$158</f>
        <v>28163.573227377052</v>
      </c>
      <c r="H298" s="475">
        <f ca="1">SUM(Aprekini!H59,Aprekini!H65,Aprekini!H71)*Aprekini!$B$158</f>
        <v>28163.573227377052</v>
      </c>
      <c r="I298" s="475">
        <f ca="1">SUM(Aprekini!I59,Aprekini!I65,Aprekini!I71)*Aprekini!$B$158</f>
        <v>28163.573227377052</v>
      </c>
      <c r="J298" s="475">
        <f ca="1">SUM(Aprekini!J59,Aprekini!J65,Aprekini!J71)*Aprekini!$B$158</f>
        <v>28163.573227377052</v>
      </c>
      <c r="K298" s="475">
        <f ca="1">SUM(Aprekini!K59,Aprekini!K65,Aprekini!K71)*Aprekini!$B$158</f>
        <v>28163.573227377052</v>
      </c>
      <c r="L298" s="475">
        <f ca="1">SUM(Aprekini!L59,Aprekini!L65,Aprekini!L71)*Aprekini!$B$158</f>
        <v>28163.573227377052</v>
      </c>
      <c r="M298" s="475">
        <f ca="1">SUM(Aprekini!M59,Aprekini!M65,Aprekini!M71)*Aprekini!$B$158</f>
        <v>28163.573227377052</v>
      </c>
      <c r="N298" s="475">
        <f ca="1">SUM(Aprekini!N59,Aprekini!N65,Aprekini!N71)*Aprekini!$B$158</f>
        <v>28163.573227377052</v>
      </c>
      <c r="O298" s="475">
        <f ca="1">SUM(Aprekini!O59,Aprekini!O65,Aprekini!O71)*Aprekini!$B$158</f>
        <v>28163.573227377052</v>
      </c>
      <c r="P298" s="475">
        <f ca="1">SUM(Aprekini!P59,Aprekini!P65,Aprekini!P71)*Aprekini!$B$158</f>
        <v>5801.2437637496523</v>
      </c>
      <c r="Q298" s="475">
        <f ca="1">SUM(Aprekini!Q59,Aprekini!Q65,Aprekini!Q71)*Aprekini!$B$158</f>
        <v>5801.2437637496523</v>
      </c>
      <c r="R298" s="475">
        <f ca="1">SUM(Aprekini!R59,Aprekini!R65,Aprekini!R71)*Aprekini!$B$158</f>
        <v>5801.2437637496523</v>
      </c>
      <c r="S298" s="475">
        <f ca="1">SUM(Aprekini!S59,Aprekini!S65,Aprekini!S71)*Aprekini!$B$158</f>
        <v>5801.2437637496523</v>
      </c>
      <c r="T298" s="475">
        <f ca="1">SUM(Aprekini!T59,Aprekini!T65,Aprekini!T71)*Aprekini!$B$158</f>
        <v>5801.2437637496523</v>
      </c>
      <c r="U298" s="475">
        <f ca="1">SUM(Aprekini!U59,Aprekini!U65,Aprekini!U71)*Aprekini!$B$158</f>
        <v>5801.2437637496523</v>
      </c>
      <c r="V298" s="475">
        <f ca="1">SUM(Aprekini!V59,Aprekini!V65,Aprekini!V71)*Aprekini!$B$158</f>
        <v>5801.2437637496523</v>
      </c>
      <c r="W298" s="475">
        <f ca="1">SUM(Aprekini!W59,Aprekini!W65,Aprekini!W71)*Aprekini!$B$158</f>
        <v>5801.2437637496523</v>
      </c>
      <c r="X298" s="475">
        <f ca="1">SUM(Aprekini!X59,Aprekini!X65,Aprekini!X71)*Aprekini!$B$158</f>
        <v>5801.2437637496523</v>
      </c>
      <c r="Y298" s="475">
        <f ca="1">SUM(Aprekini!Y59,Aprekini!Y65,Aprekini!Y71)*Aprekini!$B$158</f>
        <v>5801.2437637496523</v>
      </c>
      <c r="Z298" s="475">
        <f ca="1">SUM(Aprekini!Z59,Aprekini!Z65,Aprekini!Z71)*Aprekini!$B$158</f>
        <v>5801.2437637496523</v>
      </c>
      <c r="AA298" s="475">
        <f ca="1">SUM(Aprekini!AA59,Aprekini!AA65,Aprekini!AA71)*Aprekini!$B$158</f>
        <v>5801.2437637496523</v>
      </c>
      <c r="AB298" s="475">
        <f ca="1">SUM(Aprekini!AB59,Aprekini!AB65,Aprekini!AB71)*Aprekini!$B$158</f>
        <v>5801.2437637496523</v>
      </c>
      <c r="AC298" s="475">
        <f ca="1">SUM(Aprekini!AC59,Aprekini!AC65,Aprekini!AC71)*Aprekini!$B$158</f>
        <v>5801.2437637496523</v>
      </c>
      <c r="AD298" s="475">
        <f ca="1">SUM(Aprekini!AD59,Aprekini!AD65,Aprekini!AD71)*Aprekini!$B$158</f>
        <v>5801.2437637496523</v>
      </c>
      <c r="AE298" s="475">
        <f ca="1">SUM(Aprekini!AE59,Aprekini!AE65,Aprekini!AE71)*Aprekini!$B$158</f>
        <v>5801.2437637496523</v>
      </c>
      <c r="AF298" s="475">
        <f ca="1">SUM(Aprekini!AF59,Aprekini!AF65,Aprekini!AF71)*Aprekini!$B$158</f>
        <v>5801.2437637496523</v>
      </c>
      <c r="AG298" s="475">
        <f ca="1">SUM(Aprekini!AG59,Aprekini!AG65,Aprekini!AG71)*Aprekini!$B$158</f>
        <v>5801.2437637496523</v>
      </c>
      <c r="AH298" s="475">
        <f ca="1">SUM(Aprekini!AH59,Aprekini!AH65,Aprekini!AH71)*Aprekini!$B$158</f>
        <v>5801.2437637496523</v>
      </c>
      <c r="AI298" s="475"/>
      <c r="AJ298" s="165"/>
      <c r="AK298" s="165"/>
      <c r="AL298" s="165"/>
      <c r="AM298" s="535"/>
      <c r="AN298" s="165"/>
      <c r="AO298" s="283"/>
      <c r="AP298" s="71"/>
      <c r="AQ298" s="283"/>
      <c r="AR298" s="71"/>
      <c r="AS298" s="283"/>
      <c r="AT298" s="165"/>
      <c r="AU298" s="165"/>
      <c r="AV298" s="165"/>
      <c r="AW298" s="165"/>
      <c r="AX298" s="165"/>
      <c r="AY298" s="165"/>
      <c r="AZ298" s="165"/>
      <c r="BA298" s="165"/>
      <c r="BB298" s="165"/>
      <c r="BC298" s="165"/>
      <c r="BD298" s="165"/>
      <c r="BE298" s="165"/>
      <c r="BF298" s="165"/>
      <c r="BG298" s="165"/>
      <c r="BH298" s="165"/>
      <c r="BI298" s="165"/>
      <c r="BJ298" s="165"/>
      <c r="BK298" s="165"/>
      <c r="BL298" s="165"/>
      <c r="BM298" s="165"/>
      <c r="BN298" s="165"/>
      <c r="BO298" s="165"/>
      <c r="BP298" s="165"/>
      <c r="BQ298" s="165"/>
      <c r="BR298" s="165"/>
      <c r="BS298" s="165"/>
      <c r="BT298" s="165"/>
      <c r="BU298" s="165"/>
      <c r="BV298" s="165"/>
      <c r="BW298" s="165"/>
      <c r="BX298" s="165"/>
      <c r="BY298" s="165"/>
      <c r="BZ298" s="165"/>
      <c r="CA298" s="165"/>
      <c r="CB298" s="165"/>
      <c r="CC298" s="165"/>
      <c r="CD298" s="165"/>
      <c r="CE298" s="165"/>
      <c r="CF298" s="165"/>
      <c r="CG298" s="165"/>
      <c r="CH298" s="165"/>
      <c r="CI298" s="165"/>
      <c r="CJ298" s="165"/>
      <c r="CK298" s="165"/>
      <c r="CL298" s="165"/>
      <c r="CM298" s="165"/>
      <c r="CN298" s="165"/>
      <c r="CO298" s="165"/>
      <c r="CP298" s="165"/>
      <c r="CQ298" s="165"/>
      <c r="CR298" s="165"/>
      <c r="CS298" s="165"/>
      <c r="CT298" s="165"/>
      <c r="CU298" s="165"/>
      <c r="CV298" s="165"/>
      <c r="CW298" s="165"/>
      <c r="CX298" s="165"/>
      <c r="CY298" s="165"/>
      <c r="CZ298" s="165"/>
      <c r="DA298" s="165"/>
      <c r="DB298" s="165"/>
      <c r="DC298" s="165"/>
      <c r="DD298" s="165"/>
      <c r="DE298" s="165"/>
      <c r="DF298" s="165"/>
      <c r="DG298" s="165"/>
      <c r="DH298" s="165"/>
      <c r="DI298" s="165"/>
      <c r="DJ298" s="165"/>
      <c r="DK298" s="165"/>
      <c r="DL298" s="165"/>
      <c r="DM298" s="165"/>
      <c r="DN298" s="165"/>
      <c r="DO298" s="165"/>
      <c r="DP298" s="165"/>
      <c r="DQ298" s="165"/>
      <c r="DR298" s="165"/>
      <c r="DS298" s="165"/>
      <c r="DT298" s="165"/>
      <c r="DU298" s="165"/>
      <c r="DV298" s="165"/>
      <c r="DW298" s="165"/>
      <c r="DX298" s="165"/>
      <c r="DY298" s="165"/>
      <c r="DZ298" s="165"/>
      <c r="EA298" s="165"/>
      <c r="EB298" s="165"/>
      <c r="EC298" s="165"/>
      <c r="ED298" s="165"/>
      <c r="EE298" s="165"/>
      <c r="EF298" s="165"/>
      <c r="EG298" s="165"/>
      <c r="EH298" s="165"/>
      <c r="EI298" s="165"/>
      <c r="EJ298" s="165"/>
      <c r="EK298" s="165"/>
      <c r="EL298" s="165"/>
      <c r="EM298" s="165"/>
      <c r="EN298" s="165"/>
      <c r="EO298" s="165"/>
      <c r="EP298" s="165"/>
      <c r="EQ298" s="165"/>
      <c r="ER298" s="165"/>
      <c r="ES298" s="165"/>
      <c r="ET298" s="165"/>
      <c r="EU298" s="165"/>
      <c r="EV298" s="165"/>
      <c r="EW298" s="165"/>
      <c r="EX298" s="165"/>
      <c r="EY298" s="165"/>
      <c r="EZ298" s="165"/>
      <c r="FA298" s="165"/>
      <c r="FB298" s="165"/>
      <c r="FC298" s="165"/>
      <c r="FD298" s="165"/>
      <c r="FE298" s="165"/>
      <c r="FF298" s="165"/>
      <c r="FG298" s="165"/>
      <c r="FH298" s="165"/>
      <c r="FI298" s="165"/>
      <c r="FJ298" s="165"/>
      <c r="FK298" s="165"/>
      <c r="FL298" s="165"/>
      <c r="FM298" s="165"/>
      <c r="FN298" s="165"/>
      <c r="FO298" s="165"/>
      <c r="FP298" s="165"/>
      <c r="FQ298" s="165"/>
      <c r="FR298" s="165"/>
      <c r="FS298" s="165"/>
      <c r="FT298" s="165"/>
      <c r="FU298" s="165"/>
      <c r="FV298" s="165"/>
      <c r="FW298" s="165"/>
      <c r="FX298" s="165"/>
      <c r="FY298" s="165"/>
      <c r="FZ298" s="165"/>
      <c r="GA298" s="165"/>
      <c r="GB298" s="165"/>
      <c r="GC298" s="165"/>
      <c r="GD298" s="165"/>
      <c r="GE298" s="165"/>
      <c r="GF298" s="165"/>
      <c r="GG298" s="165"/>
      <c r="GH298" s="165"/>
      <c r="GI298" s="165"/>
      <c r="GJ298" s="165"/>
      <c r="GK298" s="165"/>
      <c r="GL298" s="165"/>
      <c r="GM298" s="165"/>
      <c r="GN298" s="165"/>
      <c r="GO298" s="165"/>
      <c r="GP298" s="165"/>
      <c r="GQ298" s="165"/>
      <c r="GR298" s="165"/>
      <c r="GS298" s="165"/>
      <c r="GT298" s="165"/>
      <c r="GU298" s="165"/>
      <c r="GV298" s="165"/>
      <c r="GW298" s="165"/>
      <c r="GX298" s="165"/>
      <c r="GY298" s="165"/>
      <c r="GZ298" s="165"/>
      <c r="HA298" s="165"/>
      <c r="HB298" s="165"/>
      <c r="HC298" s="165"/>
      <c r="HD298" s="165"/>
      <c r="HE298" s="165"/>
      <c r="HF298" s="165"/>
      <c r="HG298" s="165"/>
      <c r="HH298" s="165"/>
      <c r="HI298" s="165"/>
      <c r="HJ298" s="165"/>
      <c r="HK298" s="165"/>
      <c r="HL298" s="165"/>
      <c r="HM298" s="165"/>
      <c r="HN298" s="165"/>
      <c r="HO298" s="165"/>
      <c r="HP298" s="165"/>
      <c r="HQ298" s="165"/>
      <c r="HR298" s="165"/>
      <c r="HS298" s="165"/>
      <c r="HT298" s="165"/>
      <c r="HU298" s="165"/>
      <c r="HV298" s="165"/>
      <c r="HW298" s="165"/>
      <c r="HX298" s="165"/>
      <c r="HY298" s="165"/>
      <c r="HZ298" s="165"/>
      <c r="IA298" s="165"/>
      <c r="IB298" s="165"/>
      <c r="IC298" s="165"/>
      <c r="ID298" s="165"/>
      <c r="IE298" s="165"/>
      <c r="IF298" s="165"/>
      <c r="IG298" s="165"/>
      <c r="IH298" s="165"/>
      <c r="II298" s="165"/>
      <c r="IJ298" s="165"/>
      <c r="IK298" s="165"/>
      <c r="IL298" s="165"/>
      <c r="IM298" s="165"/>
      <c r="IN298" s="165"/>
      <c r="IO298" s="165"/>
      <c r="IP298" s="165"/>
      <c r="IQ298" s="165"/>
      <c r="IR298" s="165"/>
      <c r="IS298" s="165"/>
    </row>
    <row r="299" spans="1:253" s="419" customFormat="1" x14ac:dyDescent="0.2">
      <c r="A299" s="464" t="s">
        <v>241</v>
      </c>
      <c r="B299" s="465">
        <f t="shared" ref="B299:AG299" si="106">SUM(B300,B306)</f>
        <v>356740.78710000002</v>
      </c>
      <c r="C299" s="465">
        <f t="shared" si="106"/>
        <v>374679.89219699998</v>
      </c>
      <c r="D299" s="465">
        <f t="shared" si="106"/>
        <v>409041.61580999999</v>
      </c>
      <c r="E299" s="465">
        <f t="shared" si="106"/>
        <v>443403.339423</v>
      </c>
      <c r="F299" s="465">
        <f t="shared" si="106"/>
        <v>456416.43516500003</v>
      </c>
      <c r="G299" s="465">
        <f t="shared" si="106"/>
        <v>464497.63090700004</v>
      </c>
      <c r="H299" s="465">
        <f t="shared" si="106"/>
        <v>477669.27944900002</v>
      </c>
      <c r="I299" s="465">
        <f t="shared" si="106"/>
        <v>487616.39279099996</v>
      </c>
      <c r="J299" s="465">
        <f t="shared" si="106"/>
        <v>495815.15413299995</v>
      </c>
      <c r="K299" s="465">
        <f t="shared" si="106"/>
        <v>504013.91547500005</v>
      </c>
      <c r="L299" s="465">
        <f t="shared" si="106"/>
        <v>512212.67681700003</v>
      </c>
      <c r="M299" s="465">
        <f t="shared" si="106"/>
        <v>520411.43815900001</v>
      </c>
      <c r="N299" s="465">
        <f t="shared" si="106"/>
        <v>531596.42230099998</v>
      </c>
      <c r="O299" s="465">
        <f t="shared" si="106"/>
        <v>542671.40644300007</v>
      </c>
      <c r="P299" s="465">
        <f t="shared" si="106"/>
        <v>554969.54845600005</v>
      </c>
      <c r="Q299" s="465">
        <f t="shared" si="106"/>
        <v>567267.69046900002</v>
      </c>
      <c r="R299" s="465">
        <f t="shared" si="106"/>
        <v>579565.83248199988</v>
      </c>
      <c r="S299" s="465">
        <f t="shared" si="106"/>
        <v>591863.97449499997</v>
      </c>
      <c r="T299" s="465">
        <f t="shared" si="106"/>
        <v>604162.11650800006</v>
      </c>
      <c r="U299" s="465">
        <f t="shared" si="106"/>
        <v>616460.25852100004</v>
      </c>
      <c r="V299" s="465">
        <f t="shared" si="106"/>
        <v>628758.40053400001</v>
      </c>
      <c r="W299" s="465">
        <f t="shared" si="106"/>
        <v>641056.54254699999</v>
      </c>
      <c r="X299" s="465">
        <f t="shared" si="106"/>
        <v>653354.68455999997</v>
      </c>
      <c r="Y299" s="465">
        <f t="shared" si="106"/>
        <v>665652.82657299994</v>
      </c>
      <c r="Z299" s="465">
        <f t="shared" si="106"/>
        <v>677950.96858599992</v>
      </c>
      <c r="AA299" s="465">
        <f t="shared" si="106"/>
        <v>690249.11059900001</v>
      </c>
      <c r="AB299" s="465">
        <f t="shared" si="106"/>
        <v>702547.25261199998</v>
      </c>
      <c r="AC299" s="465">
        <f t="shared" si="106"/>
        <v>714845.39462499996</v>
      </c>
      <c r="AD299" s="465">
        <f t="shared" si="106"/>
        <v>727143.53663800005</v>
      </c>
      <c r="AE299" s="465">
        <f t="shared" si="106"/>
        <v>742427.90145100001</v>
      </c>
      <c r="AF299" s="465">
        <f t="shared" si="106"/>
        <v>757602.26626400021</v>
      </c>
      <c r="AG299" s="465">
        <f t="shared" si="106"/>
        <v>757174.26626400021</v>
      </c>
      <c r="AH299" s="465">
        <f>SUM(AH300,AH306)</f>
        <v>756746.26626400021</v>
      </c>
      <c r="AI299" s="465"/>
      <c r="AJ299" s="260"/>
      <c r="AK299" s="260"/>
      <c r="AL299" s="260"/>
      <c r="AM299" s="535"/>
      <c r="AN299" s="260"/>
      <c r="AO299" s="283"/>
      <c r="AP299" s="71"/>
      <c r="AQ299" s="283"/>
      <c r="AR299" s="71"/>
      <c r="AS299" s="283"/>
      <c r="AT299" s="260"/>
      <c r="AU299" s="260"/>
      <c r="AV299" s="260"/>
      <c r="AW299" s="260"/>
      <c r="AX299" s="260"/>
      <c r="AY299" s="260"/>
      <c r="AZ299" s="260"/>
      <c r="BA299" s="260"/>
      <c r="BB299" s="260"/>
      <c r="BC299" s="260"/>
      <c r="BD299" s="260"/>
      <c r="BE299" s="260"/>
      <c r="BF299" s="260"/>
      <c r="BG299" s="260"/>
      <c r="BH299" s="260"/>
      <c r="BI299" s="260"/>
      <c r="BJ299" s="260"/>
      <c r="BK299" s="260"/>
      <c r="BL299" s="260"/>
      <c r="BM299" s="260"/>
      <c r="BN299" s="260"/>
      <c r="BO299" s="260"/>
      <c r="BP299" s="260"/>
      <c r="BQ299" s="260"/>
      <c r="BR299" s="260"/>
      <c r="BS299" s="260"/>
      <c r="BT299" s="260"/>
      <c r="BU299" s="260"/>
      <c r="BV299" s="260"/>
      <c r="BW299" s="260"/>
      <c r="BX299" s="260"/>
      <c r="BY299" s="260"/>
      <c r="BZ299" s="260"/>
      <c r="CA299" s="260"/>
      <c r="CB299" s="260"/>
      <c r="CC299" s="260"/>
      <c r="CD299" s="260"/>
      <c r="CE299" s="260"/>
      <c r="CF299" s="260"/>
      <c r="CG299" s="260"/>
      <c r="CH299" s="260"/>
      <c r="CI299" s="260"/>
      <c r="CJ299" s="260"/>
      <c r="CK299" s="260"/>
      <c r="CL299" s="260"/>
      <c r="CM299" s="260"/>
      <c r="CN299" s="260"/>
      <c r="CO299" s="260"/>
      <c r="CP299" s="260"/>
      <c r="CQ299" s="260"/>
      <c r="CR299" s="260"/>
      <c r="CS299" s="260"/>
      <c r="CT299" s="260"/>
      <c r="CU299" s="260"/>
      <c r="CV299" s="260"/>
      <c r="CW299" s="260"/>
      <c r="CX299" s="260"/>
      <c r="CY299" s="260"/>
      <c r="CZ299" s="260"/>
      <c r="DA299" s="260"/>
      <c r="DB299" s="260"/>
      <c r="DC299" s="260"/>
      <c r="DD299" s="260"/>
      <c r="DE299" s="260"/>
      <c r="DF299" s="260"/>
      <c r="DG299" s="260"/>
      <c r="DH299" s="260"/>
      <c r="DI299" s="260"/>
      <c r="DJ299" s="260"/>
      <c r="DK299" s="260"/>
      <c r="DL299" s="260"/>
      <c r="DM299" s="260"/>
      <c r="DN299" s="260"/>
      <c r="DO299" s="260"/>
      <c r="DP299" s="260"/>
      <c r="DQ299" s="260"/>
      <c r="DR299" s="260"/>
      <c r="DS299" s="260"/>
      <c r="DT299" s="260"/>
      <c r="DU299" s="260"/>
      <c r="DV299" s="260"/>
      <c r="DW299" s="260"/>
      <c r="DX299" s="260"/>
      <c r="DY299" s="260"/>
      <c r="DZ299" s="260"/>
      <c r="EA299" s="260"/>
      <c r="EB299" s="260"/>
      <c r="EC299" s="260"/>
      <c r="ED299" s="260"/>
      <c r="EE299" s="260"/>
      <c r="EF299" s="260"/>
      <c r="EG299" s="260"/>
      <c r="EH299" s="260"/>
      <c r="EI299" s="260"/>
      <c r="EJ299" s="260"/>
      <c r="EK299" s="260"/>
      <c r="EL299" s="260"/>
      <c r="EM299" s="260"/>
      <c r="EN299" s="260"/>
      <c r="EO299" s="260"/>
      <c r="EP299" s="260"/>
      <c r="EQ299" s="260"/>
      <c r="ER299" s="260"/>
      <c r="ES299" s="260"/>
      <c r="ET299" s="260"/>
      <c r="EU299" s="260"/>
      <c r="EV299" s="260"/>
      <c r="EW299" s="260"/>
      <c r="EX299" s="260"/>
      <c r="EY299" s="260"/>
      <c r="EZ299" s="260"/>
      <c r="FA299" s="260"/>
      <c r="FB299" s="260"/>
      <c r="FC299" s="260"/>
      <c r="FD299" s="260"/>
      <c r="FE299" s="260"/>
      <c r="FF299" s="260"/>
      <c r="FG299" s="260"/>
      <c r="FH299" s="260"/>
      <c r="FI299" s="260"/>
      <c r="FJ299" s="260"/>
      <c r="FK299" s="260"/>
      <c r="FL299" s="260"/>
      <c r="FM299" s="260"/>
      <c r="FN299" s="260"/>
      <c r="FO299" s="260"/>
      <c r="FP299" s="260"/>
      <c r="FQ299" s="260"/>
      <c r="FR299" s="260"/>
      <c r="FS299" s="260"/>
      <c r="FT299" s="260"/>
      <c r="FU299" s="260"/>
      <c r="FV299" s="260"/>
      <c r="FW299" s="260"/>
      <c r="FX299" s="260"/>
      <c r="FY299" s="260"/>
      <c r="FZ299" s="260"/>
      <c r="GA299" s="260"/>
      <c r="GB299" s="260"/>
      <c r="GC299" s="260"/>
      <c r="GD299" s="260"/>
      <c r="GE299" s="260"/>
      <c r="GF299" s="260"/>
      <c r="GG299" s="260"/>
      <c r="GH299" s="260"/>
      <c r="GI299" s="260"/>
      <c r="GJ299" s="260"/>
      <c r="GK299" s="260"/>
      <c r="GL299" s="260"/>
      <c r="GM299" s="260"/>
      <c r="GN299" s="260"/>
      <c r="GO299" s="260"/>
      <c r="GP299" s="260"/>
      <c r="GQ299" s="260"/>
      <c r="GR299" s="260"/>
      <c r="GS299" s="260"/>
      <c r="GT299" s="260"/>
      <c r="GU299" s="260"/>
      <c r="GV299" s="260"/>
      <c r="GW299" s="260"/>
      <c r="GX299" s="260"/>
      <c r="GY299" s="260"/>
      <c r="GZ299" s="260"/>
      <c r="HA299" s="260"/>
      <c r="HB299" s="260"/>
      <c r="HC299" s="260"/>
      <c r="HD299" s="260"/>
      <c r="HE299" s="260"/>
      <c r="HF299" s="260"/>
      <c r="HG299" s="260"/>
      <c r="HH299" s="260"/>
      <c r="HI299" s="260"/>
      <c r="HJ299" s="260"/>
      <c r="HK299" s="260"/>
      <c r="HL299" s="260"/>
      <c r="HM299" s="260"/>
      <c r="HN299" s="260"/>
      <c r="HO299" s="260"/>
      <c r="HP299" s="260"/>
      <c r="HQ299" s="260"/>
      <c r="HR299" s="260"/>
      <c r="HS299" s="260"/>
      <c r="HT299" s="260"/>
      <c r="HU299" s="260"/>
      <c r="HV299" s="260"/>
      <c r="HW299" s="260"/>
      <c r="HX299" s="260"/>
      <c r="HY299" s="260"/>
      <c r="HZ299" s="260"/>
      <c r="IA299" s="260"/>
      <c r="IB299" s="260"/>
      <c r="IC299" s="260"/>
      <c r="ID299" s="260"/>
      <c r="IE299" s="260"/>
      <c r="IF299" s="260"/>
      <c r="IG299" s="260"/>
      <c r="IH299" s="260"/>
      <c r="II299" s="260"/>
      <c r="IJ299" s="260"/>
      <c r="IK299" s="260"/>
      <c r="IL299" s="260"/>
      <c r="IM299" s="260"/>
      <c r="IN299" s="260"/>
      <c r="IO299" s="260"/>
      <c r="IP299" s="260"/>
      <c r="IQ299" s="260"/>
      <c r="IR299" s="260"/>
      <c r="IS299" s="260"/>
    </row>
    <row r="300" spans="1:253" s="419" customFormat="1" x14ac:dyDescent="0.2">
      <c r="A300" s="519" t="s">
        <v>242</v>
      </c>
      <c r="B300" s="520">
        <f t="shared" ref="B300:AG300" si="107">SUM(B301:B305)</f>
        <v>234425</v>
      </c>
      <c r="C300" s="520">
        <f t="shared" si="107"/>
        <v>243802</v>
      </c>
      <c r="D300" s="520">
        <f t="shared" si="107"/>
        <v>274494.25</v>
      </c>
      <c r="E300" s="520">
        <f t="shared" si="107"/>
        <v>305186.5</v>
      </c>
      <c r="F300" s="520">
        <f t="shared" si="107"/>
        <v>315753.28000000003</v>
      </c>
      <c r="G300" s="520">
        <f t="shared" si="107"/>
        <v>321388.16000000003</v>
      </c>
      <c r="H300" s="520">
        <f t="shared" si="107"/>
        <v>332113.49280000001</v>
      </c>
      <c r="I300" s="520">
        <f t="shared" si="107"/>
        <v>339614.29039999994</v>
      </c>
      <c r="J300" s="520">
        <f t="shared" si="107"/>
        <v>345366.73599999998</v>
      </c>
      <c r="K300" s="520">
        <f t="shared" si="107"/>
        <v>351119.18160000001</v>
      </c>
      <c r="L300" s="520">
        <f t="shared" si="107"/>
        <v>356871.62720000005</v>
      </c>
      <c r="M300" s="520">
        <f t="shared" si="107"/>
        <v>362624.07280000002</v>
      </c>
      <c r="N300" s="520">
        <f t="shared" si="107"/>
        <v>371362.74119999999</v>
      </c>
      <c r="O300" s="520">
        <f t="shared" si="107"/>
        <v>379991.40960000001</v>
      </c>
      <c r="P300" s="520">
        <f t="shared" si="107"/>
        <v>388620.07800000004</v>
      </c>
      <c r="Q300" s="520">
        <f t="shared" si="107"/>
        <v>397248.7464</v>
      </c>
      <c r="R300" s="520">
        <f t="shared" si="107"/>
        <v>405877.41479999997</v>
      </c>
      <c r="S300" s="520">
        <f t="shared" si="107"/>
        <v>414506.08319999994</v>
      </c>
      <c r="T300" s="520">
        <f t="shared" si="107"/>
        <v>423134.75160000002</v>
      </c>
      <c r="U300" s="520">
        <f t="shared" si="107"/>
        <v>431763.42000000004</v>
      </c>
      <c r="V300" s="520">
        <f t="shared" si="107"/>
        <v>440392.08840000001</v>
      </c>
      <c r="W300" s="520">
        <f t="shared" si="107"/>
        <v>449020.75679999997</v>
      </c>
      <c r="X300" s="520">
        <f t="shared" si="107"/>
        <v>457649.4252</v>
      </c>
      <c r="Y300" s="520">
        <f t="shared" si="107"/>
        <v>466278.09359999996</v>
      </c>
      <c r="Z300" s="520">
        <f t="shared" si="107"/>
        <v>474906.76199999999</v>
      </c>
      <c r="AA300" s="520">
        <f t="shared" si="107"/>
        <v>483535.43040000007</v>
      </c>
      <c r="AB300" s="520">
        <f t="shared" si="107"/>
        <v>492164.09879999998</v>
      </c>
      <c r="AC300" s="520">
        <f t="shared" si="107"/>
        <v>500792.7672</v>
      </c>
      <c r="AD300" s="520">
        <f t="shared" si="107"/>
        <v>509421.43559999997</v>
      </c>
      <c r="AE300" s="520">
        <f t="shared" si="107"/>
        <v>521036.32679999998</v>
      </c>
      <c r="AF300" s="520">
        <f t="shared" si="107"/>
        <v>532541.21800000011</v>
      </c>
      <c r="AG300" s="520">
        <f t="shared" si="107"/>
        <v>532109.21800000011</v>
      </c>
      <c r="AH300" s="520">
        <f>SUM(AH301:AH305)</f>
        <v>531677.21800000011</v>
      </c>
      <c r="AI300" s="520"/>
      <c r="AJ300" s="260"/>
      <c r="AK300" s="260"/>
      <c r="AL300" s="260"/>
      <c r="AM300" s="535"/>
      <c r="AN300" s="260"/>
      <c r="AO300" s="283"/>
      <c r="AP300" s="71"/>
      <c r="AQ300" s="283"/>
      <c r="AR300" s="71"/>
      <c r="AS300" s="283"/>
      <c r="AT300" s="260"/>
      <c r="AU300" s="260"/>
      <c r="AV300" s="260"/>
      <c r="AW300" s="260"/>
      <c r="AX300" s="260"/>
      <c r="AY300" s="260"/>
      <c r="AZ300" s="260"/>
      <c r="BA300" s="260"/>
      <c r="BB300" s="260"/>
      <c r="BC300" s="260"/>
      <c r="BD300" s="260"/>
      <c r="BE300" s="260"/>
      <c r="BF300" s="260"/>
      <c r="BG300" s="260"/>
      <c r="BH300" s="260"/>
      <c r="BI300" s="260"/>
      <c r="BJ300" s="260"/>
      <c r="BK300" s="260"/>
      <c r="BL300" s="260"/>
      <c r="BM300" s="260"/>
      <c r="BN300" s="260"/>
      <c r="BO300" s="260"/>
      <c r="BP300" s="260"/>
      <c r="BQ300" s="260"/>
      <c r="BR300" s="260"/>
      <c r="BS300" s="260"/>
      <c r="BT300" s="260"/>
      <c r="BU300" s="260"/>
      <c r="BV300" s="260"/>
      <c r="BW300" s="260"/>
      <c r="BX300" s="260"/>
      <c r="BY300" s="260"/>
      <c r="BZ300" s="260"/>
      <c r="CA300" s="260"/>
      <c r="CB300" s="260"/>
      <c r="CC300" s="260"/>
      <c r="CD300" s="260"/>
      <c r="CE300" s="260"/>
      <c r="CF300" s="260"/>
      <c r="CG300" s="260"/>
      <c r="CH300" s="260"/>
      <c r="CI300" s="260"/>
      <c r="CJ300" s="260"/>
      <c r="CK300" s="260"/>
      <c r="CL300" s="260"/>
      <c r="CM300" s="260"/>
      <c r="CN300" s="260"/>
      <c r="CO300" s="260"/>
      <c r="CP300" s="260"/>
      <c r="CQ300" s="260"/>
      <c r="CR300" s="260"/>
      <c r="CS300" s="260"/>
      <c r="CT300" s="260"/>
      <c r="CU300" s="260"/>
      <c r="CV300" s="260"/>
      <c r="CW300" s="260"/>
      <c r="CX300" s="260"/>
      <c r="CY300" s="260"/>
      <c r="CZ300" s="260"/>
      <c r="DA300" s="260"/>
      <c r="DB300" s="260"/>
      <c r="DC300" s="260"/>
      <c r="DD300" s="260"/>
      <c r="DE300" s="260"/>
      <c r="DF300" s="260"/>
      <c r="DG300" s="260"/>
      <c r="DH300" s="260"/>
      <c r="DI300" s="260"/>
      <c r="DJ300" s="260"/>
      <c r="DK300" s="260"/>
      <c r="DL300" s="260"/>
      <c r="DM300" s="260"/>
      <c r="DN300" s="260"/>
      <c r="DO300" s="260"/>
      <c r="DP300" s="260"/>
      <c r="DQ300" s="260"/>
      <c r="DR300" s="260"/>
      <c r="DS300" s="260"/>
      <c r="DT300" s="260"/>
      <c r="DU300" s="260"/>
      <c r="DV300" s="260"/>
      <c r="DW300" s="260"/>
      <c r="DX300" s="260"/>
      <c r="DY300" s="260"/>
      <c r="DZ300" s="260"/>
      <c r="EA300" s="260"/>
      <c r="EB300" s="260"/>
      <c r="EC300" s="260"/>
      <c r="ED300" s="260"/>
      <c r="EE300" s="260"/>
      <c r="EF300" s="260"/>
      <c r="EG300" s="260"/>
      <c r="EH300" s="260"/>
      <c r="EI300" s="260"/>
      <c r="EJ300" s="260"/>
      <c r="EK300" s="260"/>
      <c r="EL300" s="260"/>
      <c r="EM300" s="260"/>
      <c r="EN300" s="260"/>
      <c r="EO300" s="260"/>
      <c r="EP300" s="260"/>
      <c r="EQ300" s="260"/>
      <c r="ER300" s="260"/>
      <c r="ES300" s="260"/>
      <c r="ET300" s="260"/>
      <c r="EU300" s="260"/>
      <c r="EV300" s="260"/>
      <c r="EW300" s="260"/>
      <c r="EX300" s="260"/>
      <c r="EY300" s="260"/>
      <c r="EZ300" s="260"/>
      <c r="FA300" s="260"/>
      <c r="FB300" s="260"/>
      <c r="FC300" s="260"/>
      <c r="FD300" s="260"/>
      <c r="FE300" s="260"/>
      <c r="FF300" s="260"/>
      <c r="FG300" s="260"/>
      <c r="FH300" s="260"/>
      <c r="FI300" s="260"/>
      <c r="FJ300" s="260"/>
      <c r="FK300" s="260"/>
      <c r="FL300" s="260"/>
      <c r="FM300" s="260"/>
      <c r="FN300" s="260"/>
      <c r="FO300" s="260"/>
      <c r="FP300" s="260"/>
      <c r="FQ300" s="260"/>
      <c r="FR300" s="260"/>
      <c r="FS300" s="260"/>
      <c r="FT300" s="260"/>
      <c r="FU300" s="260"/>
      <c r="FV300" s="260"/>
      <c r="FW300" s="260"/>
      <c r="FX300" s="260"/>
      <c r="FY300" s="260"/>
      <c r="FZ300" s="260"/>
      <c r="GA300" s="260"/>
      <c r="GB300" s="260"/>
      <c r="GC300" s="260"/>
      <c r="GD300" s="260"/>
      <c r="GE300" s="260"/>
      <c r="GF300" s="260"/>
      <c r="GG300" s="260"/>
      <c r="GH300" s="260"/>
      <c r="GI300" s="260"/>
      <c r="GJ300" s="260"/>
      <c r="GK300" s="260"/>
      <c r="GL300" s="260"/>
      <c r="GM300" s="260"/>
      <c r="GN300" s="260"/>
      <c r="GO300" s="260"/>
      <c r="GP300" s="260"/>
      <c r="GQ300" s="260"/>
      <c r="GR300" s="260"/>
      <c r="GS300" s="260"/>
      <c r="GT300" s="260"/>
      <c r="GU300" s="260"/>
      <c r="GV300" s="260"/>
      <c r="GW300" s="260"/>
      <c r="GX300" s="260"/>
      <c r="GY300" s="260"/>
      <c r="GZ300" s="260"/>
      <c r="HA300" s="260"/>
      <c r="HB300" s="260"/>
      <c r="HC300" s="260"/>
      <c r="HD300" s="260"/>
      <c r="HE300" s="260"/>
      <c r="HF300" s="260"/>
      <c r="HG300" s="260"/>
      <c r="HH300" s="260"/>
      <c r="HI300" s="260"/>
      <c r="HJ300" s="260"/>
      <c r="HK300" s="260"/>
      <c r="HL300" s="260"/>
      <c r="HM300" s="260"/>
      <c r="HN300" s="260"/>
      <c r="HO300" s="260"/>
      <c r="HP300" s="260"/>
      <c r="HQ300" s="260"/>
      <c r="HR300" s="260"/>
      <c r="HS300" s="260"/>
      <c r="HT300" s="260"/>
      <c r="HU300" s="260"/>
      <c r="HV300" s="260"/>
      <c r="HW300" s="260"/>
      <c r="HX300" s="260"/>
      <c r="HY300" s="260"/>
      <c r="HZ300" s="260"/>
      <c r="IA300" s="260"/>
      <c r="IB300" s="260"/>
      <c r="IC300" s="260"/>
      <c r="ID300" s="260"/>
      <c r="IE300" s="260"/>
      <c r="IF300" s="260"/>
      <c r="IG300" s="260"/>
      <c r="IH300" s="260"/>
      <c r="II300" s="260"/>
      <c r="IJ300" s="260"/>
      <c r="IK300" s="260"/>
      <c r="IL300" s="260"/>
      <c r="IM300" s="260"/>
      <c r="IN300" s="260"/>
      <c r="IO300" s="260"/>
      <c r="IP300" s="260"/>
      <c r="IQ300" s="260"/>
      <c r="IR300" s="260"/>
      <c r="IS300" s="260"/>
    </row>
    <row r="301" spans="1:253" s="62" customFormat="1" x14ac:dyDescent="0.2">
      <c r="A301" s="474" t="s">
        <v>243</v>
      </c>
      <c r="B301" s="475">
        <f>'Saimnieciskas pamatdarbibas NP'!B44+'Saimnieciskas pamatdarbibas NP'!B50</f>
        <v>64650</v>
      </c>
      <c r="C301" s="475">
        <f>'Saimnieciskas pamatdarbibas NP'!C44+'Saimnieciskas pamatdarbibas NP'!C50</f>
        <v>67236</v>
      </c>
      <c r="D301" s="475">
        <f>'Saimnieciskas pamatdarbibas NP'!D44+'Saimnieciskas pamatdarbibas NP'!D50</f>
        <v>60225.5</v>
      </c>
      <c r="E301" s="475">
        <f>'Saimnieciskas pamatdarbibas NP'!E44+'Saimnieciskas pamatdarbibas NP'!E50</f>
        <v>53215</v>
      </c>
      <c r="F301" s="463">
        <f>'Saimnieciskas pamatdarbibas NP'!F44+'Saimnieciskas pamatdarbibas NP'!F50</f>
        <v>52560.000000000015</v>
      </c>
      <c r="G301" s="475">
        <f>'Saimnieciskas pamatdarbibas NP'!G44+'Saimnieciskas pamatdarbibas NP'!G50</f>
        <v>53494.999999999985</v>
      </c>
      <c r="H301" s="475">
        <f>'Saimnieciskas pamatdarbibas NP'!H44+'Saimnieciskas pamatdarbibas NP'!H50</f>
        <v>52190.32</v>
      </c>
      <c r="I301" s="475">
        <f>'Saimnieciskas pamatdarbibas NP'!I44+'Saimnieciskas pamatdarbibas NP'!I50</f>
        <v>53086.36</v>
      </c>
      <c r="J301" s="475">
        <f>'Saimnieciskas pamatdarbibas NP'!J44+'Saimnieciskas pamatdarbibas NP'!J50</f>
        <v>53982.400000000001</v>
      </c>
      <c r="K301" s="475">
        <f>'Saimnieciskas pamatdarbibas NP'!K44+'Saimnieciskas pamatdarbibas NP'!K50</f>
        <v>54878.44</v>
      </c>
      <c r="L301" s="475">
        <f>'Saimnieciskas pamatdarbibas NP'!L44+'Saimnieciskas pamatdarbibas NP'!L50</f>
        <v>55774.479999999996</v>
      </c>
      <c r="M301" s="475">
        <f>'Saimnieciskas pamatdarbibas NP'!M44+'Saimnieciskas pamatdarbibas NP'!M50</f>
        <v>56670.520000000004</v>
      </c>
      <c r="N301" s="475">
        <f>'Saimnieciskas pamatdarbibas NP'!N44+'Saimnieciskas pamatdarbibas NP'!N50</f>
        <v>58124.58</v>
      </c>
      <c r="O301" s="475">
        <f>'Saimnieciskas pamatdarbibas NP'!O44+'Saimnieciskas pamatdarbibas NP'!O50</f>
        <v>59468.639999999999</v>
      </c>
      <c r="P301" s="475">
        <f>'Saimnieciskas pamatdarbibas NP'!P44+'Saimnieciskas pamatdarbibas NP'!P50</f>
        <v>60812.7</v>
      </c>
      <c r="Q301" s="475">
        <f>'Saimnieciskas pamatdarbibas NP'!Q44+'Saimnieciskas pamatdarbibas NP'!Q50</f>
        <v>62156.759999999995</v>
      </c>
      <c r="R301" s="475">
        <f>'Saimnieciskas pamatdarbibas NP'!R44+'Saimnieciskas pamatdarbibas NP'!R50</f>
        <v>63500.82</v>
      </c>
      <c r="S301" s="475">
        <f>'Saimnieciskas pamatdarbibas NP'!S44+'Saimnieciskas pamatdarbibas NP'!S50</f>
        <v>64844.880000000005</v>
      </c>
      <c r="T301" s="475">
        <f>'Saimnieciskas pamatdarbibas NP'!T44+'Saimnieciskas pamatdarbibas NP'!T50</f>
        <v>66188.94</v>
      </c>
      <c r="U301" s="475">
        <f>'Saimnieciskas pamatdarbibas NP'!U44+'Saimnieciskas pamatdarbibas NP'!U50</f>
        <v>67533</v>
      </c>
      <c r="V301" s="475">
        <f>'Saimnieciskas pamatdarbibas NP'!V44+'Saimnieciskas pamatdarbibas NP'!V50</f>
        <v>68877.06</v>
      </c>
      <c r="W301" s="475">
        <f>'Saimnieciskas pamatdarbibas NP'!W44+'Saimnieciskas pamatdarbibas NP'!W50</f>
        <v>70221.119999999995</v>
      </c>
      <c r="X301" s="475">
        <f>'Saimnieciskas pamatdarbibas NP'!X44+'Saimnieciskas pamatdarbibas NP'!X50</f>
        <v>71565.179999999993</v>
      </c>
      <c r="Y301" s="475">
        <f>'Saimnieciskas pamatdarbibas NP'!Y44+'Saimnieciskas pamatdarbibas NP'!Y50</f>
        <v>72909.240000000005</v>
      </c>
      <c r="Z301" s="475">
        <f>'Saimnieciskas pamatdarbibas NP'!Z44+'Saimnieciskas pamatdarbibas NP'!Z50</f>
        <v>74253.3</v>
      </c>
      <c r="AA301" s="475">
        <f>'Saimnieciskas pamatdarbibas NP'!AA44+'Saimnieciskas pamatdarbibas NP'!AA50</f>
        <v>75597.36</v>
      </c>
      <c r="AB301" s="475">
        <f>'Saimnieciskas pamatdarbibas NP'!AB44+'Saimnieciskas pamatdarbibas NP'!AB50</f>
        <v>76941.42</v>
      </c>
      <c r="AC301" s="475">
        <f>'Saimnieciskas pamatdarbibas NP'!AC44+'Saimnieciskas pamatdarbibas NP'!AC50</f>
        <v>78285.48</v>
      </c>
      <c r="AD301" s="475">
        <f>'Saimnieciskas pamatdarbibas NP'!AD44+'Saimnieciskas pamatdarbibas NP'!AD50</f>
        <v>79629.540000000008</v>
      </c>
      <c r="AE301" s="475">
        <f>'Saimnieciskas pamatdarbibas NP'!AE44+'Saimnieciskas pamatdarbibas NP'!AE50</f>
        <v>81531.62</v>
      </c>
      <c r="AF301" s="475">
        <f>'Saimnieciskas pamatdarbibas NP'!AF44+'Saimnieciskas pamatdarbibas NP'!AF50</f>
        <v>83323.7</v>
      </c>
      <c r="AG301" s="475">
        <f>'Saimnieciskas pamatdarbibas NP'!AG44+'Saimnieciskas pamatdarbibas NP'!AG50</f>
        <v>82885.7</v>
      </c>
      <c r="AH301" s="475">
        <f>'Saimnieciskas pamatdarbibas NP'!AH44+'Saimnieciskas pamatdarbibas NP'!AH50</f>
        <v>82447.7</v>
      </c>
      <c r="AI301" s="475"/>
      <c r="AJ301" s="165"/>
      <c r="AK301" s="165"/>
      <c r="AL301" s="165"/>
      <c r="AM301" s="535"/>
      <c r="AN301" s="165"/>
      <c r="AO301" s="283"/>
      <c r="AP301" s="71"/>
      <c r="AQ301" s="283"/>
      <c r="AR301" s="71"/>
      <c r="AS301" s="283"/>
      <c r="AT301" s="165"/>
      <c r="AU301" s="165"/>
      <c r="AV301" s="165"/>
      <c r="AW301" s="165"/>
      <c r="AX301" s="165"/>
      <c r="AY301" s="165"/>
      <c r="AZ301" s="165"/>
      <c r="BA301" s="165"/>
      <c r="BB301" s="165"/>
      <c r="BC301" s="165"/>
      <c r="BD301" s="165"/>
      <c r="BE301" s="165"/>
      <c r="BF301" s="165"/>
      <c r="BG301" s="165"/>
      <c r="BH301" s="165"/>
      <c r="BI301" s="165"/>
      <c r="BJ301" s="165"/>
      <c r="BK301" s="165"/>
      <c r="BL301" s="165"/>
      <c r="BM301" s="165"/>
      <c r="BN301" s="165"/>
      <c r="BO301" s="165"/>
      <c r="BP301" s="165"/>
      <c r="BQ301" s="165"/>
      <c r="BR301" s="165"/>
      <c r="BS301" s="165"/>
      <c r="BT301" s="165"/>
      <c r="BU301" s="165"/>
      <c r="BV301" s="165"/>
      <c r="BW301" s="165"/>
      <c r="BX301" s="165"/>
      <c r="BY301" s="165"/>
      <c r="BZ301" s="165"/>
      <c r="CA301" s="165"/>
      <c r="CB301" s="165"/>
      <c r="CC301" s="165"/>
      <c r="CD301" s="165"/>
      <c r="CE301" s="165"/>
      <c r="CF301" s="165"/>
      <c r="CG301" s="165"/>
      <c r="CH301" s="165"/>
      <c r="CI301" s="165"/>
      <c r="CJ301" s="165"/>
      <c r="CK301" s="165"/>
      <c r="CL301" s="165"/>
      <c r="CM301" s="165"/>
      <c r="CN301" s="165"/>
      <c r="CO301" s="165"/>
      <c r="CP301" s="165"/>
      <c r="CQ301" s="165"/>
      <c r="CR301" s="165"/>
      <c r="CS301" s="165"/>
      <c r="CT301" s="165"/>
      <c r="CU301" s="165"/>
      <c r="CV301" s="165"/>
      <c r="CW301" s="165"/>
      <c r="CX301" s="165"/>
      <c r="CY301" s="165"/>
      <c r="CZ301" s="165"/>
      <c r="DA301" s="165"/>
      <c r="DB301" s="165"/>
      <c r="DC301" s="165"/>
      <c r="DD301" s="165"/>
      <c r="DE301" s="165"/>
      <c r="DF301" s="165"/>
      <c r="DG301" s="165"/>
      <c r="DH301" s="165"/>
      <c r="DI301" s="165"/>
      <c r="DJ301" s="165"/>
      <c r="DK301" s="165"/>
      <c r="DL301" s="165"/>
      <c r="DM301" s="165"/>
      <c r="DN301" s="165"/>
      <c r="DO301" s="165"/>
      <c r="DP301" s="165"/>
      <c r="DQ301" s="165"/>
      <c r="DR301" s="165"/>
      <c r="DS301" s="165"/>
      <c r="DT301" s="165"/>
      <c r="DU301" s="165"/>
      <c r="DV301" s="165"/>
      <c r="DW301" s="165"/>
      <c r="DX301" s="165"/>
      <c r="DY301" s="165"/>
      <c r="DZ301" s="165"/>
      <c r="EA301" s="165"/>
      <c r="EB301" s="165"/>
      <c r="EC301" s="165"/>
      <c r="ED301" s="165"/>
      <c r="EE301" s="165"/>
      <c r="EF301" s="165"/>
      <c r="EG301" s="165"/>
      <c r="EH301" s="165"/>
      <c r="EI301" s="165"/>
      <c r="EJ301" s="165"/>
      <c r="EK301" s="165"/>
      <c r="EL301" s="165"/>
      <c r="EM301" s="165"/>
      <c r="EN301" s="165"/>
      <c r="EO301" s="165"/>
      <c r="EP301" s="165"/>
      <c r="EQ301" s="165"/>
      <c r="ER301" s="165"/>
      <c r="ES301" s="165"/>
      <c r="ET301" s="165"/>
      <c r="EU301" s="165"/>
      <c r="EV301" s="165"/>
      <c r="EW301" s="165"/>
      <c r="EX301" s="165"/>
      <c r="EY301" s="165"/>
      <c r="EZ301" s="165"/>
      <c r="FA301" s="165"/>
      <c r="FB301" s="165"/>
      <c r="FC301" s="165"/>
      <c r="FD301" s="165"/>
      <c r="FE301" s="165"/>
      <c r="FF301" s="165"/>
      <c r="FG301" s="165"/>
      <c r="FH301" s="165"/>
      <c r="FI301" s="165"/>
      <c r="FJ301" s="165"/>
      <c r="FK301" s="165"/>
      <c r="FL301" s="165"/>
      <c r="FM301" s="165"/>
      <c r="FN301" s="165"/>
      <c r="FO301" s="165"/>
      <c r="FP301" s="165"/>
      <c r="FQ301" s="165"/>
      <c r="FR301" s="165"/>
      <c r="FS301" s="165"/>
      <c r="FT301" s="165"/>
      <c r="FU301" s="165"/>
      <c r="FV301" s="165"/>
      <c r="FW301" s="165"/>
      <c r="FX301" s="165"/>
      <c r="FY301" s="165"/>
      <c r="FZ301" s="165"/>
      <c r="GA301" s="165"/>
      <c r="GB301" s="165"/>
      <c r="GC301" s="165"/>
      <c r="GD301" s="165"/>
      <c r="GE301" s="165"/>
      <c r="GF301" s="165"/>
      <c r="GG301" s="165"/>
      <c r="GH301" s="165"/>
      <c r="GI301" s="165"/>
      <c r="GJ301" s="165"/>
      <c r="GK301" s="165"/>
      <c r="GL301" s="165"/>
      <c r="GM301" s="165"/>
      <c r="GN301" s="165"/>
      <c r="GO301" s="165"/>
      <c r="GP301" s="165"/>
      <c r="GQ301" s="165"/>
      <c r="GR301" s="165"/>
      <c r="GS301" s="165"/>
      <c r="GT301" s="165"/>
      <c r="GU301" s="165"/>
      <c r="GV301" s="165"/>
      <c r="GW301" s="165"/>
      <c r="GX301" s="165"/>
      <c r="GY301" s="165"/>
      <c r="GZ301" s="165"/>
      <c r="HA301" s="165"/>
      <c r="HB301" s="165"/>
      <c r="HC301" s="165"/>
      <c r="HD301" s="165"/>
      <c r="HE301" s="165"/>
      <c r="HF301" s="165"/>
      <c r="HG301" s="165"/>
      <c r="HH301" s="165"/>
      <c r="HI301" s="165"/>
      <c r="HJ301" s="165"/>
      <c r="HK301" s="165"/>
      <c r="HL301" s="165"/>
      <c r="HM301" s="165"/>
      <c r="HN301" s="165"/>
      <c r="HO301" s="165"/>
      <c r="HP301" s="165"/>
      <c r="HQ301" s="165"/>
      <c r="HR301" s="165"/>
      <c r="HS301" s="165"/>
      <c r="HT301" s="165"/>
      <c r="HU301" s="165"/>
      <c r="HV301" s="165"/>
      <c r="HW301" s="165"/>
      <c r="HX301" s="165"/>
      <c r="HY301" s="165"/>
      <c r="HZ301" s="165"/>
      <c r="IA301" s="165"/>
      <c r="IB301" s="165"/>
      <c r="IC301" s="165"/>
      <c r="ID301" s="165"/>
      <c r="IE301" s="165"/>
      <c r="IF301" s="165"/>
      <c r="IG301" s="165"/>
      <c r="IH301" s="165"/>
      <c r="II301" s="165"/>
      <c r="IJ301" s="165"/>
      <c r="IK301" s="165"/>
      <c r="IL301" s="165"/>
      <c r="IM301" s="165"/>
      <c r="IN301" s="165"/>
      <c r="IO301" s="165"/>
      <c r="IP301" s="165"/>
      <c r="IQ301" s="165"/>
      <c r="IR301" s="165"/>
      <c r="IS301" s="165"/>
    </row>
    <row r="302" spans="1:253" s="62" customFormat="1" x14ac:dyDescent="0.2">
      <c r="A302" s="474" t="s">
        <v>244</v>
      </c>
      <c r="B302" s="475">
        <f>'Saimnieciskas pamatdarbibas NP'!B45+'Saimnieciskas pamatdarbibas NP'!B51</f>
        <v>95136</v>
      </c>
      <c r="C302" s="475">
        <f>'Saimnieciskas pamatdarbibas NP'!C45+'Saimnieciskas pamatdarbibas NP'!C51</f>
        <v>98941.440000000002</v>
      </c>
      <c r="D302" s="475">
        <f>'Saimnieciskas pamatdarbibas NP'!D45+'Saimnieciskas pamatdarbibas NP'!D51</f>
        <v>125410.52</v>
      </c>
      <c r="E302" s="475">
        <f>'Saimnieciskas pamatdarbibas NP'!E45+'Saimnieciskas pamatdarbibas NP'!E51</f>
        <v>151879.6</v>
      </c>
      <c r="F302" s="463">
        <f>'Saimnieciskas pamatdarbibas NP'!F45+'Saimnieciskas pamatdarbibas NP'!F51</f>
        <v>159449.92000000001</v>
      </c>
      <c r="G302" s="475">
        <f>'Saimnieciskas pamatdarbibas NP'!G45+'Saimnieciskas pamatdarbibas NP'!G51</f>
        <v>162297.24</v>
      </c>
      <c r="H302" s="475">
        <f>'Saimnieciskas pamatdarbibas NP'!H45+'Saimnieciskas pamatdarbibas NP'!H51</f>
        <v>169970.62399999998</v>
      </c>
      <c r="I302" s="475">
        <f>'Saimnieciskas pamatdarbibas NP'!I45+'Saimnieciskas pamatdarbibas NP'!I51</f>
        <v>174679.64799999999</v>
      </c>
      <c r="J302" s="475">
        <f>'Saimnieciskas pamatdarbibas NP'!J45+'Saimnieciskas pamatdarbibas NP'!J51</f>
        <v>177640.32000000001</v>
      </c>
      <c r="K302" s="475">
        <f>'Saimnieciskas pamatdarbibas NP'!K45+'Saimnieciskas pamatdarbibas NP'!K51</f>
        <v>180600.992</v>
      </c>
      <c r="L302" s="475">
        <f>'Saimnieciskas pamatdarbibas NP'!L45+'Saimnieciskas pamatdarbibas NP'!L51</f>
        <v>183561.66400000002</v>
      </c>
      <c r="M302" s="475">
        <f>'Saimnieciskas pamatdarbibas NP'!M45+'Saimnieciskas pamatdarbibas NP'!M51</f>
        <v>186522.33600000001</v>
      </c>
      <c r="N302" s="475">
        <f>'Saimnieciskas pamatdarbibas NP'!N45+'Saimnieciskas pamatdarbibas NP'!N51</f>
        <v>190963.34399999998</v>
      </c>
      <c r="O302" s="475">
        <f>'Saimnieciskas pamatdarbibas NP'!O45+'Saimnieciskas pamatdarbibas NP'!O51</f>
        <v>195404.35200000001</v>
      </c>
      <c r="P302" s="475">
        <f>'Saimnieciskas pamatdarbibas NP'!P45+'Saimnieciskas pamatdarbibas NP'!P51</f>
        <v>199845.36000000002</v>
      </c>
      <c r="Q302" s="475">
        <f>'Saimnieciskas pamatdarbibas NP'!Q45+'Saimnieciskas pamatdarbibas NP'!Q51</f>
        <v>204286.36799999999</v>
      </c>
      <c r="R302" s="475">
        <f>'Saimnieciskas pamatdarbibas NP'!R45+'Saimnieciskas pamatdarbibas NP'!R51</f>
        <v>208727.37599999999</v>
      </c>
      <c r="S302" s="475">
        <f>'Saimnieciskas pamatdarbibas NP'!S45+'Saimnieciskas pamatdarbibas NP'!S51</f>
        <v>213168.38399999999</v>
      </c>
      <c r="T302" s="475">
        <f>'Saimnieciskas pamatdarbibas NP'!T45+'Saimnieciskas pamatdarbibas NP'!T51</f>
        <v>217609.39199999999</v>
      </c>
      <c r="U302" s="475">
        <f>'Saimnieciskas pamatdarbibas NP'!U45+'Saimnieciskas pamatdarbibas NP'!U51</f>
        <v>222050.40000000002</v>
      </c>
      <c r="V302" s="475">
        <f>'Saimnieciskas pamatdarbibas NP'!V45+'Saimnieciskas pamatdarbibas NP'!V51</f>
        <v>226491.408</v>
      </c>
      <c r="W302" s="475">
        <f>'Saimnieciskas pamatdarbibas NP'!W45+'Saimnieciskas pamatdarbibas NP'!W51</f>
        <v>230932.416</v>
      </c>
      <c r="X302" s="475">
        <f>'Saimnieciskas pamatdarbibas NP'!X45+'Saimnieciskas pamatdarbibas NP'!X51</f>
        <v>235373.424</v>
      </c>
      <c r="Y302" s="475">
        <f>'Saimnieciskas pamatdarbibas NP'!Y45+'Saimnieciskas pamatdarbibas NP'!Y51</f>
        <v>239814.43200000003</v>
      </c>
      <c r="Z302" s="475">
        <f>'Saimnieciskas pamatdarbibas NP'!Z45+'Saimnieciskas pamatdarbibas NP'!Z51</f>
        <v>244255.44</v>
      </c>
      <c r="AA302" s="475">
        <f>'Saimnieciskas pamatdarbibas NP'!AA45+'Saimnieciskas pamatdarbibas NP'!AA51</f>
        <v>248696.448</v>
      </c>
      <c r="AB302" s="475">
        <f>'Saimnieciskas pamatdarbibas NP'!AB45+'Saimnieciskas pamatdarbibas NP'!AB51</f>
        <v>253137.45600000001</v>
      </c>
      <c r="AC302" s="475">
        <f>'Saimnieciskas pamatdarbibas NP'!AC45+'Saimnieciskas pamatdarbibas NP'!AC51</f>
        <v>257578.46400000004</v>
      </c>
      <c r="AD302" s="475">
        <f>'Saimnieciskas pamatdarbibas NP'!AD45+'Saimnieciskas pamatdarbibas NP'!AD51</f>
        <v>262019.47200000001</v>
      </c>
      <c r="AE302" s="475">
        <f>'Saimnieciskas pamatdarbibas NP'!AE45+'Saimnieciskas pamatdarbibas NP'!AE51</f>
        <v>267940.81599999999</v>
      </c>
      <c r="AF302" s="475">
        <f>'Saimnieciskas pamatdarbibas NP'!AF45+'Saimnieciskas pamatdarbibas NP'!AF51</f>
        <v>273862.16000000003</v>
      </c>
      <c r="AG302" s="475">
        <f>'Saimnieciskas pamatdarbibas NP'!AG45+'Saimnieciskas pamatdarbibas NP'!AG51</f>
        <v>273864.16000000003</v>
      </c>
      <c r="AH302" s="475">
        <f>'Saimnieciskas pamatdarbibas NP'!AH45+'Saimnieciskas pamatdarbibas NP'!AH51</f>
        <v>273866.16000000003</v>
      </c>
      <c r="AI302" s="475"/>
      <c r="AJ302" s="165"/>
      <c r="AK302" s="165"/>
      <c r="AL302" s="165"/>
      <c r="AM302" s="535"/>
      <c r="AN302" s="165"/>
      <c r="AO302" s="283"/>
      <c r="AP302" s="71"/>
      <c r="AQ302" s="283"/>
      <c r="AR302" s="71"/>
      <c r="AS302" s="283"/>
      <c r="AT302" s="165"/>
      <c r="AU302" s="165"/>
      <c r="AV302" s="165"/>
      <c r="AW302" s="165"/>
      <c r="AX302" s="165"/>
      <c r="AY302" s="165"/>
      <c r="AZ302" s="165"/>
      <c r="BA302" s="165"/>
      <c r="BB302" s="165"/>
      <c r="BC302" s="165"/>
      <c r="BD302" s="165"/>
      <c r="BE302" s="165"/>
      <c r="BF302" s="165"/>
      <c r="BG302" s="165"/>
      <c r="BH302" s="165"/>
      <c r="BI302" s="165"/>
      <c r="BJ302" s="165"/>
      <c r="BK302" s="165"/>
      <c r="BL302" s="165"/>
      <c r="BM302" s="165"/>
      <c r="BN302" s="165"/>
      <c r="BO302" s="165"/>
      <c r="BP302" s="165"/>
      <c r="BQ302" s="165"/>
      <c r="BR302" s="165"/>
      <c r="BS302" s="165"/>
      <c r="BT302" s="165"/>
      <c r="BU302" s="165"/>
      <c r="BV302" s="165"/>
      <c r="BW302" s="165"/>
      <c r="BX302" s="165"/>
      <c r="BY302" s="165"/>
      <c r="BZ302" s="165"/>
      <c r="CA302" s="165"/>
      <c r="CB302" s="165"/>
      <c r="CC302" s="165"/>
      <c r="CD302" s="165"/>
      <c r="CE302" s="165"/>
      <c r="CF302" s="165"/>
      <c r="CG302" s="165"/>
      <c r="CH302" s="165"/>
      <c r="CI302" s="165"/>
      <c r="CJ302" s="165"/>
      <c r="CK302" s="165"/>
      <c r="CL302" s="165"/>
      <c r="CM302" s="165"/>
      <c r="CN302" s="165"/>
      <c r="CO302" s="165"/>
      <c r="CP302" s="165"/>
      <c r="CQ302" s="165"/>
      <c r="CR302" s="165"/>
      <c r="CS302" s="165"/>
      <c r="CT302" s="165"/>
      <c r="CU302" s="165"/>
      <c r="CV302" s="165"/>
      <c r="CW302" s="165"/>
      <c r="CX302" s="165"/>
      <c r="CY302" s="165"/>
      <c r="CZ302" s="165"/>
      <c r="DA302" s="165"/>
      <c r="DB302" s="165"/>
      <c r="DC302" s="165"/>
      <c r="DD302" s="165"/>
      <c r="DE302" s="165"/>
      <c r="DF302" s="165"/>
      <c r="DG302" s="165"/>
      <c r="DH302" s="165"/>
      <c r="DI302" s="165"/>
      <c r="DJ302" s="165"/>
      <c r="DK302" s="165"/>
      <c r="DL302" s="165"/>
      <c r="DM302" s="165"/>
      <c r="DN302" s="165"/>
      <c r="DO302" s="165"/>
      <c r="DP302" s="165"/>
      <c r="DQ302" s="165"/>
      <c r="DR302" s="165"/>
      <c r="DS302" s="165"/>
      <c r="DT302" s="165"/>
      <c r="DU302" s="165"/>
      <c r="DV302" s="165"/>
      <c r="DW302" s="165"/>
      <c r="DX302" s="165"/>
      <c r="DY302" s="165"/>
      <c r="DZ302" s="165"/>
      <c r="EA302" s="165"/>
      <c r="EB302" s="165"/>
      <c r="EC302" s="165"/>
      <c r="ED302" s="165"/>
      <c r="EE302" s="165"/>
      <c r="EF302" s="165"/>
      <c r="EG302" s="165"/>
      <c r="EH302" s="165"/>
      <c r="EI302" s="165"/>
      <c r="EJ302" s="165"/>
      <c r="EK302" s="165"/>
      <c r="EL302" s="165"/>
      <c r="EM302" s="165"/>
      <c r="EN302" s="165"/>
      <c r="EO302" s="165"/>
      <c r="EP302" s="165"/>
      <c r="EQ302" s="165"/>
      <c r="ER302" s="165"/>
      <c r="ES302" s="165"/>
      <c r="ET302" s="165"/>
      <c r="EU302" s="165"/>
      <c r="EV302" s="165"/>
      <c r="EW302" s="165"/>
      <c r="EX302" s="165"/>
      <c r="EY302" s="165"/>
      <c r="EZ302" s="165"/>
      <c r="FA302" s="165"/>
      <c r="FB302" s="165"/>
      <c r="FC302" s="165"/>
      <c r="FD302" s="165"/>
      <c r="FE302" s="165"/>
      <c r="FF302" s="165"/>
      <c r="FG302" s="165"/>
      <c r="FH302" s="165"/>
      <c r="FI302" s="165"/>
      <c r="FJ302" s="165"/>
      <c r="FK302" s="165"/>
      <c r="FL302" s="165"/>
      <c r="FM302" s="165"/>
      <c r="FN302" s="165"/>
      <c r="FO302" s="165"/>
      <c r="FP302" s="165"/>
      <c r="FQ302" s="165"/>
      <c r="FR302" s="165"/>
      <c r="FS302" s="165"/>
      <c r="FT302" s="165"/>
      <c r="FU302" s="165"/>
      <c r="FV302" s="165"/>
      <c r="FW302" s="165"/>
      <c r="FX302" s="165"/>
      <c r="FY302" s="165"/>
      <c r="FZ302" s="165"/>
      <c r="GA302" s="165"/>
      <c r="GB302" s="165"/>
      <c r="GC302" s="165"/>
      <c r="GD302" s="165"/>
      <c r="GE302" s="165"/>
      <c r="GF302" s="165"/>
      <c r="GG302" s="165"/>
      <c r="GH302" s="165"/>
      <c r="GI302" s="165"/>
      <c r="GJ302" s="165"/>
      <c r="GK302" s="165"/>
      <c r="GL302" s="165"/>
      <c r="GM302" s="165"/>
      <c r="GN302" s="165"/>
      <c r="GO302" s="165"/>
      <c r="GP302" s="165"/>
      <c r="GQ302" s="165"/>
      <c r="GR302" s="165"/>
      <c r="GS302" s="165"/>
      <c r="GT302" s="165"/>
      <c r="GU302" s="165"/>
      <c r="GV302" s="165"/>
      <c r="GW302" s="165"/>
      <c r="GX302" s="165"/>
      <c r="GY302" s="165"/>
      <c r="GZ302" s="165"/>
      <c r="HA302" s="165"/>
      <c r="HB302" s="165"/>
      <c r="HC302" s="165"/>
      <c r="HD302" s="165"/>
      <c r="HE302" s="165"/>
      <c r="HF302" s="165"/>
      <c r="HG302" s="165"/>
      <c r="HH302" s="165"/>
      <c r="HI302" s="165"/>
      <c r="HJ302" s="165"/>
      <c r="HK302" s="165"/>
      <c r="HL302" s="165"/>
      <c r="HM302" s="165"/>
      <c r="HN302" s="165"/>
      <c r="HO302" s="165"/>
      <c r="HP302" s="165"/>
      <c r="HQ302" s="165"/>
      <c r="HR302" s="165"/>
      <c r="HS302" s="165"/>
      <c r="HT302" s="165"/>
      <c r="HU302" s="165"/>
      <c r="HV302" s="165"/>
      <c r="HW302" s="165"/>
      <c r="HX302" s="165"/>
      <c r="HY302" s="165"/>
      <c r="HZ302" s="165"/>
      <c r="IA302" s="165"/>
      <c r="IB302" s="165"/>
      <c r="IC302" s="165"/>
      <c r="ID302" s="165"/>
      <c r="IE302" s="165"/>
      <c r="IF302" s="165"/>
      <c r="IG302" s="165"/>
      <c r="IH302" s="165"/>
      <c r="II302" s="165"/>
      <c r="IJ302" s="165"/>
      <c r="IK302" s="165"/>
      <c r="IL302" s="165"/>
      <c r="IM302" s="165"/>
      <c r="IN302" s="165"/>
      <c r="IO302" s="165"/>
      <c r="IP302" s="165"/>
      <c r="IQ302" s="165"/>
      <c r="IR302" s="165"/>
      <c r="IS302" s="165"/>
    </row>
    <row r="303" spans="1:253" s="62" customFormat="1" x14ac:dyDescent="0.2">
      <c r="A303" s="474" t="s">
        <v>245</v>
      </c>
      <c r="B303" s="475">
        <f>'Saimnieciskas pamatdarbibas NP'!B52+'Saimnieciskas pamatdarbibas NP'!B46</f>
        <v>19905</v>
      </c>
      <c r="C303" s="475">
        <f>'Saimnieciskas pamatdarbibas NP'!C52+'Saimnieciskas pamatdarbibas NP'!C46</f>
        <v>20701.2</v>
      </c>
      <c r="D303" s="475">
        <f>'Saimnieciskas pamatdarbibas NP'!D52+'Saimnieciskas pamatdarbibas NP'!D46</f>
        <v>22548.35</v>
      </c>
      <c r="E303" s="475">
        <f>'Saimnieciskas pamatdarbibas NP'!E52+'Saimnieciskas pamatdarbibas NP'!E46</f>
        <v>24395.5</v>
      </c>
      <c r="F303" s="463">
        <f>'Saimnieciskas pamatdarbibas NP'!F52+'Saimnieciskas pamatdarbibas NP'!F46</f>
        <v>25093.600000000002</v>
      </c>
      <c r="G303" s="475">
        <f>'Saimnieciskas pamatdarbibas NP'!G52+'Saimnieciskas pamatdarbibas NP'!G46</f>
        <v>25541.699999999997</v>
      </c>
      <c r="H303" s="475">
        <f>'Saimnieciskas pamatdarbibas NP'!H52+'Saimnieciskas pamatdarbibas NP'!H46</f>
        <v>26337.800000000003</v>
      </c>
      <c r="I303" s="475">
        <f>'Saimnieciskas pamatdarbibas NP'!I52+'Saimnieciskas pamatdarbibas NP'!I46</f>
        <v>26791.9</v>
      </c>
      <c r="J303" s="475">
        <f>'Saimnieciskas pamatdarbibas NP'!J52+'Saimnieciskas pamatdarbibas NP'!J46</f>
        <v>27246</v>
      </c>
      <c r="K303" s="475">
        <f>'Saimnieciskas pamatdarbibas NP'!K52+'Saimnieciskas pamatdarbibas NP'!K46</f>
        <v>27700.100000000002</v>
      </c>
      <c r="L303" s="475">
        <f>'Saimnieciskas pamatdarbibas NP'!L52+'Saimnieciskas pamatdarbibas NP'!L46</f>
        <v>28154.2</v>
      </c>
      <c r="M303" s="475">
        <f>'Saimnieciskas pamatdarbibas NP'!M52+'Saimnieciskas pamatdarbibas NP'!M46</f>
        <v>28608.3</v>
      </c>
      <c r="N303" s="475">
        <f>'Saimnieciskas pamatdarbibas NP'!N52+'Saimnieciskas pamatdarbibas NP'!N46</f>
        <v>29289.450000000004</v>
      </c>
      <c r="O303" s="475">
        <f>'Saimnieciskas pamatdarbibas NP'!O52+'Saimnieciskas pamatdarbibas NP'!O46</f>
        <v>29970.6</v>
      </c>
      <c r="P303" s="475">
        <f>'Saimnieciskas pamatdarbibas NP'!P52+'Saimnieciskas pamatdarbibas NP'!P46</f>
        <v>30651.75</v>
      </c>
      <c r="Q303" s="475">
        <f>'Saimnieciskas pamatdarbibas NP'!Q52+'Saimnieciskas pamatdarbibas NP'!Q46</f>
        <v>31332.899999999998</v>
      </c>
      <c r="R303" s="475">
        <f>'Saimnieciskas pamatdarbibas NP'!R52+'Saimnieciskas pamatdarbibas NP'!R46</f>
        <v>32014.050000000003</v>
      </c>
      <c r="S303" s="475">
        <f>'Saimnieciskas pamatdarbibas NP'!S52+'Saimnieciskas pamatdarbibas NP'!S46</f>
        <v>32695.199999999997</v>
      </c>
      <c r="T303" s="475">
        <f>'Saimnieciskas pamatdarbibas NP'!T52+'Saimnieciskas pamatdarbibas NP'!T46</f>
        <v>33376.350000000006</v>
      </c>
      <c r="U303" s="475">
        <f>'Saimnieciskas pamatdarbibas NP'!U52+'Saimnieciskas pamatdarbibas NP'!U46</f>
        <v>34057.5</v>
      </c>
      <c r="V303" s="475">
        <f>'Saimnieciskas pamatdarbibas NP'!V52+'Saimnieciskas pamatdarbibas NP'!V46</f>
        <v>34738.649999999994</v>
      </c>
      <c r="W303" s="475">
        <f>'Saimnieciskas pamatdarbibas NP'!W52+'Saimnieciskas pamatdarbibas NP'!W46</f>
        <v>35419.800000000003</v>
      </c>
      <c r="X303" s="475">
        <f>'Saimnieciskas pamatdarbibas NP'!X52+'Saimnieciskas pamatdarbibas NP'!X46</f>
        <v>36100.949999999997</v>
      </c>
      <c r="Y303" s="475">
        <f>'Saimnieciskas pamatdarbibas NP'!Y52+'Saimnieciskas pamatdarbibas NP'!Y46</f>
        <v>36782.100000000006</v>
      </c>
      <c r="Z303" s="475">
        <f>'Saimnieciskas pamatdarbibas NP'!Z52+'Saimnieciskas pamatdarbibas NP'!Z46</f>
        <v>37463.25</v>
      </c>
      <c r="AA303" s="475">
        <f>'Saimnieciskas pamatdarbibas NP'!AA52+'Saimnieciskas pamatdarbibas NP'!AA46</f>
        <v>38144.400000000001</v>
      </c>
      <c r="AB303" s="475">
        <f>'Saimnieciskas pamatdarbibas NP'!AB52+'Saimnieciskas pamatdarbibas NP'!AB46</f>
        <v>38825.550000000003</v>
      </c>
      <c r="AC303" s="475">
        <f>'Saimnieciskas pamatdarbibas NP'!AC52+'Saimnieciskas pamatdarbibas NP'!AC46</f>
        <v>39506.699999999997</v>
      </c>
      <c r="AD303" s="475">
        <f>'Saimnieciskas pamatdarbibas NP'!AD52+'Saimnieciskas pamatdarbibas NP'!AD46</f>
        <v>40187.85</v>
      </c>
      <c r="AE303" s="475">
        <f>'Saimnieciskas pamatdarbibas NP'!AE52+'Saimnieciskas pamatdarbibas NP'!AE46</f>
        <v>41096.050000000003</v>
      </c>
      <c r="AF303" s="475">
        <f>'Saimnieciskas pamatdarbibas NP'!AF52+'Saimnieciskas pamatdarbibas NP'!AF46</f>
        <v>42004.25</v>
      </c>
      <c r="AG303" s="475">
        <f>'Saimnieciskas pamatdarbibas NP'!AG52+'Saimnieciskas pamatdarbibas NP'!AG46</f>
        <v>42006.25</v>
      </c>
      <c r="AH303" s="475">
        <f>'Saimnieciskas pamatdarbibas NP'!AH52+'Saimnieciskas pamatdarbibas NP'!AH46</f>
        <v>42008.25</v>
      </c>
      <c r="AI303" s="475"/>
      <c r="AJ303" s="165"/>
      <c r="AK303" s="165"/>
      <c r="AL303" s="165"/>
      <c r="AM303" s="535"/>
      <c r="AN303" s="165"/>
      <c r="AO303" s="283"/>
      <c r="AP303" s="71"/>
      <c r="AQ303" s="283"/>
      <c r="AR303" s="71"/>
      <c r="AS303" s="283"/>
      <c r="AT303" s="165"/>
      <c r="AU303" s="165"/>
      <c r="AV303" s="165"/>
      <c r="AW303" s="165"/>
      <c r="AX303" s="165"/>
      <c r="AY303" s="165"/>
      <c r="AZ303" s="165"/>
      <c r="BA303" s="165"/>
      <c r="BB303" s="165"/>
      <c r="BC303" s="165"/>
      <c r="BD303" s="165"/>
      <c r="BE303" s="165"/>
      <c r="BF303" s="165"/>
      <c r="BG303" s="165"/>
      <c r="BH303" s="165"/>
      <c r="BI303" s="165"/>
      <c r="BJ303" s="165"/>
      <c r="BK303" s="165"/>
      <c r="BL303" s="165"/>
      <c r="BM303" s="165"/>
      <c r="BN303" s="165"/>
      <c r="BO303" s="165"/>
      <c r="BP303" s="165"/>
      <c r="BQ303" s="165"/>
      <c r="BR303" s="165"/>
      <c r="BS303" s="165"/>
      <c r="BT303" s="165"/>
      <c r="BU303" s="165"/>
      <c r="BV303" s="165"/>
      <c r="BW303" s="165"/>
      <c r="BX303" s="165"/>
      <c r="BY303" s="165"/>
      <c r="BZ303" s="165"/>
      <c r="CA303" s="165"/>
      <c r="CB303" s="165"/>
      <c r="CC303" s="165"/>
      <c r="CD303" s="165"/>
      <c r="CE303" s="165"/>
      <c r="CF303" s="165"/>
      <c r="CG303" s="165"/>
      <c r="CH303" s="165"/>
      <c r="CI303" s="165"/>
      <c r="CJ303" s="165"/>
      <c r="CK303" s="165"/>
      <c r="CL303" s="165"/>
      <c r="CM303" s="165"/>
      <c r="CN303" s="165"/>
      <c r="CO303" s="165"/>
      <c r="CP303" s="165"/>
      <c r="CQ303" s="165"/>
      <c r="CR303" s="165"/>
      <c r="CS303" s="165"/>
      <c r="CT303" s="165"/>
      <c r="CU303" s="165"/>
      <c r="CV303" s="165"/>
      <c r="CW303" s="165"/>
      <c r="CX303" s="165"/>
      <c r="CY303" s="165"/>
      <c r="CZ303" s="165"/>
      <c r="DA303" s="165"/>
      <c r="DB303" s="165"/>
      <c r="DC303" s="165"/>
      <c r="DD303" s="165"/>
      <c r="DE303" s="165"/>
      <c r="DF303" s="165"/>
      <c r="DG303" s="165"/>
      <c r="DH303" s="165"/>
      <c r="DI303" s="165"/>
      <c r="DJ303" s="165"/>
      <c r="DK303" s="165"/>
      <c r="DL303" s="165"/>
      <c r="DM303" s="165"/>
      <c r="DN303" s="165"/>
      <c r="DO303" s="165"/>
      <c r="DP303" s="165"/>
      <c r="DQ303" s="165"/>
      <c r="DR303" s="165"/>
      <c r="DS303" s="165"/>
      <c r="DT303" s="165"/>
      <c r="DU303" s="165"/>
      <c r="DV303" s="165"/>
      <c r="DW303" s="165"/>
      <c r="DX303" s="165"/>
      <c r="DY303" s="165"/>
      <c r="DZ303" s="165"/>
      <c r="EA303" s="165"/>
      <c r="EB303" s="165"/>
      <c r="EC303" s="165"/>
      <c r="ED303" s="165"/>
      <c r="EE303" s="165"/>
      <c r="EF303" s="165"/>
      <c r="EG303" s="165"/>
      <c r="EH303" s="165"/>
      <c r="EI303" s="165"/>
      <c r="EJ303" s="165"/>
      <c r="EK303" s="165"/>
      <c r="EL303" s="165"/>
      <c r="EM303" s="165"/>
      <c r="EN303" s="165"/>
      <c r="EO303" s="165"/>
      <c r="EP303" s="165"/>
      <c r="EQ303" s="165"/>
      <c r="ER303" s="165"/>
      <c r="ES303" s="165"/>
      <c r="ET303" s="165"/>
      <c r="EU303" s="165"/>
      <c r="EV303" s="165"/>
      <c r="EW303" s="165"/>
      <c r="EX303" s="165"/>
      <c r="EY303" s="165"/>
      <c r="EZ303" s="165"/>
      <c r="FA303" s="165"/>
      <c r="FB303" s="165"/>
      <c r="FC303" s="165"/>
      <c r="FD303" s="165"/>
      <c r="FE303" s="165"/>
      <c r="FF303" s="165"/>
      <c r="FG303" s="165"/>
      <c r="FH303" s="165"/>
      <c r="FI303" s="165"/>
      <c r="FJ303" s="165"/>
      <c r="FK303" s="165"/>
      <c r="FL303" s="165"/>
      <c r="FM303" s="165"/>
      <c r="FN303" s="165"/>
      <c r="FO303" s="165"/>
      <c r="FP303" s="165"/>
      <c r="FQ303" s="165"/>
      <c r="FR303" s="165"/>
      <c r="FS303" s="165"/>
      <c r="FT303" s="165"/>
      <c r="FU303" s="165"/>
      <c r="FV303" s="165"/>
      <c r="FW303" s="165"/>
      <c r="FX303" s="165"/>
      <c r="FY303" s="165"/>
      <c r="FZ303" s="165"/>
      <c r="GA303" s="165"/>
      <c r="GB303" s="165"/>
      <c r="GC303" s="165"/>
      <c r="GD303" s="165"/>
      <c r="GE303" s="165"/>
      <c r="GF303" s="165"/>
      <c r="GG303" s="165"/>
      <c r="GH303" s="165"/>
      <c r="GI303" s="165"/>
      <c r="GJ303" s="165"/>
      <c r="GK303" s="165"/>
      <c r="GL303" s="165"/>
      <c r="GM303" s="165"/>
      <c r="GN303" s="165"/>
      <c r="GO303" s="165"/>
      <c r="GP303" s="165"/>
      <c r="GQ303" s="165"/>
      <c r="GR303" s="165"/>
      <c r="GS303" s="165"/>
      <c r="GT303" s="165"/>
      <c r="GU303" s="165"/>
      <c r="GV303" s="165"/>
      <c r="GW303" s="165"/>
      <c r="GX303" s="165"/>
      <c r="GY303" s="165"/>
      <c r="GZ303" s="165"/>
      <c r="HA303" s="165"/>
      <c r="HB303" s="165"/>
      <c r="HC303" s="165"/>
      <c r="HD303" s="165"/>
      <c r="HE303" s="165"/>
      <c r="HF303" s="165"/>
      <c r="HG303" s="165"/>
      <c r="HH303" s="165"/>
      <c r="HI303" s="165"/>
      <c r="HJ303" s="165"/>
      <c r="HK303" s="165"/>
      <c r="HL303" s="165"/>
      <c r="HM303" s="165"/>
      <c r="HN303" s="165"/>
      <c r="HO303" s="165"/>
      <c r="HP303" s="165"/>
      <c r="HQ303" s="165"/>
      <c r="HR303" s="165"/>
      <c r="HS303" s="165"/>
      <c r="HT303" s="165"/>
      <c r="HU303" s="165"/>
      <c r="HV303" s="165"/>
      <c r="HW303" s="165"/>
      <c r="HX303" s="165"/>
      <c r="HY303" s="165"/>
      <c r="HZ303" s="165"/>
      <c r="IA303" s="165"/>
      <c r="IB303" s="165"/>
      <c r="IC303" s="165"/>
      <c r="ID303" s="165"/>
      <c r="IE303" s="165"/>
      <c r="IF303" s="165"/>
      <c r="IG303" s="165"/>
      <c r="IH303" s="165"/>
      <c r="II303" s="165"/>
      <c r="IJ303" s="165"/>
      <c r="IK303" s="165"/>
      <c r="IL303" s="165"/>
      <c r="IM303" s="165"/>
      <c r="IN303" s="165"/>
      <c r="IO303" s="165"/>
      <c r="IP303" s="165"/>
      <c r="IQ303" s="165"/>
      <c r="IR303" s="165"/>
      <c r="IS303" s="165"/>
    </row>
    <row r="304" spans="1:253" s="62" customFormat="1" x14ac:dyDescent="0.2">
      <c r="A304" s="474" t="s">
        <v>246</v>
      </c>
      <c r="B304" s="475">
        <f>'Saimnieciskas pamatdarbibas NP'!B53+'Saimnieciskas pamatdarbibas NP'!B47</f>
        <v>45284</v>
      </c>
      <c r="C304" s="475">
        <f>'Saimnieciskas pamatdarbibas NP'!C53+'Saimnieciskas pamatdarbibas NP'!C47</f>
        <v>47095.360000000001</v>
      </c>
      <c r="D304" s="475">
        <f>'Saimnieciskas pamatdarbibas NP'!D53+'Saimnieciskas pamatdarbibas NP'!D47</f>
        <v>56348.380000000005</v>
      </c>
      <c r="E304" s="475">
        <f>'Saimnieciskas pamatdarbibas NP'!E53+'Saimnieciskas pamatdarbibas NP'!E47</f>
        <v>65601.400000000009</v>
      </c>
      <c r="F304" s="463">
        <f>'Saimnieciskas pamatdarbibas NP'!F53+'Saimnieciskas pamatdarbibas NP'!F47</f>
        <v>68401.760000000009</v>
      </c>
      <c r="G304" s="475">
        <f>'Saimnieciskas pamatdarbibas NP'!G53+'Saimnieciskas pamatdarbibas NP'!G47</f>
        <v>69623.22</v>
      </c>
      <c r="H304" s="475">
        <f>'Saimnieciskas pamatdarbibas NP'!H53+'Saimnieciskas pamatdarbibas NP'!H47</f>
        <v>73042.508799999996</v>
      </c>
      <c r="I304" s="475">
        <f>'Saimnieciskas pamatdarbibas NP'!I53+'Saimnieciskas pamatdarbibas NP'!I47</f>
        <v>74301.862399999984</v>
      </c>
      <c r="J304" s="475">
        <f>'Saimnieciskas pamatdarbibas NP'!J53+'Saimnieciskas pamatdarbibas NP'!J47</f>
        <v>75561.216</v>
      </c>
      <c r="K304" s="475">
        <f>'Saimnieciskas pamatdarbibas NP'!K53+'Saimnieciskas pamatdarbibas NP'!K47</f>
        <v>76820.569600000003</v>
      </c>
      <c r="L304" s="475">
        <f>'Saimnieciskas pamatdarbibas NP'!L53+'Saimnieciskas pamatdarbibas NP'!L47</f>
        <v>78079.923200000005</v>
      </c>
      <c r="M304" s="475">
        <f>'Saimnieciskas pamatdarbibas NP'!M53+'Saimnieciskas pamatdarbibas NP'!M47</f>
        <v>79339.276799999992</v>
      </c>
      <c r="N304" s="475">
        <f>'Saimnieciskas pamatdarbibas NP'!N53+'Saimnieciskas pamatdarbibas NP'!N47</f>
        <v>81228.30720000001</v>
      </c>
      <c r="O304" s="475">
        <f>'Saimnieciskas pamatdarbibas NP'!O53+'Saimnieciskas pamatdarbibas NP'!O47</f>
        <v>83117.337599999999</v>
      </c>
      <c r="P304" s="475">
        <f>'Saimnieciskas pamatdarbibas NP'!P53+'Saimnieciskas pamatdarbibas NP'!P47</f>
        <v>85006.368000000017</v>
      </c>
      <c r="Q304" s="475">
        <f>'Saimnieciskas pamatdarbibas NP'!Q53+'Saimnieciskas pamatdarbibas NP'!Q47</f>
        <v>86895.398400000005</v>
      </c>
      <c r="R304" s="475">
        <f>'Saimnieciskas pamatdarbibas NP'!R53+'Saimnieciskas pamatdarbibas NP'!R47</f>
        <v>88784.428799999994</v>
      </c>
      <c r="S304" s="475">
        <f>'Saimnieciskas pamatdarbibas NP'!S53+'Saimnieciskas pamatdarbibas NP'!S47</f>
        <v>90673.459199999998</v>
      </c>
      <c r="T304" s="475">
        <f>'Saimnieciskas pamatdarbibas NP'!T53+'Saimnieciskas pamatdarbibas NP'!T47</f>
        <v>92562.489600000001</v>
      </c>
      <c r="U304" s="475">
        <f>'Saimnieciskas pamatdarbibas NP'!U53+'Saimnieciskas pamatdarbibas NP'!U47</f>
        <v>94451.520000000004</v>
      </c>
      <c r="V304" s="475">
        <f>'Saimnieciskas pamatdarbibas NP'!V53+'Saimnieciskas pamatdarbibas NP'!V47</f>
        <v>96340.550399999993</v>
      </c>
      <c r="W304" s="475">
        <f>'Saimnieciskas pamatdarbibas NP'!W53+'Saimnieciskas pamatdarbibas NP'!W47</f>
        <v>98229.580799999996</v>
      </c>
      <c r="X304" s="475">
        <f>'Saimnieciskas pamatdarbibas NP'!X53+'Saimnieciskas pamatdarbibas NP'!X47</f>
        <v>100118.6112</v>
      </c>
      <c r="Y304" s="475">
        <f>'Saimnieciskas pamatdarbibas NP'!Y53+'Saimnieciskas pamatdarbibas NP'!Y47</f>
        <v>102007.6416</v>
      </c>
      <c r="Z304" s="475">
        <f>'Saimnieciskas pamatdarbibas NP'!Z53+'Saimnieciskas pamatdarbibas NP'!Z47</f>
        <v>103896.67199999999</v>
      </c>
      <c r="AA304" s="475">
        <f>'Saimnieciskas pamatdarbibas NP'!AA53+'Saimnieciskas pamatdarbibas NP'!AA47</f>
        <v>105785.70239999998</v>
      </c>
      <c r="AB304" s="475">
        <f>'Saimnieciskas pamatdarbibas NP'!AB53+'Saimnieciskas pamatdarbibas NP'!AB47</f>
        <v>107674.7328</v>
      </c>
      <c r="AC304" s="475">
        <f>'Saimnieciskas pamatdarbibas NP'!AC53+'Saimnieciskas pamatdarbibas NP'!AC47</f>
        <v>109563.7632</v>
      </c>
      <c r="AD304" s="475">
        <f>'Saimnieciskas pamatdarbibas NP'!AD53+'Saimnieciskas pamatdarbibas NP'!AD47</f>
        <v>111452.7936</v>
      </c>
      <c r="AE304" s="475">
        <f>'Saimnieciskas pamatdarbibas NP'!AE53+'Saimnieciskas pamatdarbibas NP'!AE47</f>
        <v>113971.50080000001</v>
      </c>
      <c r="AF304" s="475">
        <f>'Saimnieciskas pamatdarbibas NP'!AF53+'Saimnieciskas pamatdarbibas NP'!AF47</f>
        <v>116490.20800000001</v>
      </c>
      <c r="AG304" s="475">
        <f>'Saimnieciskas pamatdarbibas NP'!AG53+'Saimnieciskas pamatdarbibas NP'!AG47</f>
        <v>116492.20800000001</v>
      </c>
      <c r="AH304" s="475">
        <f>'Saimnieciskas pamatdarbibas NP'!AH53+'Saimnieciskas pamatdarbibas NP'!AH47</f>
        <v>116494.20800000001</v>
      </c>
      <c r="AI304" s="475"/>
      <c r="AJ304" s="165"/>
      <c r="AK304" s="165"/>
      <c r="AL304" s="165"/>
      <c r="AM304" s="535"/>
      <c r="AN304" s="165"/>
      <c r="AO304" s="283"/>
      <c r="AP304" s="71"/>
      <c r="AQ304" s="283"/>
      <c r="AR304" s="71"/>
      <c r="AS304" s="283"/>
      <c r="AT304" s="165"/>
      <c r="AU304" s="165"/>
      <c r="AV304" s="165"/>
      <c r="AW304" s="165"/>
      <c r="AX304" s="165"/>
      <c r="AY304" s="165"/>
      <c r="AZ304" s="165"/>
      <c r="BA304" s="165"/>
      <c r="BB304" s="165"/>
      <c r="BC304" s="165"/>
      <c r="BD304" s="165"/>
      <c r="BE304" s="165"/>
      <c r="BF304" s="165"/>
      <c r="BG304" s="165"/>
      <c r="BH304" s="165"/>
      <c r="BI304" s="165"/>
      <c r="BJ304" s="165"/>
      <c r="BK304" s="165"/>
      <c r="BL304" s="165"/>
      <c r="BM304" s="165"/>
      <c r="BN304" s="165"/>
      <c r="BO304" s="165"/>
      <c r="BP304" s="165"/>
      <c r="BQ304" s="165"/>
      <c r="BR304" s="165"/>
      <c r="BS304" s="165"/>
      <c r="BT304" s="165"/>
      <c r="BU304" s="165"/>
      <c r="BV304" s="165"/>
      <c r="BW304" s="165"/>
      <c r="BX304" s="165"/>
      <c r="BY304" s="165"/>
      <c r="BZ304" s="165"/>
      <c r="CA304" s="165"/>
      <c r="CB304" s="165"/>
      <c r="CC304" s="165"/>
      <c r="CD304" s="165"/>
      <c r="CE304" s="165"/>
      <c r="CF304" s="165"/>
      <c r="CG304" s="165"/>
      <c r="CH304" s="165"/>
      <c r="CI304" s="165"/>
      <c r="CJ304" s="165"/>
      <c r="CK304" s="165"/>
      <c r="CL304" s="165"/>
      <c r="CM304" s="165"/>
      <c r="CN304" s="165"/>
      <c r="CO304" s="165"/>
      <c r="CP304" s="165"/>
      <c r="CQ304" s="165"/>
      <c r="CR304" s="165"/>
      <c r="CS304" s="165"/>
      <c r="CT304" s="165"/>
      <c r="CU304" s="165"/>
      <c r="CV304" s="165"/>
      <c r="CW304" s="165"/>
      <c r="CX304" s="165"/>
      <c r="CY304" s="165"/>
      <c r="CZ304" s="165"/>
      <c r="DA304" s="165"/>
      <c r="DB304" s="165"/>
      <c r="DC304" s="165"/>
      <c r="DD304" s="165"/>
      <c r="DE304" s="165"/>
      <c r="DF304" s="165"/>
      <c r="DG304" s="165"/>
      <c r="DH304" s="165"/>
      <c r="DI304" s="165"/>
      <c r="DJ304" s="165"/>
      <c r="DK304" s="165"/>
      <c r="DL304" s="165"/>
      <c r="DM304" s="165"/>
      <c r="DN304" s="165"/>
      <c r="DO304" s="165"/>
      <c r="DP304" s="165"/>
      <c r="DQ304" s="165"/>
      <c r="DR304" s="165"/>
      <c r="DS304" s="165"/>
      <c r="DT304" s="165"/>
      <c r="DU304" s="165"/>
      <c r="DV304" s="165"/>
      <c r="DW304" s="165"/>
      <c r="DX304" s="165"/>
      <c r="DY304" s="165"/>
      <c r="DZ304" s="165"/>
      <c r="EA304" s="165"/>
      <c r="EB304" s="165"/>
      <c r="EC304" s="165"/>
      <c r="ED304" s="165"/>
      <c r="EE304" s="165"/>
      <c r="EF304" s="165"/>
      <c r="EG304" s="165"/>
      <c r="EH304" s="165"/>
      <c r="EI304" s="165"/>
      <c r="EJ304" s="165"/>
      <c r="EK304" s="165"/>
      <c r="EL304" s="165"/>
      <c r="EM304" s="165"/>
      <c r="EN304" s="165"/>
      <c r="EO304" s="165"/>
      <c r="EP304" s="165"/>
      <c r="EQ304" s="165"/>
      <c r="ER304" s="165"/>
      <c r="ES304" s="165"/>
      <c r="ET304" s="165"/>
      <c r="EU304" s="165"/>
      <c r="EV304" s="165"/>
      <c r="EW304" s="165"/>
      <c r="EX304" s="165"/>
      <c r="EY304" s="165"/>
      <c r="EZ304" s="165"/>
      <c r="FA304" s="165"/>
      <c r="FB304" s="165"/>
      <c r="FC304" s="165"/>
      <c r="FD304" s="165"/>
      <c r="FE304" s="165"/>
      <c r="FF304" s="165"/>
      <c r="FG304" s="165"/>
      <c r="FH304" s="165"/>
      <c r="FI304" s="165"/>
      <c r="FJ304" s="165"/>
      <c r="FK304" s="165"/>
      <c r="FL304" s="165"/>
      <c r="FM304" s="165"/>
      <c r="FN304" s="165"/>
      <c r="FO304" s="165"/>
      <c r="FP304" s="165"/>
      <c r="FQ304" s="165"/>
      <c r="FR304" s="165"/>
      <c r="FS304" s="165"/>
      <c r="FT304" s="165"/>
      <c r="FU304" s="165"/>
      <c r="FV304" s="165"/>
      <c r="FW304" s="165"/>
      <c r="FX304" s="165"/>
      <c r="FY304" s="165"/>
      <c r="FZ304" s="165"/>
      <c r="GA304" s="165"/>
      <c r="GB304" s="165"/>
      <c r="GC304" s="165"/>
      <c r="GD304" s="165"/>
      <c r="GE304" s="165"/>
      <c r="GF304" s="165"/>
      <c r="GG304" s="165"/>
      <c r="GH304" s="165"/>
      <c r="GI304" s="165"/>
      <c r="GJ304" s="165"/>
      <c r="GK304" s="165"/>
      <c r="GL304" s="165"/>
      <c r="GM304" s="165"/>
      <c r="GN304" s="165"/>
      <c r="GO304" s="165"/>
      <c r="GP304" s="165"/>
      <c r="GQ304" s="165"/>
      <c r="GR304" s="165"/>
      <c r="GS304" s="165"/>
      <c r="GT304" s="165"/>
      <c r="GU304" s="165"/>
      <c r="GV304" s="165"/>
      <c r="GW304" s="165"/>
      <c r="GX304" s="165"/>
      <c r="GY304" s="165"/>
      <c r="GZ304" s="165"/>
      <c r="HA304" s="165"/>
      <c r="HB304" s="165"/>
      <c r="HC304" s="165"/>
      <c r="HD304" s="165"/>
      <c r="HE304" s="165"/>
      <c r="HF304" s="165"/>
      <c r="HG304" s="165"/>
      <c r="HH304" s="165"/>
      <c r="HI304" s="165"/>
      <c r="HJ304" s="165"/>
      <c r="HK304" s="165"/>
      <c r="HL304" s="165"/>
      <c r="HM304" s="165"/>
      <c r="HN304" s="165"/>
      <c r="HO304" s="165"/>
      <c r="HP304" s="165"/>
      <c r="HQ304" s="165"/>
      <c r="HR304" s="165"/>
      <c r="HS304" s="165"/>
      <c r="HT304" s="165"/>
      <c r="HU304" s="165"/>
      <c r="HV304" s="165"/>
      <c r="HW304" s="165"/>
      <c r="HX304" s="165"/>
      <c r="HY304" s="165"/>
      <c r="HZ304" s="165"/>
      <c r="IA304" s="165"/>
      <c r="IB304" s="165"/>
      <c r="IC304" s="165"/>
      <c r="ID304" s="165"/>
      <c r="IE304" s="165"/>
      <c r="IF304" s="165"/>
      <c r="IG304" s="165"/>
      <c r="IH304" s="165"/>
      <c r="II304" s="165"/>
      <c r="IJ304" s="165"/>
      <c r="IK304" s="165"/>
      <c r="IL304" s="165"/>
      <c r="IM304" s="165"/>
      <c r="IN304" s="165"/>
      <c r="IO304" s="165"/>
      <c r="IP304" s="165"/>
      <c r="IQ304" s="165"/>
      <c r="IR304" s="165"/>
      <c r="IS304" s="165"/>
    </row>
    <row r="305" spans="1:253" s="62" customFormat="1" ht="25.5" x14ac:dyDescent="0.2">
      <c r="A305" s="474" t="s">
        <v>560</v>
      </c>
      <c r="B305" s="475">
        <f>'Saimnieciskas pamatdarbibas NP'!B48+'Saimnieciskas pamatdarbibas NP'!B54</f>
        <v>9450</v>
      </c>
      <c r="C305" s="475">
        <f>'Saimnieciskas pamatdarbibas NP'!C48+'Saimnieciskas pamatdarbibas NP'!C54</f>
        <v>9828</v>
      </c>
      <c r="D305" s="475">
        <f>'Saimnieciskas pamatdarbibas NP'!D48+'Saimnieciskas pamatdarbibas NP'!D54</f>
        <v>9961.5</v>
      </c>
      <c r="E305" s="475">
        <f>'Saimnieciskas pamatdarbibas NP'!E48+'Saimnieciskas pamatdarbibas NP'!E54</f>
        <v>10095</v>
      </c>
      <c r="F305" s="463">
        <f>'Saimnieciskas pamatdarbibas NP'!F48+'Saimnieciskas pamatdarbibas NP'!F54</f>
        <v>10248.000000000002</v>
      </c>
      <c r="G305" s="475">
        <f>'Saimnieciskas pamatdarbibas NP'!G48+'Saimnieciskas pamatdarbibas NP'!G54</f>
        <v>10430.999999999998</v>
      </c>
      <c r="H305" s="475">
        <f>'Saimnieciskas pamatdarbibas NP'!H48+'Saimnieciskas pamatdarbibas NP'!H54</f>
        <v>10572.24</v>
      </c>
      <c r="I305" s="475">
        <f>'Saimnieciskas pamatdarbibas NP'!I48+'Saimnieciskas pamatdarbibas NP'!I54</f>
        <v>10754.52</v>
      </c>
      <c r="J305" s="475">
        <f>'Saimnieciskas pamatdarbibas NP'!J48+'Saimnieciskas pamatdarbibas NP'!J54</f>
        <v>10936.8</v>
      </c>
      <c r="K305" s="475">
        <f>'Saimnieciskas pamatdarbibas NP'!K48+'Saimnieciskas pamatdarbibas NP'!K54</f>
        <v>11119.08</v>
      </c>
      <c r="L305" s="475">
        <f>'Saimnieciskas pamatdarbibas NP'!L48+'Saimnieciskas pamatdarbibas NP'!L54</f>
        <v>11301.36</v>
      </c>
      <c r="M305" s="475">
        <f>'Saimnieciskas pamatdarbibas NP'!M48+'Saimnieciskas pamatdarbibas NP'!M54</f>
        <v>11483.64</v>
      </c>
      <c r="N305" s="475">
        <f>'Saimnieciskas pamatdarbibas NP'!N48+'Saimnieciskas pamatdarbibas NP'!N54</f>
        <v>11757.06</v>
      </c>
      <c r="O305" s="475">
        <f>'Saimnieciskas pamatdarbibas NP'!O48+'Saimnieciskas pamatdarbibas NP'!O54</f>
        <v>12030.48</v>
      </c>
      <c r="P305" s="475">
        <f>'Saimnieciskas pamatdarbibas NP'!P48+'Saimnieciskas pamatdarbibas NP'!P54</f>
        <v>12303.9</v>
      </c>
      <c r="Q305" s="475">
        <f>'Saimnieciskas pamatdarbibas NP'!Q48+'Saimnieciskas pamatdarbibas NP'!Q54</f>
        <v>12577.319999999998</v>
      </c>
      <c r="R305" s="475">
        <f>'Saimnieciskas pamatdarbibas NP'!R48+'Saimnieciskas pamatdarbibas NP'!R54</f>
        <v>12850.74</v>
      </c>
      <c r="S305" s="475">
        <f>'Saimnieciskas pamatdarbibas NP'!S48+'Saimnieciskas pamatdarbibas NP'!S54</f>
        <v>13124.16</v>
      </c>
      <c r="T305" s="475">
        <f>'Saimnieciskas pamatdarbibas NP'!T48+'Saimnieciskas pamatdarbibas NP'!T54</f>
        <v>13397.58</v>
      </c>
      <c r="U305" s="475">
        <f>'Saimnieciskas pamatdarbibas NP'!U48+'Saimnieciskas pamatdarbibas NP'!U54</f>
        <v>13671</v>
      </c>
      <c r="V305" s="475">
        <f>'Saimnieciskas pamatdarbibas NP'!V48+'Saimnieciskas pamatdarbibas NP'!V54</f>
        <v>13944.42</v>
      </c>
      <c r="W305" s="475">
        <f>'Saimnieciskas pamatdarbibas NP'!W48+'Saimnieciskas pamatdarbibas NP'!W54</f>
        <v>14217.84</v>
      </c>
      <c r="X305" s="475">
        <f>'Saimnieciskas pamatdarbibas NP'!X48+'Saimnieciskas pamatdarbibas NP'!X54</f>
        <v>14491.26</v>
      </c>
      <c r="Y305" s="475">
        <f>'Saimnieciskas pamatdarbibas NP'!Y48+'Saimnieciskas pamatdarbibas NP'!Y54</f>
        <v>14764.680000000002</v>
      </c>
      <c r="Z305" s="475">
        <f>'Saimnieciskas pamatdarbibas NP'!Z48+'Saimnieciskas pamatdarbibas NP'!Z54</f>
        <v>15038.1</v>
      </c>
      <c r="AA305" s="475">
        <f>'Saimnieciskas pamatdarbibas NP'!AA48+'Saimnieciskas pamatdarbibas NP'!AA54</f>
        <v>15311.52</v>
      </c>
      <c r="AB305" s="475">
        <f>'Saimnieciskas pamatdarbibas NP'!AB48+'Saimnieciskas pamatdarbibas NP'!AB54</f>
        <v>15584.94</v>
      </c>
      <c r="AC305" s="475">
        <f>'Saimnieciskas pamatdarbibas NP'!AC48+'Saimnieciskas pamatdarbibas NP'!AC54</f>
        <v>15858.36</v>
      </c>
      <c r="AD305" s="475">
        <f>'Saimnieciskas pamatdarbibas NP'!AD48+'Saimnieciskas pamatdarbibas NP'!AD54</f>
        <v>16131.78</v>
      </c>
      <c r="AE305" s="475">
        <f>'Saimnieciskas pamatdarbibas NP'!AE48+'Saimnieciskas pamatdarbibas NP'!AE54</f>
        <v>16496.34</v>
      </c>
      <c r="AF305" s="475">
        <f>'Saimnieciskas pamatdarbibas NP'!AF48+'Saimnieciskas pamatdarbibas NP'!AF54</f>
        <v>16860.900000000001</v>
      </c>
      <c r="AG305" s="475">
        <f>'Saimnieciskas pamatdarbibas NP'!AG48+'Saimnieciskas pamatdarbibas NP'!AG54</f>
        <v>16860.900000000001</v>
      </c>
      <c r="AH305" s="475">
        <f>'Saimnieciskas pamatdarbibas NP'!AH48+'Saimnieciskas pamatdarbibas NP'!AH54</f>
        <v>16860.900000000001</v>
      </c>
      <c r="AI305" s="475"/>
      <c r="AJ305" s="165"/>
      <c r="AK305" s="727"/>
      <c r="AL305" s="727"/>
      <c r="AM305" s="727"/>
      <c r="AN305" s="165"/>
      <c r="AO305" s="283"/>
      <c r="AP305" s="71"/>
      <c r="AQ305" s="283"/>
      <c r="AR305" s="71"/>
      <c r="AS305" s="283"/>
      <c r="AT305" s="165"/>
      <c r="AU305" s="165"/>
      <c r="AV305" s="165"/>
      <c r="AW305" s="165"/>
      <c r="AX305" s="165"/>
      <c r="AY305" s="165"/>
      <c r="AZ305" s="165"/>
      <c r="BA305" s="165"/>
      <c r="BB305" s="165"/>
      <c r="BC305" s="165"/>
      <c r="BD305" s="165"/>
      <c r="BE305" s="165"/>
      <c r="BF305" s="165"/>
      <c r="BG305" s="165"/>
      <c r="BH305" s="165"/>
      <c r="BI305" s="165"/>
      <c r="BJ305" s="165"/>
      <c r="BK305" s="165"/>
      <c r="BL305" s="165"/>
      <c r="BM305" s="165"/>
      <c r="BN305" s="165"/>
      <c r="BO305" s="165"/>
      <c r="BP305" s="165"/>
      <c r="BQ305" s="165"/>
      <c r="BR305" s="165"/>
      <c r="BS305" s="165"/>
      <c r="BT305" s="165"/>
      <c r="BU305" s="165"/>
      <c r="BV305" s="165"/>
      <c r="BW305" s="165"/>
      <c r="BX305" s="165"/>
      <c r="BY305" s="165"/>
      <c r="BZ305" s="165"/>
      <c r="CA305" s="165"/>
      <c r="CB305" s="165"/>
      <c r="CC305" s="165"/>
      <c r="CD305" s="165"/>
      <c r="CE305" s="165"/>
      <c r="CF305" s="165"/>
      <c r="CG305" s="165"/>
      <c r="CH305" s="165"/>
      <c r="CI305" s="165"/>
      <c r="CJ305" s="165"/>
      <c r="CK305" s="165"/>
      <c r="CL305" s="165"/>
      <c r="CM305" s="165"/>
      <c r="CN305" s="165"/>
      <c r="CO305" s="165"/>
      <c r="CP305" s="165"/>
      <c r="CQ305" s="165"/>
      <c r="CR305" s="165"/>
      <c r="CS305" s="165"/>
      <c r="CT305" s="165"/>
      <c r="CU305" s="165"/>
      <c r="CV305" s="165"/>
      <c r="CW305" s="165"/>
      <c r="CX305" s="165"/>
      <c r="CY305" s="165"/>
      <c r="CZ305" s="165"/>
      <c r="DA305" s="165"/>
      <c r="DB305" s="165"/>
      <c r="DC305" s="165"/>
      <c r="DD305" s="165"/>
      <c r="DE305" s="165"/>
      <c r="DF305" s="165"/>
      <c r="DG305" s="165"/>
      <c r="DH305" s="165"/>
      <c r="DI305" s="165"/>
      <c r="DJ305" s="165"/>
      <c r="DK305" s="165"/>
      <c r="DL305" s="165"/>
      <c r="DM305" s="165"/>
      <c r="DN305" s="165"/>
      <c r="DO305" s="165"/>
      <c r="DP305" s="165"/>
      <c r="DQ305" s="165"/>
      <c r="DR305" s="165"/>
      <c r="DS305" s="165"/>
      <c r="DT305" s="165"/>
      <c r="DU305" s="165"/>
      <c r="DV305" s="165"/>
      <c r="DW305" s="165"/>
      <c r="DX305" s="165"/>
      <c r="DY305" s="165"/>
      <c r="DZ305" s="165"/>
      <c r="EA305" s="165"/>
      <c r="EB305" s="165"/>
      <c r="EC305" s="165"/>
      <c r="ED305" s="165"/>
      <c r="EE305" s="165"/>
      <c r="EF305" s="165"/>
      <c r="EG305" s="165"/>
      <c r="EH305" s="165"/>
      <c r="EI305" s="165"/>
      <c r="EJ305" s="165"/>
      <c r="EK305" s="165"/>
      <c r="EL305" s="165"/>
      <c r="EM305" s="165"/>
      <c r="EN305" s="165"/>
      <c r="EO305" s="165"/>
      <c r="EP305" s="165"/>
      <c r="EQ305" s="165"/>
      <c r="ER305" s="165"/>
      <c r="ES305" s="165"/>
      <c r="ET305" s="165"/>
      <c r="EU305" s="165"/>
      <c r="EV305" s="165"/>
      <c r="EW305" s="165"/>
      <c r="EX305" s="165"/>
      <c r="EY305" s="165"/>
      <c r="EZ305" s="165"/>
      <c r="FA305" s="165"/>
      <c r="FB305" s="165"/>
      <c r="FC305" s="165"/>
      <c r="FD305" s="165"/>
      <c r="FE305" s="165"/>
      <c r="FF305" s="165"/>
      <c r="FG305" s="165"/>
      <c r="FH305" s="165"/>
      <c r="FI305" s="165"/>
      <c r="FJ305" s="165"/>
      <c r="FK305" s="165"/>
      <c r="FL305" s="165"/>
      <c r="FM305" s="165"/>
      <c r="FN305" s="165"/>
      <c r="FO305" s="165"/>
      <c r="FP305" s="165"/>
      <c r="FQ305" s="165"/>
      <c r="FR305" s="165"/>
      <c r="FS305" s="165"/>
      <c r="FT305" s="165"/>
      <c r="FU305" s="165"/>
      <c r="FV305" s="165"/>
      <c r="FW305" s="165"/>
      <c r="FX305" s="165"/>
      <c r="FY305" s="165"/>
      <c r="FZ305" s="165"/>
      <c r="GA305" s="165"/>
      <c r="GB305" s="165"/>
      <c r="GC305" s="165"/>
      <c r="GD305" s="165"/>
      <c r="GE305" s="165"/>
      <c r="GF305" s="165"/>
      <c r="GG305" s="165"/>
      <c r="GH305" s="165"/>
      <c r="GI305" s="165"/>
      <c r="GJ305" s="165"/>
      <c r="GK305" s="165"/>
      <c r="GL305" s="165"/>
      <c r="GM305" s="165"/>
      <c r="GN305" s="165"/>
      <c r="GO305" s="165"/>
      <c r="GP305" s="165"/>
      <c r="GQ305" s="165"/>
      <c r="GR305" s="165"/>
      <c r="GS305" s="165"/>
      <c r="GT305" s="165"/>
      <c r="GU305" s="165"/>
      <c r="GV305" s="165"/>
      <c r="GW305" s="165"/>
      <c r="GX305" s="165"/>
      <c r="GY305" s="165"/>
      <c r="GZ305" s="165"/>
      <c r="HA305" s="165"/>
      <c r="HB305" s="165"/>
      <c r="HC305" s="165"/>
      <c r="HD305" s="165"/>
      <c r="HE305" s="165"/>
      <c r="HF305" s="165"/>
      <c r="HG305" s="165"/>
      <c r="HH305" s="165"/>
      <c r="HI305" s="165"/>
      <c r="HJ305" s="165"/>
      <c r="HK305" s="165"/>
      <c r="HL305" s="165"/>
      <c r="HM305" s="165"/>
      <c r="HN305" s="165"/>
      <c r="HO305" s="165"/>
      <c r="HP305" s="165"/>
      <c r="HQ305" s="165"/>
      <c r="HR305" s="165"/>
      <c r="HS305" s="165"/>
      <c r="HT305" s="165"/>
      <c r="HU305" s="165"/>
      <c r="HV305" s="165"/>
      <c r="HW305" s="165"/>
      <c r="HX305" s="165"/>
      <c r="HY305" s="165"/>
      <c r="HZ305" s="165"/>
      <c r="IA305" s="165"/>
      <c r="IB305" s="165"/>
      <c r="IC305" s="165"/>
      <c r="ID305" s="165"/>
      <c r="IE305" s="165"/>
      <c r="IF305" s="165"/>
      <c r="IG305" s="165"/>
      <c r="IH305" s="165"/>
      <c r="II305" s="165"/>
      <c r="IJ305" s="165"/>
      <c r="IK305" s="165"/>
      <c r="IL305" s="165"/>
      <c r="IM305" s="165"/>
      <c r="IN305" s="165"/>
      <c r="IO305" s="165"/>
      <c r="IP305" s="165"/>
      <c r="IQ305" s="165"/>
      <c r="IR305" s="165"/>
      <c r="IS305" s="165"/>
    </row>
    <row r="306" spans="1:253" s="62" customFormat="1" ht="12.75" customHeight="1" x14ac:dyDescent="0.2">
      <c r="A306" s="521" t="s">
        <v>247</v>
      </c>
      <c r="B306" s="522">
        <f t="shared" ref="B306:AG306" si="108">SUM(B307:B309)</f>
        <v>122315.7871</v>
      </c>
      <c r="C306" s="522">
        <f t="shared" si="108"/>
        <v>130877.89219700001</v>
      </c>
      <c r="D306" s="522">
        <f t="shared" si="108"/>
        <v>134547.36581000002</v>
      </c>
      <c r="E306" s="522">
        <f t="shared" si="108"/>
        <v>138216.839423</v>
      </c>
      <c r="F306" s="520">
        <f t="shared" si="108"/>
        <v>140663.155165</v>
      </c>
      <c r="G306" s="522">
        <f t="shared" si="108"/>
        <v>143109.47090699998</v>
      </c>
      <c r="H306" s="522">
        <f t="shared" si="108"/>
        <v>145555.78664900002</v>
      </c>
      <c r="I306" s="522">
        <f t="shared" si="108"/>
        <v>148002.10239099999</v>
      </c>
      <c r="J306" s="522">
        <f t="shared" si="108"/>
        <v>150448.418133</v>
      </c>
      <c r="K306" s="522">
        <f t="shared" si="108"/>
        <v>152894.73387500001</v>
      </c>
      <c r="L306" s="522">
        <f t="shared" si="108"/>
        <v>155341.04961700001</v>
      </c>
      <c r="M306" s="522">
        <f t="shared" si="108"/>
        <v>157787.36535900002</v>
      </c>
      <c r="N306" s="522">
        <f t="shared" si="108"/>
        <v>160233.68110099999</v>
      </c>
      <c r="O306" s="522">
        <f t="shared" si="108"/>
        <v>162679.99684300003</v>
      </c>
      <c r="P306" s="522">
        <f t="shared" si="108"/>
        <v>166349.47045600001</v>
      </c>
      <c r="Q306" s="522">
        <f t="shared" si="108"/>
        <v>170018.94406900002</v>
      </c>
      <c r="R306" s="522">
        <f t="shared" si="108"/>
        <v>173688.41768199997</v>
      </c>
      <c r="S306" s="522">
        <f t="shared" si="108"/>
        <v>177357.89129499998</v>
      </c>
      <c r="T306" s="522">
        <f t="shared" si="108"/>
        <v>181027.36490799999</v>
      </c>
      <c r="U306" s="522">
        <f t="shared" si="108"/>
        <v>184696.838521</v>
      </c>
      <c r="V306" s="522">
        <f t="shared" si="108"/>
        <v>188366.31213400001</v>
      </c>
      <c r="W306" s="522">
        <f t="shared" si="108"/>
        <v>192035.78574700002</v>
      </c>
      <c r="X306" s="522">
        <f t="shared" si="108"/>
        <v>195705.25936000003</v>
      </c>
      <c r="Y306" s="522">
        <f t="shared" si="108"/>
        <v>199374.73297300001</v>
      </c>
      <c r="Z306" s="522">
        <f t="shared" si="108"/>
        <v>203044.20658599999</v>
      </c>
      <c r="AA306" s="522">
        <f t="shared" si="108"/>
        <v>206713.68019899999</v>
      </c>
      <c r="AB306" s="522">
        <f t="shared" si="108"/>
        <v>210383.153812</v>
      </c>
      <c r="AC306" s="522">
        <f t="shared" si="108"/>
        <v>214052.62742500001</v>
      </c>
      <c r="AD306" s="522">
        <f t="shared" si="108"/>
        <v>217722.10103800002</v>
      </c>
      <c r="AE306" s="522">
        <f t="shared" si="108"/>
        <v>221391.57465100003</v>
      </c>
      <c r="AF306" s="522">
        <f t="shared" si="108"/>
        <v>225061.04826400004</v>
      </c>
      <c r="AG306" s="522">
        <f t="shared" si="108"/>
        <v>225065.04826400004</v>
      </c>
      <c r="AH306" s="522">
        <f>SUM(AH307:AH309)</f>
        <v>225069.04826400004</v>
      </c>
      <c r="AI306" s="522"/>
      <c r="AJ306" s="165"/>
      <c r="AK306" s="165"/>
      <c r="AL306" s="165"/>
      <c r="AM306" s="535"/>
      <c r="AN306" s="165"/>
      <c r="AO306" s="283"/>
      <c r="AP306" s="71"/>
      <c r="AQ306" s="283"/>
      <c r="AR306" s="71"/>
      <c r="AS306" s="283"/>
      <c r="AT306" s="165"/>
      <c r="AU306" s="165"/>
      <c r="AV306" s="165"/>
      <c r="AW306" s="165"/>
      <c r="AX306" s="165"/>
      <c r="AY306" s="165"/>
      <c r="AZ306" s="165"/>
      <c r="BA306" s="165"/>
      <c r="BB306" s="165"/>
      <c r="BC306" s="165"/>
      <c r="BD306" s="165"/>
      <c r="BE306" s="165"/>
      <c r="BF306" s="165"/>
      <c r="BG306" s="165"/>
      <c r="BH306" s="165"/>
      <c r="BI306" s="165"/>
      <c r="BJ306" s="165"/>
      <c r="BK306" s="165"/>
      <c r="BL306" s="165"/>
      <c r="BM306" s="165"/>
      <c r="BN306" s="165"/>
      <c r="BO306" s="165"/>
      <c r="BP306" s="165"/>
      <c r="BQ306" s="165"/>
      <c r="BR306" s="165"/>
      <c r="BS306" s="165"/>
      <c r="BT306" s="165"/>
      <c r="BU306" s="165"/>
      <c r="BV306" s="165"/>
      <c r="BW306" s="165"/>
      <c r="BX306" s="165"/>
      <c r="BY306" s="165"/>
      <c r="BZ306" s="165"/>
      <c r="CA306" s="165"/>
      <c r="CB306" s="165"/>
      <c r="CC306" s="165"/>
      <c r="CD306" s="165"/>
      <c r="CE306" s="165"/>
      <c r="CF306" s="165"/>
      <c r="CG306" s="165"/>
      <c r="CH306" s="165"/>
      <c r="CI306" s="165"/>
      <c r="CJ306" s="165"/>
      <c r="CK306" s="165"/>
      <c r="CL306" s="165"/>
      <c r="CM306" s="165"/>
      <c r="CN306" s="165"/>
      <c r="CO306" s="165"/>
      <c r="CP306" s="165"/>
      <c r="CQ306" s="165"/>
      <c r="CR306" s="165"/>
      <c r="CS306" s="165"/>
      <c r="CT306" s="165"/>
      <c r="CU306" s="165"/>
      <c r="CV306" s="165"/>
      <c r="CW306" s="165"/>
      <c r="CX306" s="165"/>
      <c r="CY306" s="165"/>
      <c r="CZ306" s="165"/>
      <c r="DA306" s="165"/>
      <c r="DB306" s="165"/>
      <c r="DC306" s="165"/>
      <c r="DD306" s="165"/>
      <c r="DE306" s="165"/>
      <c r="DF306" s="165"/>
      <c r="DG306" s="165"/>
      <c r="DH306" s="165"/>
      <c r="DI306" s="165"/>
      <c r="DJ306" s="165"/>
      <c r="DK306" s="165"/>
      <c r="DL306" s="165"/>
      <c r="DM306" s="165"/>
      <c r="DN306" s="165"/>
      <c r="DO306" s="165"/>
      <c r="DP306" s="165"/>
      <c r="DQ306" s="165"/>
      <c r="DR306" s="165"/>
      <c r="DS306" s="165"/>
      <c r="DT306" s="165"/>
      <c r="DU306" s="165"/>
      <c r="DV306" s="165"/>
      <c r="DW306" s="165"/>
      <c r="DX306" s="165"/>
      <c r="DY306" s="165"/>
      <c r="DZ306" s="165"/>
      <c r="EA306" s="165"/>
      <c r="EB306" s="165"/>
      <c r="EC306" s="165"/>
      <c r="ED306" s="165"/>
      <c r="EE306" s="165"/>
      <c r="EF306" s="165"/>
      <c r="EG306" s="165"/>
      <c r="EH306" s="165"/>
      <c r="EI306" s="165"/>
      <c r="EJ306" s="165"/>
      <c r="EK306" s="165"/>
      <c r="EL306" s="165"/>
      <c r="EM306" s="165"/>
      <c r="EN306" s="165"/>
      <c r="EO306" s="165"/>
      <c r="EP306" s="165"/>
      <c r="EQ306" s="165"/>
      <c r="ER306" s="165"/>
      <c r="ES306" s="165"/>
      <c r="ET306" s="165"/>
      <c r="EU306" s="165"/>
      <c r="EV306" s="165"/>
      <c r="EW306" s="165"/>
      <c r="EX306" s="165"/>
      <c r="EY306" s="165"/>
      <c r="EZ306" s="165"/>
      <c r="FA306" s="165"/>
      <c r="FB306" s="165"/>
      <c r="FC306" s="165"/>
      <c r="FD306" s="165"/>
      <c r="FE306" s="165"/>
      <c r="FF306" s="165"/>
      <c r="FG306" s="165"/>
      <c r="FH306" s="165"/>
      <c r="FI306" s="165"/>
      <c r="FJ306" s="165"/>
      <c r="FK306" s="165"/>
      <c r="FL306" s="165"/>
      <c r="FM306" s="165"/>
      <c r="FN306" s="165"/>
      <c r="FO306" s="165"/>
      <c r="FP306" s="165"/>
      <c r="FQ306" s="165"/>
      <c r="FR306" s="165"/>
      <c r="FS306" s="165"/>
      <c r="FT306" s="165"/>
      <c r="FU306" s="165"/>
      <c r="FV306" s="165"/>
      <c r="FW306" s="165"/>
      <c r="FX306" s="165"/>
      <c r="FY306" s="165"/>
      <c r="FZ306" s="165"/>
      <c r="GA306" s="165"/>
      <c r="GB306" s="165"/>
      <c r="GC306" s="165"/>
      <c r="GD306" s="165"/>
      <c r="GE306" s="165"/>
      <c r="GF306" s="165"/>
      <c r="GG306" s="165"/>
      <c r="GH306" s="165"/>
      <c r="GI306" s="165"/>
      <c r="GJ306" s="165"/>
      <c r="GK306" s="165"/>
      <c r="GL306" s="165"/>
      <c r="GM306" s="165"/>
      <c r="GN306" s="165"/>
      <c r="GO306" s="165"/>
      <c r="GP306" s="165"/>
      <c r="GQ306" s="165"/>
      <c r="GR306" s="165"/>
      <c r="GS306" s="165"/>
      <c r="GT306" s="165"/>
      <c r="GU306" s="165"/>
      <c r="GV306" s="165"/>
      <c r="GW306" s="165"/>
      <c r="GX306" s="165"/>
      <c r="GY306" s="165"/>
      <c r="GZ306" s="165"/>
      <c r="HA306" s="165"/>
      <c r="HB306" s="165"/>
      <c r="HC306" s="165"/>
      <c r="HD306" s="165"/>
      <c r="HE306" s="165"/>
      <c r="HF306" s="165"/>
      <c r="HG306" s="165"/>
      <c r="HH306" s="165"/>
      <c r="HI306" s="165"/>
      <c r="HJ306" s="165"/>
      <c r="HK306" s="165"/>
      <c r="HL306" s="165"/>
      <c r="HM306" s="165"/>
      <c r="HN306" s="165"/>
      <c r="HO306" s="165"/>
      <c r="HP306" s="165"/>
      <c r="HQ306" s="165"/>
      <c r="HR306" s="165"/>
      <c r="HS306" s="165"/>
      <c r="HT306" s="165"/>
      <c r="HU306" s="165"/>
      <c r="HV306" s="165"/>
      <c r="HW306" s="165"/>
      <c r="HX306" s="165"/>
      <c r="HY306" s="165"/>
      <c r="HZ306" s="165"/>
      <c r="IA306" s="165"/>
      <c r="IB306" s="165"/>
      <c r="IC306" s="165"/>
      <c r="ID306" s="165"/>
      <c r="IE306" s="165"/>
      <c r="IF306" s="165"/>
      <c r="IG306" s="165"/>
      <c r="IH306" s="165"/>
      <c r="II306" s="165"/>
      <c r="IJ306" s="165"/>
      <c r="IK306" s="165"/>
      <c r="IL306" s="165"/>
      <c r="IM306" s="165"/>
      <c r="IN306" s="165"/>
      <c r="IO306" s="165"/>
      <c r="IP306" s="165"/>
      <c r="IQ306" s="165"/>
      <c r="IR306" s="165"/>
      <c r="IS306" s="165"/>
    </row>
    <row r="307" spans="1:253" s="62" customFormat="1" x14ac:dyDescent="0.2">
      <c r="A307" s="474" t="s">
        <v>248</v>
      </c>
      <c r="B307" s="475">
        <f>'Saimnieciskas pamatdarbibas NP'!B57+'Saimnieciskas pamatdarbibas NP'!B61</f>
        <v>98969</v>
      </c>
      <c r="C307" s="475">
        <f>'Saimnieciskas pamatdarbibas NP'!C57+'Saimnieciskas pamatdarbibas NP'!C61</f>
        <v>105896.83</v>
      </c>
      <c r="D307" s="475">
        <f>'Saimnieciskas pamatdarbibas NP'!D57+'Saimnieciskas pamatdarbibas NP'!D61</f>
        <v>108865.90000000001</v>
      </c>
      <c r="E307" s="475">
        <f>'Saimnieciskas pamatdarbibas NP'!E57+'Saimnieciskas pamatdarbibas NP'!E61</f>
        <v>111834.96999999999</v>
      </c>
      <c r="F307" s="463">
        <f>'Saimnieciskas pamatdarbibas NP'!F57+'Saimnieciskas pamatdarbibas NP'!F61</f>
        <v>113814.34999999999</v>
      </c>
      <c r="G307" s="475">
        <f>'Saimnieciskas pamatdarbibas NP'!G57+'Saimnieciskas pamatdarbibas NP'!G61</f>
        <v>115793.72999999998</v>
      </c>
      <c r="H307" s="475">
        <f>'Saimnieciskas pamatdarbibas NP'!H57+'Saimnieciskas pamatdarbibas NP'!H61</f>
        <v>117773.11</v>
      </c>
      <c r="I307" s="475">
        <f>'Saimnieciskas pamatdarbibas NP'!I57+'Saimnieciskas pamatdarbibas NP'!I61</f>
        <v>119752.48999999999</v>
      </c>
      <c r="J307" s="475">
        <f>'Saimnieciskas pamatdarbibas NP'!J57+'Saimnieciskas pamatdarbibas NP'!J61</f>
        <v>121731.87</v>
      </c>
      <c r="K307" s="475">
        <f>'Saimnieciskas pamatdarbibas NP'!K57+'Saimnieciskas pamatdarbibas NP'!K61</f>
        <v>123711.25</v>
      </c>
      <c r="L307" s="475">
        <f>'Saimnieciskas pamatdarbibas NP'!L57+'Saimnieciskas pamatdarbibas NP'!L61</f>
        <v>125690.63</v>
      </c>
      <c r="M307" s="475">
        <f>'Saimnieciskas pamatdarbibas NP'!M57+'Saimnieciskas pamatdarbibas NP'!M61</f>
        <v>127670.01000000001</v>
      </c>
      <c r="N307" s="475">
        <f>'Saimnieciskas pamatdarbibas NP'!N57+'Saimnieciskas pamatdarbibas NP'!N61</f>
        <v>129649.39</v>
      </c>
      <c r="O307" s="475">
        <f>'Saimnieciskas pamatdarbibas NP'!O57+'Saimnieciskas pamatdarbibas NP'!O61</f>
        <v>131628.77000000002</v>
      </c>
      <c r="P307" s="475">
        <f>'Saimnieciskas pamatdarbibas NP'!P57+'Saimnieciskas pamatdarbibas NP'!P61</f>
        <v>134597.84</v>
      </c>
      <c r="Q307" s="475">
        <f>'Saimnieciskas pamatdarbibas NP'!Q57+'Saimnieciskas pamatdarbibas NP'!Q61</f>
        <v>137566.91</v>
      </c>
      <c r="R307" s="475">
        <f>'Saimnieciskas pamatdarbibas NP'!R57+'Saimnieciskas pamatdarbibas NP'!R61</f>
        <v>140535.97999999998</v>
      </c>
      <c r="S307" s="475">
        <f>'Saimnieciskas pamatdarbibas NP'!S57+'Saimnieciskas pamatdarbibas NP'!S61</f>
        <v>143505.04999999999</v>
      </c>
      <c r="T307" s="475">
        <f>'Saimnieciskas pamatdarbibas NP'!T57+'Saimnieciskas pamatdarbibas NP'!T61</f>
        <v>146474.12</v>
      </c>
      <c r="U307" s="475">
        <f>'Saimnieciskas pamatdarbibas NP'!U57+'Saimnieciskas pamatdarbibas NP'!U61</f>
        <v>149443.19</v>
      </c>
      <c r="V307" s="475">
        <f>'Saimnieciskas pamatdarbibas NP'!V57+'Saimnieciskas pamatdarbibas NP'!V61</f>
        <v>152412.26</v>
      </c>
      <c r="W307" s="475">
        <f>'Saimnieciskas pamatdarbibas NP'!W57+'Saimnieciskas pamatdarbibas NP'!W61</f>
        <v>155381.33000000002</v>
      </c>
      <c r="X307" s="475">
        <f>'Saimnieciskas pamatdarbibas NP'!X57+'Saimnieciskas pamatdarbibas NP'!X61</f>
        <v>158350.40000000002</v>
      </c>
      <c r="Y307" s="475">
        <f>'Saimnieciskas pamatdarbibas NP'!Y57+'Saimnieciskas pamatdarbibas NP'!Y61</f>
        <v>161319.47</v>
      </c>
      <c r="Z307" s="475">
        <f>'Saimnieciskas pamatdarbibas NP'!Z57+'Saimnieciskas pamatdarbibas NP'!Z61</f>
        <v>164288.53999999998</v>
      </c>
      <c r="AA307" s="475">
        <f>'Saimnieciskas pamatdarbibas NP'!AA57+'Saimnieciskas pamatdarbibas NP'!AA61</f>
        <v>167257.60999999999</v>
      </c>
      <c r="AB307" s="475">
        <f>'Saimnieciskas pamatdarbibas NP'!AB57+'Saimnieciskas pamatdarbibas NP'!AB61</f>
        <v>170226.68</v>
      </c>
      <c r="AC307" s="475">
        <f>'Saimnieciskas pamatdarbibas NP'!AC57+'Saimnieciskas pamatdarbibas NP'!AC61</f>
        <v>173195.75</v>
      </c>
      <c r="AD307" s="475">
        <f>'Saimnieciskas pamatdarbibas NP'!AD57+'Saimnieciskas pamatdarbibas NP'!AD61</f>
        <v>176164.82</v>
      </c>
      <c r="AE307" s="475">
        <f>'Saimnieciskas pamatdarbibas NP'!AE57+'Saimnieciskas pamatdarbibas NP'!AE61</f>
        <v>179133.89</v>
      </c>
      <c r="AF307" s="475">
        <f>'Saimnieciskas pamatdarbibas NP'!AF57+'Saimnieciskas pamatdarbibas NP'!AF61</f>
        <v>182102.96000000002</v>
      </c>
      <c r="AG307" s="475">
        <f>'Saimnieciskas pamatdarbibas NP'!AG57+'Saimnieciskas pamatdarbibas NP'!AG61</f>
        <v>182104.96000000002</v>
      </c>
      <c r="AH307" s="475">
        <f>'Saimnieciskas pamatdarbibas NP'!AH57+'Saimnieciskas pamatdarbibas NP'!AH61</f>
        <v>182106.96000000002</v>
      </c>
      <c r="AI307" s="475"/>
      <c r="AJ307" s="165"/>
      <c r="AK307" s="165"/>
      <c r="AL307" s="165"/>
      <c r="AM307" s="535"/>
      <c r="AN307" s="165"/>
      <c r="AO307" s="283"/>
      <c r="AP307" s="71"/>
      <c r="AQ307" s="283"/>
      <c r="AR307" s="71"/>
      <c r="AS307" s="283"/>
      <c r="AT307" s="165"/>
      <c r="AU307" s="165"/>
      <c r="AV307" s="165"/>
      <c r="AW307" s="165"/>
      <c r="AX307" s="165"/>
      <c r="AY307" s="165"/>
      <c r="AZ307" s="165"/>
      <c r="BA307" s="165"/>
      <c r="BB307" s="165"/>
      <c r="BC307" s="165"/>
      <c r="BD307" s="165"/>
      <c r="BE307" s="165"/>
      <c r="BF307" s="165"/>
      <c r="BG307" s="165"/>
      <c r="BH307" s="165"/>
      <c r="BI307" s="165"/>
      <c r="BJ307" s="165"/>
      <c r="BK307" s="165"/>
      <c r="BL307" s="165"/>
      <c r="BM307" s="165"/>
      <c r="BN307" s="165"/>
      <c r="BO307" s="165"/>
      <c r="BP307" s="165"/>
      <c r="BQ307" s="165"/>
      <c r="BR307" s="165"/>
      <c r="BS307" s="165"/>
      <c r="BT307" s="165"/>
      <c r="BU307" s="165"/>
      <c r="BV307" s="165"/>
      <c r="BW307" s="165"/>
      <c r="BX307" s="165"/>
      <c r="BY307" s="165"/>
      <c r="BZ307" s="165"/>
      <c r="CA307" s="165"/>
      <c r="CB307" s="165"/>
      <c r="CC307" s="165"/>
      <c r="CD307" s="165"/>
      <c r="CE307" s="165"/>
      <c r="CF307" s="165"/>
      <c r="CG307" s="165"/>
      <c r="CH307" s="165"/>
      <c r="CI307" s="165"/>
      <c r="CJ307" s="165"/>
      <c r="CK307" s="165"/>
      <c r="CL307" s="165"/>
      <c r="CM307" s="165"/>
      <c r="CN307" s="165"/>
      <c r="CO307" s="165"/>
      <c r="CP307" s="165"/>
      <c r="CQ307" s="165"/>
      <c r="CR307" s="165"/>
      <c r="CS307" s="165"/>
      <c r="CT307" s="165"/>
      <c r="CU307" s="165"/>
      <c r="CV307" s="165"/>
      <c r="CW307" s="165"/>
      <c r="CX307" s="165"/>
      <c r="CY307" s="165"/>
      <c r="CZ307" s="165"/>
      <c r="DA307" s="165"/>
      <c r="DB307" s="165"/>
      <c r="DC307" s="165"/>
      <c r="DD307" s="165"/>
      <c r="DE307" s="165"/>
      <c r="DF307" s="165"/>
      <c r="DG307" s="165"/>
      <c r="DH307" s="165"/>
      <c r="DI307" s="165"/>
      <c r="DJ307" s="165"/>
      <c r="DK307" s="165"/>
      <c r="DL307" s="165"/>
      <c r="DM307" s="165"/>
      <c r="DN307" s="165"/>
      <c r="DO307" s="165"/>
      <c r="DP307" s="165"/>
      <c r="DQ307" s="165"/>
      <c r="DR307" s="165"/>
      <c r="DS307" s="165"/>
      <c r="DT307" s="165"/>
      <c r="DU307" s="165"/>
      <c r="DV307" s="165"/>
      <c r="DW307" s="165"/>
      <c r="DX307" s="165"/>
      <c r="DY307" s="165"/>
      <c r="DZ307" s="165"/>
      <c r="EA307" s="165"/>
      <c r="EB307" s="165"/>
      <c r="EC307" s="165"/>
      <c r="ED307" s="165"/>
      <c r="EE307" s="165"/>
      <c r="EF307" s="165"/>
      <c r="EG307" s="165"/>
      <c r="EH307" s="165"/>
      <c r="EI307" s="165"/>
      <c r="EJ307" s="165"/>
      <c r="EK307" s="165"/>
      <c r="EL307" s="165"/>
      <c r="EM307" s="165"/>
      <c r="EN307" s="165"/>
      <c r="EO307" s="165"/>
      <c r="EP307" s="165"/>
      <c r="EQ307" s="165"/>
      <c r="ER307" s="165"/>
      <c r="ES307" s="165"/>
      <c r="ET307" s="165"/>
      <c r="EU307" s="165"/>
      <c r="EV307" s="165"/>
      <c r="EW307" s="165"/>
      <c r="EX307" s="165"/>
      <c r="EY307" s="165"/>
      <c r="EZ307" s="165"/>
      <c r="FA307" s="165"/>
      <c r="FB307" s="165"/>
      <c r="FC307" s="165"/>
      <c r="FD307" s="165"/>
      <c r="FE307" s="165"/>
      <c r="FF307" s="165"/>
      <c r="FG307" s="165"/>
      <c r="FH307" s="165"/>
      <c r="FI307" s="165"/>
      <c r="FJ307" s="165"/>
      <c r="FK307" s="165"/>
      <c r="FL307" s="165"/>
      <c r="FM307" s="165"/>
      <c r="FN307" s="165"/>
      <c r="FO307" s="165"/>
      <c r="FP307" s="165"/>
      <c r="FQ307" s="165"/>
      <c r="FR307" s="165"/>
      <c r="FS307" s="165"/>
      <c r="FT307" s="165"/>
      <c r="FU307" s="165"/>
      <c r="FV307" s="165"/>
      <c r="FW307" s="165"/>
      <c r="FX307" s="165"/>
      <c r="FY307" s="165"/>
      <c r="FZ307" s="165"/>
      <c r="GA307" s="165"/>
      <c r="GB307" s="165"/>
      <c r="GC307" s="165"/>
      <c r="GD307" s="165"/>
      <c r="GE307" s="165"/>
      <c r="GF307" s="165"/>
      <c r="GG307" s="165"/>
      <c r="GH307" s="165"/>
      <c r="GI307" s="165"/>
      <c r="GJ307" s="165"/>
      <c r="GK307" s="165"/>
      <c r="GL307" s="165"/>
      <c r="GM307" s="165"/>
      <c r="GN307" s="165"/>
      <c r="GO307" s="165"/>
      <c r="GP307" s="165"/>
      <c r="GQ307" s="165"/>
      <c r="GR307" s="165"/>
      <c r="GS307" s="165"/>
      <c r="GT307" s="165"/>
      <c r="GU307" s="165"/>
      <c r="GV307" s="165"/>
      <c r="GW307" s="165"/>
      <c r="GX307" s="165"/>
      <c r="GY307" s="165"/>
      <c r="GZ307" s="165"/>
      <c r="HA307" s="165"/>
      <c r="HB307" s="165"/>
      <c r="HC307" s="165"/>
      <c r="HD307" s="165"/>
      <c r="HE307" s="165"/>
      <c r="HF307" s="165"/>
      <c r="HG307" s="165"/>
      <c r="HH307" s="165"/>
      <c r="HI307" s="165"/>
      <c r="HJ307" s="165"/>
      <c r="HK307" s="165"/>
      <c r="HL307" s="165"/>
      <c r="HM307" s="165"/>
      <c r="HN307" s="165"/>
      <c r="HO307" s="165"/>
      <c r="HP307" s="165"/>
      <c r="HQ307" s="165"/>
      <c r="HR307" s="165"/>
      <c r="HS307" s="165"/>
      <c r="HT307" s="165"/>
      <c r="HU307" s="165"/>
      <c r="HV307" s="165"/>
      <c r="HW307" s="165"/>
      <c r="HX307" s="165"/>
      <c r="HY307" s="165"/>
      <c r="HZ307" s="165"/>
      <c r="IA307" s="165"/>
      <c r="IB307" s="165"/>
      <c r="IC307" s="165"/>
      <c r="ID307" s="165"/>
      <c r="IE307" s="165"/>
      <c r="IF307" s="165"/>
      <c r="IG307" s="165"/>
      <c r="IH307" s="165"/>
      <c r="II307" s="165"/>
      <c r="IJ307" s="165"/>
      <c r="IK307" s="165"/>
      <c r="IL307" s="165"/>
      <c r="IM307" s="165"/>
      <c r="IN307" s="165"/>
      <c r="IO307" s="165"/>
      <c r="IP307" s="165"/>
      <c r="IQ307" s="165"/>
      <c r="IR307" s="165"/>
      <c r="IS307" s="165"/>
    </row>
    <row r="308" spans="1:253" s="62" customFormat="1" x14ac:dyDescent="0.2">
      <c r="A308" s="474" t="s">
        <v>249</v>
      </c>
      <c r="B308" s="475">
        <f>'Saimnieciskas pamatdarbibas NP'!B58+'Saimnieciskas pamatdarbibas NP'!B62</f>
        <v>23346.787100000001</v>
      </c>
      <c r="C308" s="475">
        <f>'Saimnieciskas pamatdarbibas NP'!C58+'Saimnieciskas pamatdarbibas NP'!C62</f>
        <v>24981.062196999999</v>
      </c>
      <c r="D308" s="475">
        <f>'Saimnieciskas pamatdarbibas NP'!D58+'Saimnieciskas pamatdarbibas NP'!D62</f>
        <v>25681.465810000002</v>
      </c>
      <c r="E308" s="475">
        <f>'Saimnieciskas pamatdarbibas NP'!E58+'Saimnieciskas pamatdarbibas NP'!E62</f>
        <v>26381.869422999996</v>
      </c>
      <c r="F308" s="463">
        <f>'Saimnieciskas pamatdarbibas NP'!F58+'Saimnieciskas pamatdarbibas NP'!F62</f>
        <v>26848.805164999998</v>
      </c>
      <c r="G308" s="475">
        <f>'Saimnieciskas pamatdarbibas NP'!G58+'Saimnieciskas pamatdarbibas NP'!G62</f>
        <v>27315.740906999999</v>
      </c>
      <c r="H308" s="475">
        <f>'Saimnieciskas pamatdarbibas NP'!H58+'Saimnieciskas pamatdarbibas NP'!H62</f>
        <v>27782.676649000001</v>
      </c>
      <c r="I308" s="475">
        <f>'Saimnieciskas pamatdarbibas NP'!I58+'Saimnieciskas pamatdarbibas NP'!I62</f>
        <v>28249.612391000002</v>
      </c>
      <c r="J308" s="475">
        <f>'Saimnieciskas pamatdarbibas NP'!J58+'Saimnieciskas pamatdarbibas NP'!J62</f>
        <v>28716.548133</v>
      </c>
      <c r="K308" s="475">
        <f>'Saimnieciskas pamatdarbibas NP'!K58+'Saimnieciskas pamatdarbibas NP'!K62</f>
        <v>29183.483874999998</v>
      </c>
      <c r="L308" s="475">
        <f>'Saimnieciskas pamatdarbibas NP'!L58+'Saimnieciskas pamatdarbibas NP'!L62</f>
        <v>29650.419617</v>
      </c>
      <c r="M308" s="475">
        <f>'Saimnieciskas pamatdarbibas NP'!M58+'Saimnieciskas pamatdarbibas NP'!M62</f>
        <v>30117.355359000001</v>
      </c>
      <c r="N308" s="475">
        <f>'Saimnieciskas pamatdarbibas NP'!N58+'Saimnieciskas pamatdarbibas NP'!N62</f>
        <v>30584.291101000003</v>
      </c>
      <c r="O308" s="475">
        <f>'Saimnieciskas pamatdarbibas NP'!O58+'Saimnieciskas pamatdarbibas NP'!O62</f>
        <v>31051.226843000004</v>
      </c>
      <c r="P308" s="475">
        <f>'Saimnieciskas pamatdarbibas NP'!P58+'Saimnieciskas pamatdarbibas NP'!P62</f>
        <v>31751.630455999999</v>
      </c>
      <c r="Q308" s="475">
        <f>'Saimnieciskas pamatdarbibas NP'!Q58+'Saimnieciskas pamatdarbibas NP'!Q62</f>
        <v>32452.034069000001</v>
      </c>
      <c r="R308" s="475">
        <f>'Saimnieciskas pamatdarbibas NP'!R58+'Saimnieciskas pamatdarbibas NP'!R62</f>
        <v>33152.437681999996</v>
      </c>
      <c r="S308" s="475">
        <f>'Saimnieciskas pamatdarbibas NP'!S58+'Saimnieciskas pamatdarbibas NP'!S62</f>
        <v>33852.841295000006</v>
      </c>
      <c r="T308" s="475">
        <f>'Saimnieciskas pamatdarbibas NP'!T58+'Saimnieciskas pamatdarbibas NP'!T62</f>
        <v>34553.244907999993</v>
      </c>
      <c r="U308" s="475">
        <f>'Saimnieciskas pamatdarbibas NP'!U58+'Saimnieciskas pamatdarbibas NP'!U62</f>
        <v>35253.648521000003</v>
      </c>
      <c r="V308" s="475">
        <f>'Saimnieciskas pamatdarbibas NP'!V58+'Saimnieciskas pamatdarbibas NP'!V62</f>
        <v>35954.052133999998</v>
      </c>
      <c r="W308" s="475">
        <f>'Saimnieciskas pamatdarbibas NP'!W58+'Saimnieciskas pamatdarbibas NP'!W62</f>
        <v>36654.455747</v>
      </c>
      <c r="X308" s="475">
        <f>'Saimnieciskas pamatdarbibas NP'!X58+'Saimnieciskas pamatdarbibas NP'!X62</f>
        <v>37354.859360000002</v>
      </c>
      <c r="Y308" s="475">
        <f>'Saimnieciskas pamatdarbibas NP'!Y58+'Saimnieciskas pamatdarbibas NP'!Y62</f>
        <v>38055.262973000004</v>
      </c>
      <c r="Z308" s="475">
        <f>'Saimnieciskas pamatdarbibas NP'!Z58+'Saimnieciskas pamatdarbibas NP'!Z62</f>
        <v>38755.666585999992</v>
      </c>
      <c r="AA308" s="475">
        <f>'Saimnieciskas pamatdarbibas NP'!AA58+'Saimnieciskas pamatdarbibas NP'!AA62</f>
        <v>39456.070199000002</v>
      </c>
      <c r="AB308" s="475">
        <f>'Saimnieciskas pamatdarbibas NP'!AB58+'Saimnieciskas pamatdarbibas NP'!AB62</f>
        <v>40156.473811999997</v>
      </c>
      <c r="AC308" s="475">
        <f>'Saimnieciskas pamatdarbibas NP'!AC58+'Saimnieciskas pamatdarbibas NP'!AC62</f>
        <v>40856.877424999999</v>
      </c>
      <c r="AD308" s="475">
        <f>'Saimnieciskas pamatdarbibas NP'!AD58+'Saimnieciskas pamatdarbibas NP'!AD62</f>
        <v>41557.281038000001</v>
      </c>
      <c r="AE308" s="475">
        <f>'Saimnieciskas pamatdarbibas NP'!AE58+'Saimnieciskas pamatdarbibas NP'!AE62</f>
        <v>42257.684651000003</v>
      </c>
      <c r="AF308" s="475">
        <f>'Saimnieciskas pamatdarbibas NP'!AF58+'Saimnieciskas pamatdarbibas NP'!AF62</f>
        <v>42958.088264000005</v>
      </c>
      <c r="AG308" s="475">
        <f>'Saimnieciskas pamatdarbibas NP'!AG58+'Saimnieciskas pamatdarbibas NP'!AG62</f>
        <v>42960.088264000005</v>
      </c>
      <c r="AH308" s="475">
        <f>'Saimnieciskas pamatdarbibas NP'!AH58+'Saimnieciskas pamatdarbibas NP'!AH62</f>
        <v>42962.088264000005</v>
      </c>
      <c r="AI308" s="475"/>
      <c r="AJ308" s="165"/>
      <c r="AK308" s="165"/>
      <c r="AL308" s="165"/>
      <c r="AM308" s="535"/>
      <c r="AN308" s="165"/>
      <c r="AO308" s="283"/>
      <c r="AP308" s="71"/>
      <c r="AQ308" s="283"/>
      <c r="AR308" s="71"/>
      <c r="AS308" s="283"/>
      <c r="AT308" s="165"/>
      <c r="AU308" s="165"/>
      <c r="AV308" s="165"/>
      <c r="AW308" s="165"/>
      <c r="AX308" s="165"/>
      <c r="AY308" s="165"/>
      <c r="AZ308" s="165"/>
      <c r="BA308" s="165"/>
      <c r="BB308" s="165"/>
      <c r="BC308" s="165"/>
      <c r="BD308" s="165"/>
      <c r="BE308" s="165"/>
      <c r="BF308" s="165"/>
      <c r="BG308" s="165"/>
      <c r="BH308" s="165"/>
      <c r="BI308" s="165"/>
      <c r="BJ308" s="165"/>
      <c r="BK308" s="165"/>
      <c r="BL308" s="165"/>
      <c r="BM308" s="165"/>
      <c r="BN308" s="165"/>
      <c r="BO308" s="165"/>
      <c r="BP308" s="165"/>
      <c r="BQ308" s="165"/>
      <c r="BR308" s="165"/>
      <c r="BS308" s="165"/>
      <c r="BT308" s="165"/>
      <c r="BU308" s="165"/>
      <c r="BV308" s="165"/>
      <c r="BW308" s="165"/>
      <c r="BX308" s="165"/>
      <c r="BY308" s="165"/>
      <c r="BZ308" s="165"/>
      <c r="CA308" s="165"/>
      <c r="CB308" s="165"/>
      <c r="CC308" s="165"/>
      <c r="CD308" s="165"/>
      <c r="CE308" s="165"/>
      <c r="CF308" s="165"/>
      <c r="CG308" s="165"/>
      <c r="CH308" s="165"/>
      <c r="CI308" s="165"/>
      <c r="CJ308" s="165"/>
      <c r="CK308" s="165"/>
      <c r="CL308" s="165"/>
      <c r="CM308" s="165"/>
      <c r="CN308" s="165"/>
      <c r="CO308" s="165"/>
      <c r="CP308" s="165"/>
      <c r="CQ308" s="165"/>
      <c r="CR308" s="165"/>
      <c r="CS308" s="165"/>
      <c r="CT308" s="165"/>
      <c r="CU308" s="165"/>
      <c r="CV308" s="165"/>
      <c r="CW308" s="165"/>
      <c r="CX308" s="165"/>
      <c r="CY308" s="165"/>
      <c r="CZ308" s="165"/>
      <c r="DA308" s="165"/>
      <c r="DB308" s="165"/>
      <c r="DC308" s="165"/>
      <c r="DD308" s="165"/>
      <c r="DE308" s="165"/>
      <c r="DF308" s="165"/>
      <c r="DG308" s="165"/>
      <c r="DH308" s="165"/>
      <c r="DI308" s="165"/>
      <c r="DJ308" s="165"/>
      <c r="DK308" s="165"/>
      <c r="DL308" s="165"/>
      <c r="DM308" s="165"/>
      <c r="DN308" s="165"/>
      <c r="DO308" s="165"/>
      <c r="DP308" s="165"/>
      <c r="DQ308" s="165"/>
      <c r="DR308" s="165"/>
      <c r="DS308" s="165"/>
      <c r="DT308" s="165"/>
      <c r="DU308" s="165"/>
      <c r="DV308" s="165"/>
      <c r="DW308" s="165"/>
      <c r="DX308" s="165"/>
      <c r="DY308" s="165"/>
      <c r="DZ308" s="165"/>
      <c r="EA308" s="165"/>
      <c r="EB308" s="165"/>
      <c r="EC308" s="165"/>
      <c r="ED308" s="165"/>
      <c r="EE308" s="165"/>
      <c r="EF308" s="165"/>
      <c r="EG308" s="165"/>
      <c r="EH308" s="165"/>
      <c r="EI308" s="165"/>
      <c r="EJ308" s="165"/>
      <c r="EK308" s="165"/>
      <c r="EL308" s="165"/>
      <c r="EM308" s="165"/>
      <c r="EN308" s="165"/>
      <c r="EO308" s="165"/>
      <c r="EP308" s="165"/>
      <c r="EQ308" s="165"/>
      <c r="ER308" s="165"/>
      <c r="ES308" s="165"/>
      <c r="ET308" s="165"/>
      <c r="EU308" s="165"/>
      <c r="EV308" s="165"/>
      <c r="EW308" s="165"/>
      <c r="EX308" s="165"/>
      <c r="EY308" s="165"/>
      <c r="EZ308" s="165"/>
      <c r="FA308" s="165"/>
      <c r="FB308" s="165"/>
      <c r="FC308" s="165"/>
      <c r="FD308" s="165"/>
      <c r="FE308" s="165"/>
      <c r="FF308" s="165"/>
      <c r="FG308" s="165"/>
      <c r="FH308" s="165"/>
      <c r="FI308" s="165"/>
      <c r="FJ308" s="165"/>
      <c r="FK308" s="165"/>
      <c r="FL308" s="165"/>
      <c r="FM308" s="165"/>
      <c r="FN308" s="165"/>
      <c r="FO308" s="165"/>
      <c r="FP308" s="165"/>
      <c r="FQ308" s="165"/>
      <c r="FR308" s="165"/>
      <c r="FS308" s="165"/>
      <c r="FT308" s="165"/>
      <c r="FU308" s="165"/>
      <c r="FV308" s="165"/>
      <c r="FW308" s="165"/>
      <c r="FX308" s="165"/>
      <c r="FY308" s="165"/>
      <c r="FZ308" s="165"/>
      <c r="GA308" s="165"/>
      <c r="GB308" s="165"/>
      <c r="GC308" s="165"/>
      <c r="GD308" s="165"/>
      <c r="GE308" s="165"/>
      <c r="GF308" s="165"/>
      <c r="GG308" s="165"/>
      <c r="GH308" s="165"/>
      <c r="GI308" s="165"/>
      <c r="GJ308" s="165"/>
      <c r="GK308" s="165"/>
      <c r="GL308" s="165"/>
      <c r="GM308" s="165"/>
      <c r="GN308" s="165"/>
      <c r="GO308" s="165"/>
      <c r="GP308" s="165"/>
      <c r="GQ308" s="165"/>
      <c r="GR308" s="165"/>
      <c r="GS308" s="165"/>
      <c r="GT308" s="165"/>
      <c r="GU308" s="165"/>
      <c r="GV308" s="165"/>
      <c r="GW308" s="165"/>
      <c r="GX308" s="165"/>
      <c r="GY308" s="165"/>
      <c r="GZ308" s="165"/>
      <c r="HA308" s="165"/>
      <c r="HB308" s="165"/>
      <c r="HC308" s="165"/>
      <c r="HD308" s="165"/>
      <c r="HE308" s="165"/>
      <c r="HF308" s="165"/>
      <c r="HG308" s="165"/>
      <c r="HH308" s="165"/>
      <c r="HI308" s="165"/>
      <c r="HJ308" s="165"/>
      <c r="HK308" s="165"/>
      <c r="HL308" s="165"/>
      <c r="HM308" s="165"/>
      <c r="HN308" s="165"/>
      <c r="HO308" s="165"/>
      <c r="HP308" s="165"/>
      <c r="HQ308" s="165"/>
      <c r="HR308" s="165"/>
      <c r="HS308" s="165"/>
      <c r="HT308" s="165"/>
      <c r="HU308" s="165"/>
      <c r="HV308" s="165"/>
      <c r="HW308" s="165"/>
      <c r="HX308" s="165"/>
      <c r="HY308" s="165"/>
      <c r="HZ308" s="165"/>
      <c r="IA308" s="165"/>
      <c r="IB308" s="165"/>
      <c r="IC308" s="165"/>
      <c r="ID308" s="165"/>
      <c r="IE308" s="165"/>
      <c r="IF308" s="165"/>
      <c r="IG308" s="165"/>
      <c r="IH308" s="165"/>
      <c r="II308" s="165"/>
      <c r="IJ308" s="165"/>
      <c r="IK308" s="165"/>
      <c r="IL308" s="165"/>
      <c r="IM308" s="165"/>
      <c r="IN308" s="165"/>
      <c r="IO308" s="165"/>
      <c r="IP308" s="165"/>
      <c r="IQ308" s="165"/>
      <c r="IR308" s="165"/>
      <c r="IS308" s="165"/>
    </row>
    <row r="309" spans="1:253" s="62" customFormat="1" x14ac:dyDescent="0.2">
      <c r="A309" s="474" t="s">
        <v>250</v>
      </c>
      <c r="B309" s="475">
        <f>'Saimnieciskas pamatdarbibas NP'!B59+'Saimnieciskas pamatdarbibas NP'!B63</f>
        <v>0</v>
      </c>
      <c r="C309" s="475">
        <f>'Saimnieciskas pamatdarbibas NP'!C59+'Saimnieciskas pamatdarbibas NP'!C63</f>
        <v>0</v>
      </c>
      <c r="D309" s="475">
        <f>'Saimnieciskas pamatdarbibas NP'!D59+'Saimnieciskas pamatdarbibas NP'!D63</f>
        <v>0</v>
      </c>
      <c r="E309" s="475">
        <f>'Saimnieciskas pamatdarbibas NP'!E59+'Saimnieciskas pamatdarbibas NP'!E63</f>
        <v>0</v>
      </c>
      <c r="F309" s="463">
        <f>'Saimnieciskas pamatdarbibas NP'!F59+'Saimnieciskas pamatdarbibas NP'!F63</f>
        <v>0</v>
      </c>
      <c r="G309" s="475">
        <f>'Saimnieciskas pamatdarbibas NP'!G59+'Saimnieciskas pamatdarbibas NP'!G63</f>
        <v>0</v>
      </c>
      <c r="H309" s="475">
        <f>'Saimnieciskas pamatdarbibas NP'!H59+'Saimnieciskas pamatdarbibas NP'!H63</f>
        <v>0</v>
      </c>
      <c r="I309" s="475">
        <f>'Saimnieciskas pamatdarbibas NP'!I59+'Saimnieciskas pamatdarbibas NP'!I63</f>
        <v>0</v>
      </c>
      <c r="J309" s="475">
        <f>'Saimnieciskas pamatdarbibas NP'!J59+'Saimnieciskas pamatdarbibas NP'!J63</f>
        <v>0</v>
      </c>
      <c r="K309" s="475">
        <f>'Saimnieciskas pamatdarbibas NP'!K59+'Saimnieciskas pamatdarbibas NP'!K63</f>
        <v>0</v>
      </c>
      <c r="L309" s="475">
        <f>'Saimnieciskas pamatdarbibas NP'!L59+'Saimnieciskas pamatdarbibas NP'!L63</f>
        <v>0</v>
      </c>
      <c r="M309" s="475">
        <f>'Saimnieciskas pamatdarbibas NP'!M59+'Saimnieciskas pamatdarbibas NP'!M63</f>
        <v>0</v>
      </c>
      <c r="N309" s="475">
        <f>'Saimnieciskas pamatdarbibas NP'!N59+'Saimnieciskas pamatdarbibas NP'!N63</f>
        <v>0</v>
      </c>
      <c r="O309" s="475">
        <f>'Saimnieciskas pamatdarbibas NP'!O59+'Saimnieciskas pamatdarbibas NP'!O63</f>
        <v>0</v>
      </c>
      <c r="P309" s="475">
        <f>'Saimnieciskas pamatdarbibas NP'!P59+'Saimnieciskas pamatdarbibas NP'!P63</f>
        <v>0</v>
      </c>
      <c r="Q309" s="475">
        <f>'Saimnieciskas pamatdarbibas NP'!Q59+'Saimnieciskas pamatdarbibas NP'!Q63</f>
        <v>0</v>
      </c>
      <c r="R309" s="475">
        <f>'Saimnieciskas pamatdarbibas NP'!R59+'Saimnieciskas pamatdarbibas NP'!R63</f>
        <v>0</v>
      </c>
      <c r="S309" s="475">
        <f>'Saimnieciskas pamatdarbibas NP'!S59+'Saimnieciskas pamatdarbibas NP'!S63</f>
        <v>0</v>
      </c>
      <c r="T309" s="475">
        <f>'Saimnieciskas pamatdarbibas NP'!T59+'Saimnieciskas pamatdarbibas NP'!T63</f>
        <v>0</v>
      </c>
      <c r="U309" s="475">
        <f>'Saimnieciskas pamatdarbibas NP'!U59+'Saimnieciskas pamatdarbibas NP'!U63</f>
        <v>0</v>
      </c>
      <c r="V309" s="475">
        <f>'Saimnieciskas pamatdarbibas NP'!V59+'Saimnieciskas pamatdarbibas NP'!V63</f>
        <v>0</v>
      </c>
      <c r="W309" s="475">
        <f>'Saimnieciskas pamatdarbibas NP'!W59+'Saimnieciskas pamatdarbibas NP'!W63</f>
        <v>0</v>
      </c>
      <c r="X309" s="475">
        <f>'Saimnieciskas pamatdarbibas NP'!X59+'Saimnieciskas pamatdarbibas NP'!X63</f>
        <v>0</v>
      </c>
      <c r="Y309" s="475">
        <f>'Saimnieciskas pamatdarbibas NP'!Y59+'Saimnieciskas pamatdarbibas NP'!Y63</f>
        <v>0</v>
      </c>
      <c r="Z309" s="475">
        <f>'Saimnieciskas pamatdarbibas NP'!Z59+'Saimnieciskas pamatdarbibas NP'!Z63</f>
        <v>0</v>
      </c>
      <c r="AA309" s="475">
        <f>'Saimnieciskas pamatdarbibas NP'!AA59+'Saimnieciskas pamatdarbibas NP'!AA63</f>
        <v>0</v>
      </c>
      <c r="AB309" s="475">
        <f>'Saimnieciskas pamatdarbibas NP'!AB59+'Saimnieciskas pamatdarbibas NP'!AB63</f>
        <v>0</v>
      </c>
      <c r="AC309" s="475">
        <f>'Saimnieciskas pamatdarbibas NP'!AC59+'Saimnieciskas pamatdarbibas NP'!AC63</f>
        <v>0</v>
      </c>
      <c r="AD309" s="475">
        <f>'Saimnieciskas pamatdarbibas NP'!AD59+'Saimnieciskas pamatdarbibas NP'!AD63</f>
        <v>0</v>
      </c>
      <c r="AE309" s="475">
        <f>'Saimnieciskas pamatdarbibas NP'!AE59+'Saimnieciskas pamatdarbibas NP'!AE63</f>
        <v>0</v>
      </c>
      <c r="AF309" s="475">
        <f>'Saimnieciskas pamatdarbibas NP'!AF59+'Saimnieciskas pamatdarbibas NP'!AF63</f>
        <v>0</v>
      </c>
      <c r="AG309" s="475">
        <f>'Saimnieciskas pamatdarbibas NP'!AG59+'Saimnieciskas pamatdarbibas NP'!AG63</f>
        <v>0</v>
      </c>
      <c r="AH309" s="475">
        <f>'Saimnieciskas pamatdarbibas NP'!AH59+'Saimnieciskas pamatdarbibas NP'!AH63</f>
        <v>0</v>
      </c>
      <c r="AI309" s="475"/>
      <c r="AJ309" s="165"/>
      <c r="AK309" s="165"/>
      <c r="AL309" s="165"/>
      <c r="AM309" s="535"/>
      <c r="AN309" s="165"/>
      <c r="AO309" s="283"/>
      <c r="AP309" s="71"/>
      <c r="AQ309" s="283"/>
      <c r="AR309" s="71"/>
      <c r="AS309" s="283"/>
      <c r="AT309" s="165"/>
      <c r="AU309" s="165"/>
      <c r="AV309" s="165"/>
      <c r="AW309" s="165"/>
      <c r="AX309" s="165"/>
      <c r="AY309" s="165"/>
      <c r="AZ309" s="165"/>
      <c r="BA309" s="165"/>
      <c r="BB309" s="165"/>
      <c r="BC309" s="165"/>
      <c r="BD309" s="165"/>
      <c r="BE309" s="165"/>
      <c r="BF309" s="165"/>
      <c r="BG309" s="165"/>
      <c r="BH309" s="165"/>
      <c r="BI309" s="165"/>
      <c r="BJ309" s="165"/>
      <c r="BK309" s="165"/>
      <c r="BL309" s="165"/>
      <c r="BM309" s="165"/>
      <c r="BN309" s="165"/>
      <c r="BO309" s="165"/>
      <c r="BP309" s="165"/>
      <c r="BQ309" s="165"/>
      <c r="BR309" s="165"/>
      <c r="BS309" s="165"/>
      <c r="BT309" s="165"/>
      <c r="BU309" s="165"/>
      <c r="BV309" s="165"/>
      <c r="BW309" s="165"/>
      <c r="BX309" s="165"/>
      <c r="BY309" s="165"/>
      <c r="BZ309" s="165"/>
      <c r="CA309" s="165"/>
      <c r="CB309" s="165"/>
      <c r="CC309" s="165"/>
      <c r="CD309" s="165"/>
      <c r="CE309" s="165"/>
      <c r="CF309" s="165"/>
      <c r="CG309" s="165"/>
      <c r="CH309" s="165"/>
      <c r="CI309" s="165"/>
      <c r="CJ309" s="165"/>
      <c r="CK309" s="165"/>
      <c r="CL309" s="165"/>
      <c r="CM309" s="165"/>
      <c r="CN309" s="165"/>
      <c r="CO309" s="165"/>
      <c r="CP309" s="165"/>
      <c r="CQ309" s="165"/>
      <c r="CR309" s="165"/>
      <c r="CS309" s="165"/>
      <c r="CT309" s="165"/>
      <c r="CU309" s="165"/>
      <c r="CV309" s="165"/>
      <c r="CW309" s="165"/>
      <c r="CX309" s="165"/>
      <c r="CY309" s="165"/>
      <c r="CZ309" s="165"/>
      <c r="DA309" s="165"/>
      <c r="DB309" s="165"/>
      <c r="DC309" s="165"/>
      <c r="DD309" s="165"/>
      <c r="DE309" s="165"/>
      <c r="DF309" s="165"/>
      <c r="DG309" s="165"/>
      <c r="DH309" s="165"/>
      <c r="DI309" s="165"/>
      <c r="DJ309" s="165"/>
      <c r="DK309" s="165"/>
      <c r="DL309" s="165"/>
      <c r="DM309" s="165"/>
      <c r="DN309" s="165"/>
      <c r="DO309" s="165"/>
      <c r="DP309" s="165"/>
      <c r="DQ309" s="165"/>
      <c r="DR309" s="165"/>
      <c r="DS309" s="165"/>
      <c r="DT309" s="165"/>
      <c r="DU309" s="165"/>
      <c r="DV309" s="165"/>
      <c r="DW309" s="165"/>
      <c r="DX309" s="165"/>
      <c r="DY309" s="165"/>
      <c r="DZ309" s="165"/>
      <c r="EA309" s="165"/>
      <c r="EB309" s="165"/>
      <c r="EC309" s="165"/>
      <c r="ED309" s="165"/>
      <c r="EE309" s="165"/>
      <c r="EF309" s="165"/>
      <c r="EG309" s="165"/>
      <c r="EH309" s="165"/>
      <c r="EI309" s="165"/>
      <c r="EJ309" s="165"/>
      <c r="EK309" s="165"/>
      <c r="EL309" s="165"/>
      <c r="EM309" s="165"/>
      <c r="EN309" s="165"/>
      <c r="EO309" s="165"/>
      <c r="EP309" s="165"/>
      <c r="EQ309" s="165"/>
      <c r="ER309" s="165"/>
      <c r="ES309" s="165"/>
      <c r="ET309" s="165"/>
      <c r="EU309" s="165"/>
      <c r="EV309" s="165"/>
      <c r="EW309" s="165"/>
      <c r="EX309" s="165"/>
      <c r="EY309" s="165"/>
      <c r="EZ309" s="165"/>
      <c r="FA309" s="165"/>
      <c r="FB309" s="165"/>
      <c r="FC309" s="165"/>
      <c r="FD309" s="165"/>
      <c r="FE309" s="165"/>
      <c r="FF309" s="165"/>
      <c r="FG309" s="165"/>
      <c r="FH309" s="165"/>
      <c r="FI309" s="165"/>
      <c r="FJ309" s="165"/>
      <c r="FK309" s="165"/>
      <c r="FL309" s="165"/>
      <c r="FM309" s="165"/>
      <c r="FN309" s="165"/>
      <c r="FO309" s="165"/>
      <c r="FP309" s="165"/>
      <c r="FQ309" s="165"/>
      <c r="FR309" s="165"/>
      <c r="FS309" s="165"/>
      <c r="FT309" s="165"/>
      <c r="FU309" s="165"/>
      <c r="FV309" s="165"/>
      <c r="FW309" s="165"/>
      <c r="FX309" s="165"/>
      <c r="FY309" s="165"/>
      <c r="FZ309" s="165"/>
      <c r="GA309" s="165"/>
      <c r="GB309" s="165"/>
      <c r="GC309" s="165"/>
      <c r="GD309" s="165"/>
      <c r="GE309" s="165"/>
      <c r="GF309" s="165"/>
      <c r="GG309" s="165"/>
      <c r="GH309" s="165"/>
      <c r="GI309" s="165"/>
      <c r="GJ309" s="165"/>
      <c r="GK309" s="165"/>
      <c r="GL309" s="165"/>
      <c r="GM309" s="165"/>
      <c r="GN309" s="165"/>
      <c r="GO309" s="165"/>
      <c r="GP309" s="165"/>
      <c r="GQ309" s="165"/>
      <c r="GR309" s="165"/>
      <c r="GS309" s="165"/>
      <c r="GT309" s="165"/>
      <c r="GU309" s="165"/>
      <c r="GV309" s="165"/>
      <c r="GW309" s="165"/>
      <c r="GX309" s="165"/>
      <c r="GY309" s="165"/>
      <c r="GZ309" s="165"/>
      <c r="HA309" s="165"/>
      <c r="HB309" s="165"/>
      <c r="HC309" s="165"/>
      <c r="HD309" s="165"/>
      <c r="HE309" s="165"/>
      <c r="HF309" s="165"/>
      <c r="HG309" s="165"/>
      <c r="HH309" s="165"/>
      <c r="HI309" s="165"/>
      <c r="HJ309" s="165"/>
      <c r="HK309" s="165"/>
      <c r="HL309" s="165"/>
      <c r="HM309" s="165"/>
      <c r="HN309" s="165"/>
      <c r="HO309" s="165"/>
      <c r="HP309" s="165"/>
      <c r="HQ309" s="165"/>
      <c r="HR309" s="165"/>
      <c r="HS309" s="165"/>
      <c r="HT309" s="165"/>
      <c r="HU309" s="165"/>
      <c r="HV309" s="165"/>
      <c r="HW309" s="165"/>
      <c r="HX309" s="165"/>
      <c r="HY309" s="165"/>
      <c r="HZ309" s="165"/>
      <c r="IA309" s="165"/>
      <c r="IB309" s="165"/>
      <c r="IC309" s="165"/>
      <c r="ID309" s="165"/>
      <c r="IE309" s="165"/>
      <c r="IF309" s="165"/>
      <c r="IG309" s="165"/>
      <c r="IH309" s="165"/>
      <c r="II309" s="165"/>
      <c r="IJ309" s="165"/>
      <c r="IK309" s="165"/>
      <c r="IL309" s="165"/>
      <c r="IM309" s="165"/>
      <c r="IN309" s="165"/>
      <c r="IO309" s="165"/>
      <c r="IP309" s="165"/>
      <c r="IQ309" s="165"/>
      <c r="IR309" s="165"/>
      <c r="IS309" s="165"/>
    </row>
    <row r="310" spans="1:253" s="419" customFormat="1" x14ac:dyDescent="0.2">
      <c r="A310" s="464" t="s">
        <v>251</v>
      </c>
      <c r="B310" s="465">
        <f t="shared" ref="B310:AG310" ca="1" si="109">B288-B299</f>
        <v>57766.712899999984</v>
      </c>
      <c r="C310" s="465">
        <f t="shared" ca="1" si="109"/>
        <v>41701.095303000067</v>
      </c>
      <c r="D310" s="465">
        <f t="shared" ca="1" si="109"/>
        <v>43346.996689999942</v>
      </c>
      <c r="E310" s="465">
        <f t="shared" ca="1" si="109"/>
        <v>44992.898076999933</v>
      </c>
      <c r="F310" s="465">
        <f t="shared" ca="1" si="109"/>
        <v>99594.335238623316</v>
      </c>
      <c r="G310" s="465">
        <f t="shared" ca="1" si="109"/>
        <v>100343.71949662315</v>
      </c>
      <c r="H310" s="465">
        <f t="shared" ca="1" si="109"/>
        <v>99616.230954623315</v>
      </c>
      <c r="I310" s="465">
        <f t="shared" ca="1" si="109"/>
        <v>101489.89261262328</v>
      </c>
      <c r="J310" s="465">
        <f t="shared" ca="1" si="109"/>
        <v>104831.8962706232</v>
      </c>
      <c r="K310" s="465">
        <f t="shared" ca="1" si="109"/>
        <v>106367.10992862331</v>
      </c>
      <c r="L310" s="465">
        <f t="shared" ca="1" si="109"/>
        <v>105955.52858662314</v>
      </c>
      <c r="M310" s="465">
        <f t="shared" ca="1" si="109"/>
        <v>111244.32724462321</v>
      </c>
      <c r="N310" s="465">
        <f t="shared" ca="1" si="109"/>
        <v>111740.11310262326</v>
      </c>
      <c r="O310" s="465">
        <f t="shared" ca="1" si="109"/>
        <v>111442.50396062317</v>
      </c>
      <c r="P310" s="465">
        <f t="shared" ca="1" si="109"/>
        <v>62967.911609263741</v>
      </c>
      <c r="Q310" s="465">
        <f t="shared" ca="1" si="109"/>
        <v>56370.149596263655</v>
      </c>
      <c r="R310" s="465">
        <f t="shared" ca="1" si="109"/>
        <v>55752.777583263814</v>
      </c>
      <c r="S310" s="465">
        <f t="shared" ca="1" si="109"/>
        <v>57082.200570263783</v>
      </c>
      <c r="T310" s="465">
        <f t="shared" ca="1" si="109"/>
        <v>57368.223557263846</v>
      </c>
      <c r="U310" s="465">
        <f t="shared" ca="1" si="109"/>
        <v>71141.806544263614</v>
      </c>
      <c r="V310" s="465">
        <f t="shared" ca="1" si="109"/>
        <v>71427.829531263676</v>
      </c>
      <c r="W310" s="465">
        <f t="shared" ca="1" si="109"/>
        <v>71853.857518263743</v>
      </c>
      <c r="X310" s="465">
        <f t="shared" ca="1" si="109"/>
        <v>72139.880505263689</v>
      </c>
      <c r="Y310" s="465">
        <f t="shared" ca="1" si="109"/>
        <v>72565.908492263756</v>
      </c>
      <c r="Z310" s="465">
        <f t="shared" ca="1" si="109"/>
        <v>73895.331479263725</v>
      </c>
      <c r="AA310" s="465">
        <f t="shared" ca="1" si="109"/>
        <v>73277.959466263768</v>
      </c>
      <c r="AB310" s="465">
        <f t="shared" ca="1" si="109"/>
        <v>74607.382453263621</v>
      </c>
      <c r="AC310" s="465">
        <f t="shared" ca="1" si="109"/>
        <v>75033.410440263804</v>
      </c>
      <c r="AD310" s="465">
        <f t="shared" ca="1" si="109"/>
        <v>74416.038427263731</v>
      </c>
      <c r="AE310" s="465">
        <f t="shared" ca="1" si="109"/>
        <v>74706.033614263753</v>
      </c>
      <c r="AF310" s="465">
        <f t="shared" ca="1" si="109"/>
        <v>76149.42880126345</v>
      </c>
      <c r="AG310" s="465">
        <f t="shared" ca="1" si="109"/>
        <v>75534.028801263543</v>
      </c>
      <c r="AH310" s="465">
        <f ca="1">AH288-AH299</f>
        <v>76865.423801263561</v>
      </c>
      <c r="AI310" s="465"/>
      <c r="AJ310" s="260"/>
      <c r="AK310" s="260"/>
      <c r="AL310" s="260"/>
      <c r="AM310" s="535"/>
      <c r="AN310" s="260"/>
      <c r="AO310" s="283"/>
      <c r="AP310" s="71"/>
      <c r="AQ310" s="283"/>
      <c r="AR310" s="71"/>
      <c r="AS310" s="283"/>
      <c r="AT310" s="260"/>
      <c r="AU310" s="260"/>
      <c r="AV310" s="260"/>
      <c r="AW310" s="260"/>
      <c r="AX310" s="260"/>
      <c r="AY310" s="260"/>
      <c r="AZ310" s="260"/>
      <c r="BA310" s="260"/>
      <c r="BB310" s="260"/>
      <c r="BC310" s="260"/>
      <c r="BD310" s="260"/>
      <c r="BE310" s="260"/>
      <c r="BF310" s="260"/>
      <c r="BG310" s="260"/>
      <c r="BH310" s="260"/>
      <c r="BI310" s="260"/>
      <c r="BJ310" s="260"/>
      <c r="BK310" s="260"/>
      <c r="BL310" s="260"/>
      <c r="BM310" s="260"/>
      <c r="BN310" s="260"/>
      <c r="BO310" s="260"/>
      <c r="BP310" s="260"/>
      <c r="BQ310" s="260"/>
      <c r="BR310" s="260"/>
      <c r="BS310" s="260"/>
      <c r="BT310" s="260"/>
      <c r="BU310" s="260"/>
      <c r="BV310" s="260"/>
      <c r="BW310" s="260"/>
      <c r="BX310" s="260"/>
      <c r="BY310" s="260"/>
      <c r="BZ310" s="260"/>
      <c r="CA310" s="260"/>
      <c r="CB310" s="260"/>
      <c r="CC310" s="260"/>
      <c r="CD310" s="260"/>
      <c r="CE310" s="260"/>
      <c r="CF310" s="260"/>
      <c r="CG310" s="260"/>
      <c r="CH310" s="260"/>
      <c r="CI310" s="260"/>
      <c r="CJ310" s="260"/>
      <c r="CK310" s="260"/>
      <c r="CL310" s="260"/>
      <c r="CM310" s="260"/>
      <c r="CN310" s="260"/>
      <c r="CO310" s="260"/>
      <c r="CP310" s="260"/>
      <c r="CQ310" s="260"/>
      <c r="CR310" s="260"/>
      <c r="CS310" s="260"/>
      <c r="CT310" s="260"/>
      <c r="CU310" s="260"/>
      <c r="CV310" s="260"/>
      <c r="CW310" s="260"/>
      <c r="CX310" s="260"/>
      <c r="CY310" s="260"/>
      <c r="CZ310" s="260"/>
      <c r="DA310" s="260"/>
      <c r="DB310" s="260"/>
      <c r="DC310" s="260"/>
      <c r="DD310" s="260"/>
      <c r="DE310" s="260"/>
      <c r="DF310" s="260"/>
      <c r="DG310" s="260"/>
      <c r="DH310" s="260"/>
      <c r="DI310" s="260"/>
      <c r="DJ310" s="260"/>
      <c r="DK310" s="260"/>
      <c r="DL310" s="260"/>
      <c r="DM310" s="260"/>
      <c r="DN310" s="260"/>
      <c r="DO310" s="260"/>
      <c r="DP310" s="260"/>
      <c r="DQ310" s="260"/>
      <c r="DR310" s="260"/>
      <c r="DS310" s="260"/>
      <c r="DT310" s="260"/>
      <c r="DU310" s="260"/>
      <c r="DV310" s="260"/>
      <c r="DW310" s="260"/>
      <c r="DX310" s="260"/>
      <c r="DY310" s="260"/>
      <c r="DZ310" s="260"/>
      <c r="EA310" s="260"/>
      <c r="EB310" s="260"/>
      <c r="EC310" s="260"/>
      <c r="ED310" s="260"/>
      <c r="EE310" s="260"/>
      <c r="EF310" s="260"/>
      <c r="EG310" s="260"/>
      <c r="EH310" s="260"/>
      <c r="EI310" s="260"/>
      <c r="EJ310" s="260"/>
      <c r="EK310" s="260"/>
      <c r="EL310" s="260"/>
      <c r="EM310" s="260"/>
      <c r="EN310" s="260"/>
      <c r="EO310" s="260"/>
      <c r="EP310" s="260"/>
      <c r="EQ310" s="260"/>
      <c r="ER310" s="260"/>
      <c r="ES310" s="260"/>
      <c r="ET310" s="260"/>
      <c r="EU310" s="260"/>
      <c r="EV310" s="260"/>
      <c r="EW310" s="260"/>
      <c r="EX310" s="260"/>
      <c r="EY310" s="260"/>
      <c r="EZ310" s="260"/>
      <c r="FA310" s="260"/>
      <c r="FB310" s="260"/>
      <c r="FC310" s="260"/>
      <c r="FD310" s="260"/>
      <c r="FE310" s="260"/>
      <c r="FF310" s="260"/>
      <c r="FG310" s="260"/>
      <c r="FH310" s="260"/>
      <c r="FI310" s="260"/>
      <c r="FJ310" s="260"/>
      <c r="FK310" s="260"/>
      <c r="FL310" s="260"/>
      <c r="FM310" s="260"/>
      <c r="FN310" s="260"/>
      <c r="FO310" s="260"/>
      <c r="FP310" s="260"/>
      <c r="FQ310" s="260"/>
      <c r="FR310" s="260"/>
      <c r="FS310" s="260"/>
      <c r="FT310" s="260"/>
      <c r="FU310" s="260"/>
      <c r="FV310" s="260"/>
      <c r="FW310" s="260"/>
      <c r="FX310" s="260"/>
      <c r="FY310" s="260"/>
      <c r="FZ310" s="260"/>
      <c r="GA310" s="260"/>
      <c r="GB310" s="260"/>
      <c r="GC310" s="260"/>
      <c r="GD310" s="260"/>
      <c r="GE310" s="260"/>
      <c r="GF310" s="260"/>
      <c r="GG310" s="260"/>
      <c r="GH310" s="260"/>
      <c r="GI310" s="260"/>
      <c r="GJ310" s="260"/>
      <c r="GK310" s="260"/>
      <c r="GL310" s="260"/>
      <c r="GM310" s="260"/>
      <c r="GN310" s="260"/>
      <c r="GO310" s="260"/>
      <c r="GP310" s="260"/>
      <c r="GQ310" s="260"/>
      <c r="GR310" s="260"/>
      <c r="GS310" s="260"/>
      <c r="GT310" s="260"/>
      <c r="GU310" s="260"/>
      <c r="GV310" s="260"/>
      <c r="GW310" s="260"/>
      <c r="GX310" s="260"/>
      <c r="GY310" s="260"/>
      <c r="GZ310" s="260"/>
      <c r="HA310" s="260"/>
      <c r="HB310" s="260"/>
      <c r="HC310" s="260"/>
      <c r="HD310" s="260"/>
      <c r="HE310" s="260"/>
      <c r="HF310" s="260"/>
      <c r="HG310" s="260"/>
      <c r="HH310" s="260"/>
      <c r="HI310" s="260"/>
      <c r="HJ310" s="260"/>
      <c r="HK310" s="260"/>
      <c r="HL310" s="260"/>
      <c r="HM310" s="260"/>
      <c r="HN310" s="260"/>
      <c r="HO310" s="260"/>
      <c r="HP310" s="260"/>
      <c r="HQ310" s="260"/>
      <c r="HR310" s="260"/>
      <c r="HS310" s="260"/>
      <c r="HT310" s="260"/>
      <c r="HU310" s="260"/>
      <c r="HV310" s="260"/>
      <c r="HW310" s="260"/>
      <c r="HX310" s="260"/>
      <c r="HY310" s="260"/>
      <c r="HZ310" s="260"/>
      <c r="IA310" s="260"/>
      <c r="IB310" s="260"/>
      <c r="IC310" s="260"/>
      <c r="ID310" s="260"/>
      <c r="IE310" s="260"/>
      <c r="IF310" s="260"/>
      <c r="IG310" s="260"/>
      <c r="IH310" s="260"/>
      <c r="II310" s="260"/>
      <c r="IJ310" s="260"/>
      <c r="IK310" s="260"/>
      <c r="IL310" s="260"/>
      <c r="IM310" s="260"/>
      <c r="IN310" s="260"/>
      <c r="IO310" s="260"/>
      <c r="IP310" s="260"/>
      <c r="IQ310" s="260"/>
      <c r="IR310" s="260"/>
      <c r="IS310" s="260"/>
    </row>
    <row r="311" spans="1:253" x14ac:dyDescent="0.2">
      <c r="A311" s="523" t="s">
        <v>252</v>
      </c>
      <c r="B311" s="524">
        <f>Aprekini!B253+Aprekini!B261+B272+B281</f>
        <v>0</v>
      </c>
      <c r="C311" s="524">
        <f>Aprekini!C253+Aprekini!C261+C272+C281</f>
        <v>0</v>
      </c>
      <c r="D311" s="524">
        <f>Aprekini!D253+Aprekini!D261+D272+D281</f>
        <v>0</v>
      </c>
      <c r="E311" s="524">
        <f ca="1">Aprekini!E253+Aprekini!E261+E272+E281</f>
        <v>0</v>
      </c>
      <c r="F311" s="524">
        <f ca="1">Aprekini!F253+Aprekini!F261+F272+F281</f>
        <v>0</v>
      </c>
      <c r="G311" s="524">
        <f ca="1">Aprekini!G253+Aprekini!G261+G272+G281</f>
        <v>0</v>
      </c>
      <c r="H311" s="524">
        <f ca="1">Aprekini!H253+Aprekini!H261+H272+H281</f>
        <v>0</v>
      </c>
      <c r="I311" s="524">
        <f ca="1">Aprekini!I253+Aprekini!I261+I272+I281</f>
        <v>0</v>
      </c>
      <c r="J311" s="524">
        <f ca="1">Aprekini!J253+Aprekini!J261+J272+J281</f>
        <v>0</v>
      </c>
      <c r="K311" s="524">
        <f ca="1">Aprekini!K253+Aprekini!K261+K272+K281</f>
        <v>0</v>
      </c>
      <c r="L311" s="524">
        <f ca="1">Aprekini!L253+Aprekini!L261+L272+L281</f>
        <v>0</v>
      </c>
      <c r="M311" s="524">
        <f ca="1">Aprekini!M253+Aprekini!M261+M272+M281</f>
        <v>0</v>
      </c>
      <c r="N311" s="524">
        <f ca="1">Aprekini!N253+Aprekini!N261+N272+N281</f>
        <v>0</v>
      </c>
      <c r="O311" s="524">
        <f ca="1">Aprekini!O253+Aprekini!O261+O272+O281</f>
        <v>0</v>
      </c>
      <c r="P311" s="524">
        <f ca="1">Aprekini!P253+Aprekini!P261+P272+P281</f>
        <v>0</v>
      </c>
      <c r="Q311" s="524">
        <f ca="1">Aprekini!Q253+Aprekini!Q261+Q272+Q281</f>
        <v>0</v>
      </c>
      <c r="R311" s="524">
        <f ca="1">Aprekini!R253+Aprekini!R261+R272+R281</f>
        <v>0</v>
      </c>
      <c r="S311" s="524">
        <f ca="1">Aprekini!S253+Aprekini!S261+S272+S281</f>
        <v>0</v>
      </c>
      <c r="T311" s="524">
        <f ca="1">Aprekini!T253+Aprekini!T261+T272+T281</f>
        <v>0</v>
      </c>
      <c r="U311" s="524">
        <f ca="1">Aprekini!U253+Aprekini!U261+U272+U281</f>
        <v>0</v>
      </c>
      <c r="V311" s="524">
        <f ca="1">Aprekini!V253+Aprekini!V261+V272+V281</f>
        <v>0</v>
      </c>
      <c r="W311" s="524">
        <f ca="1">Aprekini!W253+Aprekini!W261+W272+W281</f>
        <v>0</v>
      </c>
      <c r="X311" s="524">
        <f ca="1">Aprekini!X253+Aprekini!X261+X272+X281</f>
        <v>0</v>
      </c>
      <c r="Y311" s="524">
        <f ca="1">Aprekini!Y253+Aprekini!Y261+Y272+Y281</f>
        <v>0</v>
      </c>
      <c r="Z311" s="524">
        <f ca="1">Aprekini!Z253+Aprekini!Z261+Z272+Z281</f>
        <v>0</v>
      </c>
      <c r="AA311" s="524">
        <f ca="1">Aprekini!AA253+Aprekini!AA261+AA272+AA281</f>
        <v>0</v>
      </c>
      <c r="AB311" s="524">
        <f ca="1">Aprekini!AB253+Aprekini!AB261+AB272+AB281</f>
        <v>0</v>
      </c>
      <c r="AC311" s="524">
        <f ca="1">Aprekini!AC253+Aprekini!AC261+AC272+AC281</f>
        <v>0</v>
      </c>
      <c r="AD311" s="524">
        <f ca="1">Aprekini!AD253+Aprekini!AD261+AD272+AD281</f>
        <v>0</v>
      </c>
      <c r="AE311" s="524">
        <f ca="1">Aprekini!AE253+Aprekini!AE261+AE272+AE281</f>
        <v>0</v>
      </c>
      <c r="AF311" s="524">
        <f ca="1">Aprekini!AF253+Aprekini!AF261+AF272+AF281</f>
        <v>0</v>
      </c>
      <c r="AG311" s="524">
        <f ca="1">Aprekini!AG253+Aprekini!AG261+AG272+AG281</f>
        <v>0</v>
      </c>
      <c r="AH311" s="524">
        <f ca="1">Aprekini!AH253+Aprekini!AH261+AH272+AH281</f>
        <v>0</v>
      </c>
      <c r="AI311" s="524"/>
      <c r="AJ311" s="75"/>
      <c r="AK311" s="75"/>
      <c r="AL311" s="75"/>
      <c r="AM311" s="535"/>
      <c r="AN311" s="75"/>
      <c r="AO311" s="283"/>
      <c r="AP311" s="71"/>
      <c r="AQ311" s="283"/>
      <c r="AR311" s="71"/>
      <c r="AS311" s="283"/>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c r="CK311" s="75"/>
      <c r="CL311" s="75"/>
      <c r="CM311" s="75"/>
      <c r="CN311" s="75"/>
      <c r="CO311" s="75"/>
      <c r="CP311" s="75"/>
      <c r="CQ311" s="75"/>
      <c r="CR311" s="75"/>
      <c r="CS311" s="75"/>
      <c r="CT311" s="75"/>
      <c r="CU311" s="75"/>
      <c r="CV311" s="75"/>
      <c r="CW311" s="75"/>
      <c r="CX311" s="75"/>
      <c r="CY311" s="75"/>
      <c r="CZ311" s="75"/>
      <c r="DA311" s="75"/>
      <c r="DB311" s="75"/>
      <c r="DC311" s="75"/>
      <c r="DD311" s="75"/>
      <c r="DE311" s="75"/>
      <c r="DF311" s="75"/>
      <c r="DG311" s="75"/>
      <c r="DH311" s="75"/>
      <c r="DI311" s="75"/>
      <c r="DJ311" s="75"/>
      <c r="DK311" s="75"/>
      <c r="DL311" s="75"/>
      <c r="DM311" s="75"/>
      <c r="DN311" s="75"/>
      <c r="DO311" s="75"/>
      <c r="DP311" s="75"/>
      <c r="DQ311" s="75"/>
      <c r="DR311" s="75"/>
      <c r="DS311" s="75"/>
      <c r="DT311" s="75"/>
      <c r="DU311" s="75"/>
      <c r="DV311" s="75"/>
      <c r="DW311" s="75"/>
      <c r="DX311" s="75"/>
      <c r="DY311" s="75"/>
      <c r="DZ311" s="75"/>
      <c r="EA311" s="75"/>
      <c r="EB311" s="75"/>
      <c r="EC311" s="75"/>
      <c r="ED311" s="75"/>
      <c r="EE311" s="75"/>
      <c r="EF311" s="75"/>
      <c r="EG311" s="75"/>
      <c r="EH311" s="75"/>
      <c r="EI311" s="75"/>
      <c r="EJ311" s="75"/>
      <c r="EK311" s="75"/>
      <c r="EL311" s="75"/>
      <c r="EM311" s="75"/>
      <c r="EN311" s="75"/>
      <c r="EO311" s="75"/>
      <c r="EP311" s="75"/>
      <c r="EQ311" s="75"/>
      <c r="ER311" s="75"/>
      <c r="ES311" s="75"/>
      <c r="ET311" s="75"/>
      <c r="EU311" s="75"/>
      <c r="EV311" s="75"/>
      <c r="EW311" s="75"/>
      <c r="EX311" s="75"/>
      <c r="EY311" s="75"/>
      <c r="EZ311" s="75"/>
      <c r="FA311" s="75"/>
      <c r="FB311" s="75"/>
      <c r="FC311" s="75"/>
      <c r="FD311" s="75"/>
      <c r="FE311" s="75"/>
      <c r="FF311" s="75"/>
      <c r="FG311" s="75"/>
      <c r="FH311" s="75"/>
      <c r="FI311" s="75"/>
      <c r="FJ311" s="75"/>
      <c r="FK311" s="75"/>
      <c r="FL311" s="75"/>
      <c r="FM311" s="75"/>
      <c r="FN311" s="75"/>
      <c r="FO311" s="75"/>
      <c r="FP311" s="75"/>
      <c r="FQ311" s="75"/>
      <c r="FR311" s="75"/>
      <c r="FS311" s="75"/>
      <c r="FT311" s="75"/>
      <c r="FU311" s="75"/>
      <c r="FV311" s="75"/>
      <c r="FW311" s="75"/>
      <c r="FX311" s="75"/>
      <c r="FY311" s="75"/>
      <c r="FZ311" s="75"/>
      <c r="GA311" s="75"/>
      <c r="GB311" s="75"/>
      <c r="GC311" s="75"/>
      <c r="GD311" s="75"/>
      <c r="GE311" s="75"/>
      <c r="GF311" s="75"/>
      <c r="GG311" s="75"/>
      <c r="GH311" s="75"/>
      <c r="GI311" s="75"/>
      <c r="GJ311" s="75"/>
      <c r="GK311" s="75"/>
      <c r="GL311" s="75"/>
      <c r="GM311" s="75"/>
      <c r="GN311" s="75"/>
      <c r="GO311" s="75"/>
      <c r="GP311" s="75"/>
      <c r="GQ311" s="75"/>
      <c r="GR311" s="75"/>
      <c r="GS311" s="75"/>
      <c r="GT311" s="75"/>
      <c r="GU311" s="75"/>
      <c r="GV311" s="75"/>
      <c r="GW311" s="75"/>
      <c r="GX311" s="75"/>
      <c r="GY311" s="75"/>
      <c r="GZ311" s="75"/>
      <c r="HA311" s="75"/>
      <c r="HB311" s="75"/>
      <c r="HC311" s="75"/>
      <c r="HD311" s="75"/>
      <c r="HE311" s="75"/>
      <c r="HF311" s="75"/>
      <c r="HG311" s="75"/>
      <c r="HH311" s="75"/>
      <c r="HI311" s="75"/>
      <c r="HJ311" s="75"/>
      <c r="HK311" s="75"/>
      <c r="HL311" s="75"/>
      <c r="HM311" s="75"/>
      <c r="HN311" s="75"/>
      <c r="HO311" s="75"/>
      <c r="HP311" s="75"/>
      <c r="HQ311" s="75"/>
      <c r="HR311" s="75"/>
      <c r="HS311" s="75"/>
      <c r="HT311" s="75"/>
      <c r="HU311" s="75"/>
      <c r="HV311" s="75"/>
      <c r="HW311" s="75"/>
      <c r="HX311" s="75"/>
      <c r="HY311" s="75"/>
      <c r="HZ311" s="75"/>
      <c r="IA311" s="75"/>
      <c r="IB311" s="75"/>
      <c r="IC311" s="75"/>
      <c r="ID311" s="75"/>
      <c r="IE311" s="75"/>
      <c r="IF311" s="75"/>
      <c r="IG311" s="75"/>
      <c r="IH311" s="75"/>
      <c r="II311" s="75"/>
      <c r="IJ311" s="75"/>
      <c r="IK311" s="75"/>
      <c r="IL311" s="75"/>
      <c r="IM311" s="75"/>
      <c r="IN311" s="75"/>
      <c r="IO311" s="75"/>
      <c r="IP311" s="75"/>
      <c r="IQ311" s="75"/>
      <c r="IR311" s="75"/>
      <c r="IS311" s="75"/>
    </row>
    <row r="312" spans="1:253" s="419" customFormat="1" x14ac:dyDescent="0.2">
      <c r="A312" s="433" t="s">
        <v>253</v>
      </c>
      <c r="B312" s="463">
        <f>Aprekini!B79+Aprekini!B85+Aprekini!B91+Aprekini!B19+Aprekini!B20+Aprekini!B21+Aprekini!B22+Aprekini!B24+Aprekini!B25+Aprekini!B26+Aprekini!B27</f>
        <v>28432</v>
      </c>
      <c r="C312" s="463">
        <f>Aprekini!C79+Aprekini!C85+Aprekini!C91+Aprekini!C19+Aprekini!C20+Aprekini!C21+Aprekini!C22+Aprekini!C24+Aprekini!C25+Aprekini!C26+Aprekini!C27</f>
        <v>28432</v>
      </c>
      <c r="D312" s="463">
        <f>Aprekini!D79+Aprekini!D85+Aprekini!D91+Aprekini!D19+Aprekini!D20+Aprekini!D21+Aprekini!D22+Aprekini!D24+Aprekini!D25+Aprekini!D26+Aprekini!D27</f>
        <v>28432</v>
      </c>
      <c r="E312" s="463">
        <f>Aprekini!E79+Aprekini!E85+Aprekini!E91+Aprekini!E19+Aprekini!E20+Aprekini!E21+Aprekini!E22+Aprekini!E24+Aprekini!E25+Aprekini!E26+Aprekini!E27</f>
        <v>28432</v>
      </c>
      <c r="F312" s="463">
        <f>Aprekini!F79+Aprekini!F85+Aprekini!F91+Aprekini!F19+Aprekini!F20+Aprekini!F21+Aprekini!F22+Aprekini!F24+Aprekini!F25+Aprekini!F26+Aprekini!F27</f>
        <v>115325.9</v>
      </c>
      <c r="G312" s="463">
        <f>Aprekini!G79+Aprekini!G85+Aprekini!G91+Aprekini!G19+Aprekini!G20+Aprekini!G21+Aprekini!G22+Aprekini!G24+Aprekini!G25+Aprekini!G26+Aprekini!G27</f>
        <v>115325.9</v>
      </c>
      <c r="H312" s="463">
        <f>Aprekini!H79+Aprekini!H85+Aprekini!H91+Aprekini!H19+Aprekini!H20+Aprekini!H21+Aprekini!H22+Aprekini!H24+Aprekini!H25+Aprekini!H26+Aprekini!H27</f>
        <v>115325.9</v>
      </c>
      <c r="I312" s="463">
        <f>Aprekini!I79+Aprekini!I85+Aprekini!I91+Aprekini!I19+Aprekini!I20+Aprekini!I21+Aprekini!I22+Aprekini!I24+Aprekini!I25+Aprekini!I26+Aprekini!I27</f>
        <v>115325.9</v>
      </c>
      <c r="J312" s="463">
        <f>Aprekini!J79+Aprekini!J85+Aprekini!J91+Aprekini!J19+Aprekini!J20+Aprekini!J21+Aprekini!J22+Aprekini!J24+Aprekini!J25+Aprekini!J26+Aprekini!J27</f>
        <v>115325.9</v>
      </c>
      <c r="K312" s="463">
        <f>Aprekini!K79+Aprekini!K85+Aprekini!K91+Aprekini!K19+Aprekini!K20+Aprekini!K21+Aprekini!K22+Aprekini!K24+Aprekini!K25+Aprekini!K26+Aprekini!K27</f>
        <v>115325.9</v>
      </c>
      <c r="L312" s="463">
        <f>Aprekini!L79+Aprekini!L85+Aprekini!L91+Aprekini!L19+Aprekini!L20+Aprekini!L21+Aprekini!L22+Aprekini!L24+Aprekini!L25+Aprekini!L26+Aprekini!L27</f>
        <v>115325.9</v>
      </c>
      <c r="M312" s="463">
        <f>Aprekini!M79+Aprekini!M85+Aprekini!M91+Aprekini!M19+Aprekini!M20+Aprekini!M21+Aprekini!M22+Aprekini!M24+Aprekini!M25+Aprekini!M26+Aprekini!M27</f>
        <v>115325.9</v>
      </c>
      <c r="N312" s="463">
        <f>Aprekini!N79+Aprekini!N85+Aprekini!N91+Aprekini!N19+Aprekini!N20+Aprekini!N21+Aprekini!N22+Aprekini!N24+Aprekini!N25+Aprekini!N26+Aprekini!N27</f>
        <v>115325.9</v>
      </c>
      <c r="O312" s="463">
        <f>Aprekini!O79+Aprekini!O85+Aprekini!O91+Aprekini!O19+Aprekini!O20+Aprekini!O21+Aprekini!O22+Aprekini!O24+Aprekini!O25+Aprekini!O26+Aprekini!O27</f>
        <v>115325.9</v>
      </c>
      <c r="P312" s="463">
        <f>Aprekini!P79+Aprekini!P85+Aprekini!P91+Aprekini!P19+Aprekini!P20+Aprekini!P21+Aprekini!P22+Aprekini!P24+Aprekini!P25+Aprekini!P26+Aprekini!P27</f>
        <v>47425</v>
      </c>
      <c r="Q312" s="463">
        <f>Aprekini!Q79+Aprekini!Q85+Aprekini!Q91+Aprekini!Q19+Aprekini!Q20+Aprekini!Q21+Aprekini!Q22+Aprekini!Q24+Aprekini!Q25+Aprekini!Q26+Aprekini!Q27</f>
        <v>39313</v>
      </c>
      <c r="R312" s="463">
        <f>Aprekini!R79+Aprekini!R85+Aprekini!R91+Aprekini!R19+Aprekini!R20+Aprekini!R21+Aprekini!R22+Aprekini!R24+Aprekini!R25+Aprekini!R26+Aprekini!R27</f>
        <v>39293</v>
      </c>
      <c r="S312" s="463">
        <f>Aprekini!S79+Aprekini!S85+Aprekini!S91+Aprekini!S19+Aprekini!S20+Aprekini!S21+Aprekini!S22+Aprekini!S24+Aprekini!S25+Aprekini!S26+Aprekini!S27</f>
        <v>39293</v>
      </c>
      <c r="T312" s="463">
        <f>Aprekini!T79+Aprekini!T85+Aprekini!T91+Aprekini!T19+Aprekini!T20+Aprekini!T21+Aprekini!T22+Aprekini!T24+Aprekini!T25+Aprekini!T26+Aprekini!T27</f>
        <v>39293</v>
      </c>
      <c r="U312" s="463">
        <f>Aprekini!U79+Aprekini!U85+Aprekini!U91+Aprekini!U19+Aprekini!U20+Aprekini!U21+Aprekini!U22+Aprekini!U24+Aprekini!U25+Aprekini!U26+Aprekini!U27</f>
        <v>39293</v>
      </c>
      <c r="V312" s="463">
        <f>Aprekini!V79+Aprekini!V85+Aprekini!V91+Aprekini!V19+Aprekini!V20+Aprekini!V21+Aprekini!V22+Aprekini!V24+Aprekini!V25+Aprekini!V26+Aprekini!V27</f>
        <v>39293</v>
      </c>
      <c r="W312" s="463">
        <f>Aprekini!W79+Aprekini!W85+Aprekini!W91+Aprekini!W19+Aprekini!W20+Aprekini!W21+Aprekini!W22+Aprekini!W24+Aprekini!W25+Aprekini!W26+Aprekini!W27</f>
        <v>39293</v>
      </c>
      <c r="X312" s="463">
        <f>Aprekini!X79+Aprekini!X85+Aprekini!X91+Aprekini!X19+Aprekini!X20+Aprekini!X21+Aprekini!X22+Aprekini!X24+Aprekini!X25+Aprekini!X26+Aprekini!X27</f>
        <v>39293</v>
      </c>
      <c r="Y312" s="463">
        <f>Aprekini!Y79+Aprekini!Y85+Aprekini!Y91+Aprekini!Y19+Aprekini!Y20+Aprekini!Y21+Aprekini!Y22+Aprekini!Y24+Aprekini!Y25+Aprekini!Y26+Aprekini!Y27</f>
        <v>39293</v>
      </c>
      <c r="Z312" s="463">
        <f>Aprekini!Z79+Aprekini!Z85+Aprekini!Z91+Aprekini!Z19+Aprekini!Z20+Aprekini!Z21+Aprekini!Z22+Aprekini!Z24+Aprekini!Z25+Aprekini!Z26+Aprekini!Z27</f>
        <v>39293</v>
      </c>
      <c r="AA312" s="463">
        <f>Aprekini!AA79+Aprekini!AA85+Aprekini!AA91+Aprekini!AA19+Aprekini!AA20+Aprekini!AA21+Aprekini!AA22+Aprekini!AA24+Aprekini!AA25+Aprekini!AA26+Aprekini!AA27</f>
        <v>39293</v>
      </c>
      <c r="AB312" s="463">
        <f>Aprekini!AB79+Aprekini!AB85+Aprekini!AB91+Aprekini!AB19+Aprekini!AB20+Aprekini!AB21+Aprekini!AB22+Aprekini!AB24+Aprekini!AB25+Aprekini!AB26+Aprekini!AB27</f>
        <v>39293</v>
      </c>
      <c r="AC312" s="463">
        <f>Aprekini!AC79+Aprekini!AC85+Aprekini!AC91+Aprekini!AC19+Aprekini!AC20+Aprekini!AC21+Aprekini!AC22+Aprekini!AC24+Aprekini!AC25+Aprekini!AC26+Aprekini!AC27</f>
        <v>39293</v>
      </c>
      <c r="AD312" s="463">
        <f>Aprekini!AD79+Aprekini!AD85+Aprekini!AD91+Aprekini!AD19+Aprekini!AD20+Aprekini!AD21+Aprekini!AD22+Aprekini!AD24+Aprekini!AD25+Aprekini!AD26+Aprekini!AD27</f>
        <v>39293</v>
      </c>
      <c r="AE312" s="463">
        <f>Aprekini!AE79+Aprekini!AE85+Aprekini!AE91+Aprekini!AE19+Aprekini!AE20+Aprekini!AE21+Aprekini!AE22+Aprekini!AE24+Aprekini!AE25+Aprekini!AE26+Aprekini!AE27</f>
        <v>39293</v>
      </c>
      <c r="AF312" s="463">
        <f>Aprekini!AF79+Aprekini!AF85+Aprekini!AF91+Aprekini!AF19+Aprekini!AF20+Aprekini!AF21+Aprekini!AF22+Aprekini!AF24+Aprekini!AF25+Aprekini!AF26+Aprekini!AF27</f>
        <v>39293</v>
      </c>
      <c r="AG312" s="463">
        <f>Aprekini!AG79+Aprekini!AG85+Aprekini!AG91+Aprekini!AG19+Aprekini!AG20+Aprekini!AG21+Aprekini!AG22+Aprekini!AG24+Aprekini!AG25+Aprekini!AG26+Aprekini!AG27</f>
        <v>39293</v>
      </c>
      <c r="AH312" s="463">
        <f>Aprekini!AH79+Aprekini!AH85+Aprekini!AH91+Aprekini!AH19+Aprekini!AH20+Aprekini!AH21+Aprekini!AH22+Aprekini!AH24+Aprekini!AH25+Aprekini!AH26+Aprekini!AH27</f>
        <v>39293</v>
      </c>
      <c r="AI312" s="463"/>
      <c r="AJ312" s="260"/>
      <c r="AK312" s="260"/>
      <c r="AL312" s="260"/>
      <c r="AM312" s="535"/>
      <c r="AN312" s="260"/>
      <c r="AO312" s="283"/>
      <c r="AP312" s="71"/>
      <c r="AQ312" s="283"/>
      <c r="AR312" s="71"/>
      <c r="AS312" s="283"/>
      <c r="AT312" s="260"/>
      <c r="AU312" s="260"/>
      <c r="AV312" s="260"/>
      <c r="AW312" s="260"/>
      <c r="AX312" s="260"/>
      <c r="AY312" s="260"/>
      <c r="AZ312" s="260"/>
      <c r="BA312" s="260"/>
      <c r="BB312" s="260"/>
      <c r="BC312" s="260"/>
      <c r="BD312" s="260"/>
      <c r="BE312" s="260"/>
      <c r="BF312" s="260"/>
      <c r="BG312" s="260"/>
      <c r="BH312" s="260"/>
      <c r="BI312" s="260"/>
      <c r="BJ312" s="260"/>
      <c r="BK312" s="260"/>
      <c r="BL312" s="260"/>
      <c r="BM312" s="260"/>
      <c r="BN312" s="260"/>
      <c r="BO312" s="260"/>
      <c r="BP312" s="260"/>
      <c r="BQ312" s="260"/>
      <c r="BR312" s="260"/>
      <c r="BS312" s="260"/>
      <c r="BT312" s="260"/>
      <c r="BU312" s="260"/>
      <c r="BV312" s="260"/>
      <c r="BW312" s="260"/>
      <c r="BX312" s="260"/>
      <c r="BY312" s="260"/>
      <c r="BZ312" s="260"/>
      <c r="CA312" s="260"/>
      <c r="CB312" s="260"/>
      <c r="CC312" s="260"/>
      <c r="CD312" s="260"/>
      <c r="CE312" s="260"/>
      <c r="CF312" s="260"/>
      <c r="CG312" s="260"/>
      <c r="CH312" s="260"/>
      <c r="CI312" s="260"/>
      <c r="CJ312" s="260"/>
      <c r="CK312" s="260"/>
      <c r="CL312" s="260"/>
      <c r="CM312" s="260"/>
      <c r="CN312" s="260"/>
      <c r="CO312" s="260"/>
      <c r="CP312" s="260"/>
      <c r="CQ312" s="260"/>
      <c r="CR312" s="260"/>
      <c r="CS312" s="260"/>
      <c r="CT312" s="260"/>
      <c r="CU312" s="260"/>
      <c r="CV312" s="260"/>
      <c r="CW312" s="260"/>
      <c r="CX312" s="260"/>
      <c r="CY312" s="260"/>
      <c r="CZ312" s="260"/>
      <c r="DA312" s="260"/>
      <c r="DB312" s="260"/>
      <c r="DC312" s="260"/>
      <c r="DD312" s="260"/>
      <c r="DE312" s="260"/>
      <c r="DF312" s="260"/>
      <c r="DG312" s="260"/>
      <c r="DH312" s="260"/>
      <c r="DI312" s="260"/>
      <c r="DJ312" s="260"/>
      <c r="DK312" s="260"/>
      <c r="DL312" s="260"/>
      <c r="DM312" s="260"/>
      <c r="DN312" s="260"/>
      <c r="DO312" s="260"/>
      <c r="DP312" s="260"/>
      <c r="DQ312" s="260"/>
      <c r="DR312" s="260"/>
      <c r="DS312" s="260"/>
      <c r="DT312" s="260"/>
      <c r="DU312" s="260"/>
      <c r="DV312" s="260"/>
      <c r="DW312" s="260"/>
      <c r="DX312" s="260"/>
      <c r="DY312" s="260"/>
      <c r="DZ312" s="260"/>
      <c r="EA312" s="260"/>
      <c r="EB312" s="260"/>
      <c r="EC312" s="260"/>
      <c r="ED312" s="260"/>
      <c r="EE312" s="260"/>
      <c r="EF312" s="260"/>
      <c r="EG312" s="260"/>
      <c r="EH312" s="260"/>
      <c r="EI312" s="260"/>
      <c r="EJ312" s="260"/>
      <c r="EK312" s="260"/>
      <c r="EL312" s="260"/>
      <c r="EM312" s="260"/>
      <c r="EN312" s="260"/>
      <c r="EO312" s="260"/>
      <c r="EP312" s="260"/>
      <c r="EQ312" s="260"/>
      <c r="ER312" s="260"/>
      <c r="ES312" s="260"/>
      <c r="ET312" s="260"/>
      <c r="EU312" s="260"/>
      <c r="EV312" s="260"/>
      <c r="EW312" s="260"/>
      <c r="EX312" s="260"/>
      <c r="EY312" s="260"/>
      <c r="EZ312" s="260"/>
      <c r="FA312" s="260"/>
      <c r="FB312" s="260"/>
      <c r="FC312" s="260"/>
      <c r="FD312" s="260"/>
      <c r="FE312" s="260"/>
      <c r="FF312" s="260"/>
      <c r="FG312" s="260"/>
      <c r="FH312" s="260"/>
      <c r="FI312" s="260"/>
      <c r="FJ312" s="260"/>
      <c r="FK312" s="260"/>
      <c r="FL312" s="260"/>
      <c r="FM312" s="260"/>
      <c r="FN312" s="260"/>
      <c r="FO312" s="260"/>
      <c r="FP312" s="260"/>
      <c r="FQ312" s="260"/>
      <c r="FR312" s="260"/>
      <c r="FS312" s="260"/>
      <c r="FT312" s="260"/>
      <c r="FU312" s="260"/>
      <c r="FV312" s="260"/>
      <c r="FW312" s="260"/>
      <c r="FX312" s="260"/>
      <c r="FY312" s="260"/>
      <c r="FZ312" s="260"/>
      <c r="GA312" s="260"/>
      <c r="GB312" s="260"/>
      <c r="GC312" s="260"/>
      <c r="GD312" s="260"/>
      <c r="GE312" s="260"/>
      <c r="GF312" s="260"/>
      <c r="GG312" s="260"/>
      <c r="GH312" s="260"/>
      <c r="GI312" s="260"/>
      <c r="GJ312" s="260"/>
      <c r="GK312" s="260"/>
      <c r="GL312" s="260"/>
      <c r="GM312" s="260"/>
      <c r="GN312" s="260"/>
      <c r="GO312" s="260"/>
      <c r="GP312" s="260"/>
      <c r="GQ312" s="260"/>
      <c r="GR312" s="260"/>
      <c r="GS312" s="260"/>
      <c r="GT312" s="260"/>
      <c r="GU312" s="260"/>
      <c r="GV312" s="260"/>
      <c r="GW312" s="260"/>
      <c r="GX312" s="260"/>
      <c r="GY312" s="260"/>
      <c r="GZ312" s="260"/>
      <c r="HA312" s="260"/>
      <c r="HB312" s="260"/>
      <c r="HC312" s="260"/>
      <c r="HD312" s="260"/>
      <c r="HE312" s="260"/>
      <c r="HF312" s="260"/>
      <c r="HG312" s="260"/>
      <c r="HH312" s="260"/>
      <c r="HI312" s="260"/>
      <c r="HJ312" s="260"/>
      <c r="HK312" s="260"/>
      <c r="HL312" s="260"/>
      <c r="HM312" s="260"/>
      <c r="HN312" s="260"/>
      <c r="HO312" s="260"/>
      <c r="HP312" s="260"/>
      <c r="HQ312" s="260"/>
      <c r="HR312" s="260"/>
      <c r="HS312" s="260"/>
      <c r="HT312" s="260"/>
      <c r="HU312" s="260"/>
      <c r="HV312" s="260"/>
      <c r="HW312" s="260"/>
      <c r="HX312" s="260"/>
      <c r="HY312" s="260"/>
      <c r="HZ312" s="260"/>
      <c r="IA312" s="260"/>
      <c r="IB312" s="260"/>
      <c r="IC312" s="260"/>
      <c r="ID312" s="260"/>
      <c r="IE312" s="260"/>
      <c r="IF312" s="260"/>
      <c r="IG312" s="260"/>
      <c r="IH312" s="260"/>
      <c r="II312" s="260"/>
      <c r="IJ312" s="260"/>
      <c r="IK312" s="260"/>
      <c r="IL312" s="260"/>
      <c r="IM312" s="260"/>
      <c r="IN312" s="260"/>
      <c r="IO312" s="260"/>
      <c r="IP312" s="260"/>
      <c r="IQ312" s="260"/>
      <c r="IR312" s="260"/>
      <c r="IS312" s="260"/>
    </row>
    <row r="313" spans="1:253" x14ac:dyDescent="0.2">
      <c r="A313" s="525" t="s">
        <v>254</v>
      </c>
      <c r="B313" s="526">
        <f t="shared" ref="B313:AG313" ca="1" si="110">B310-B311-B312</f>
        <v>29334.712899999984</v>
      </c>
      <c r="C313" s="526">
        <f t="shared" ca="1" si="110"/>
        <v>13269.095303000067</v>
      </c>
      <c r="D313" s="526">
        <f t="shared" ca="1" si="110"/>
        <v>14914.996689999942</v>
      </c>
      <c r="E313" s="526">
        <f t="shared" ca="1" si="110"/>
        <v>16560.898076999933</v>
      </c>
      <c r="F313" s="465">
        <f t="shared" ca="1" si="110"/>
        <v>-15731.564761376678</v>
      </c>
      <c r="G313" s="526">
        <f t="shared" ca="1" si="110"/>
        <v>-14982.180503376847</v>
      </c>
      <c r="H313" s="526">
        <f t="shared" ca="1" si="110"/>
        <v>-15709.669045376679</v>
      </c>
      <c r="I313" s="526">
        <f t="shared" ca="1" si="110"/>
        <v>-13836.007387376711</v>
      </c>
      <c r="J313" s="526">
        <f t="shared" ca="1" si="110"/>
        <v>-10494.003729376796</v>
      </c>
      <c r="K313" s="526">
        <f t="shared" ca="1" si="110"/>
        <v>-8958.7900713766867</v>
      </c>
      <c r="L313" s="526">
        <f t="shared" ca="1" si="110"/>
        <v>-9370.3714133768517</v>
      </c>
      <c r="M313" s="526">
        <f t="shared" ca="1" si="110"/>
        <v>-4081.5727553767792</v>
      </c>
      <c r="N313" s="526">
        <f t="shared" ca="1" si="110"/>
        <v>-3585.7868973767327</v>
      </c>
      <c r="O313" s="526">
        <f t="shared" ca="1" si="110"/>
        <v>-3883.3960393768211</v>
      </c>
      <c r="P313" s="526">
        <f t="shared" ca="1" si="110"/>
        <v>15542.911609263741</v>
      </c>
      <c r="Q313" s="526">
        <f t="shared" ca="1" si="110"/>
        <v>17057.149596263655</v>
      </c>
      <c r="R313" s="526">
        <f t="shared" ca="1" si="110"/>
        <v>16459.777583263814</v>
      </c>
      <c r="S313" s="526">
        <f t="shared" ca="1" si="110"/>
        <v>17789.200570263783</v>
      </c>
      <c r="T313" s="526">
        <f t="shared" ca="1" si="110"/>
        <v>18075.223557263846</v>
      </c>
      <c r="U313" s="526">
        <f t="shared" ca="1" si="110"/>
        <v>31848.806544263614</v>
      </c>
      <c r="V313" s="526">
        <f t="shared" ca="1" si="110"/>
        <v>32134.829531263676</v>
      </c>
      <c r="W313" s="526">
        <f t="shared" ca="1" si="110"/>
        <v>32560.857518263743</v>
      </c>
      <c r="X313" s="526">
        <f t="shared" ca="1" si="110"/>
        <v>32846.880505263689</v>
      </c>
      <c r="Y313" s="526">
        <f t="shared" ca="1" si="110"/>
        <v>33272.908492263756</v>
      </c>
      <c r="Z313" s="526">
        <f t="shared" ca="1" si="110"/>
        <v>34602.331479263725</v>
      </c>
      <c r="AA313" s="526">
        <f t="shared" ca="1" si="110"/>
        <v>33984.959466263768</v>
      </c>
      <c r="AB313" s="526">
        <f t="shared" ca="1" si="110"/>
        <v>35314.382453263621</v>
      </c>
      <c r="AC313" s="526">
        <f t="shared" ca="1" si="110"/>
        <v>35740.410440263804</v>
      </c>
      <c r="AD313" s="526">
        <f t="shared" ca="1" si="110"/>
        <v>35123.038427263731</v>
      </c>
      <c r="AE313" s="526">
        <f t="shared" ca="1" si="110"/>
        <v>35413.033614263753</v>
      </c>
      <c r="AF313" s="526">
        <f t="shared" ca="1" si="110"/>
        <v>36856.42880126345</v>
      </c>
      <c r="AG313" s="526">
        <f t="shared" ca="1" si="110"/>
        <v>36241.028801263543</v>
      </c>
      <c r="AH313" s="526">
        <f ca="1">AH310-AH311-AH312</f>
        <v>37572.423801263561</v>
      </c>
      <c r="AI313" s="526"/>
      <c r="AJ313" s="75"/>
      <c r="AK313" s="75"/>
      <c r="AL313" s="75"/>
      <c r="AM313" s="535"/>
      <c r="AN313" s="75"/>
      <c r="AO313" s="283"/>
      <c r="AP313" s="71"/>
      <c r="AQ313" s="283"/>
      <c r="AR313" s="71"/>
      <c r="AS313" s="283"/>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c r="CK313" s="75"/>
      <c r="CL313" s="75"/>
      <c r="CM313" s="75"/>
      <c r="CN313" s="75"/>
      <c r="CO313" s="75"/>
      <c r="CP313" s="75"/>
      <c r="CQ313" s="75"/>
      <c r="CR313" s="75"/>
      <c r="CS313" s="75"/>
      <c r="CT313" s="75"/>
      <c r="CU313" s="75"/>
      <c r="CV313" s="75"/>
      <c r="CW313" s="75"/>
      <c r="CX313" s="75"/>
      <c r="CY313" s="75"/>
      <c r="CZ313" s="75"/>
      <c r="DA313" s="75"/>
      <c r="DB313" s="75"/>
      <c r="DC313" s="75"/>
      <c r="DD313" s="75"/>
      <c r="DE313" s="75"/>
      <c r="DF313" s="75"/>
      <c r="DG313" s="75"/>
      <c r="DH313" s="75"/>
      <c r="DI313" s="75"/>
      <c r="DJ313" s="75"/>
      <c r="DK313" s="75"/>
      <c r="DL313" s="75"/>
      <c r="DM313" s="75"/>
      <c r="DN313" s="75"/>
      <c r="DO313" s="75"/>
      <c r="DP313" s="75"/>
      <c r="DQ313" s="75"/>
      <c r="DR313" s="75"/>
      <c r="DS313" s="75"/>
      <c r="DT313" s="75"/>
      <c r="DU313" s="75"/>
      <c r="DV313" s="75"/>
      <c r="DW313" s="75"/>
      <c r="DX313" s="75"/>
      <c r="DY313" s="75"/>
      <c r="DZ313" s="75"/>
      <c r="EA313" s="75"/>
      <c r="EB313" s="75"/>
      <c r="EC313" s="75"/>
      <c r="ED313" s="75"/>
      <c r="EE313" s="75"/>
      <c r="EF313" s="75"/>
      <c r="EG313" s="75"/>
      <c r="EH313" s="75"/>
      <c r="EI313" s="75"/>
      <c r="EJ313" s="75"/>
      <c r="EK313" s="75"/>
      <c r="EL313" s="75"/>
      <c r="EM313" s="75"/>
      <c r="EN313" s="75"/>
      <c r="EO313" s="75"/>
      <c r="EP313" s="75"/>
      <c r="EQ313" s="75"/>
      <c r="ER313" s="75"/>
      <c r="ES313" s="75"/>
      <c r="ET313" s="75"/>
      <c r="EU313" s="75"/>
      <c r="EV313" s="75"/>
      <c r="EW313" s="75"/>
      <c r="EX313" s="75"/>
      <c r="EY313" s="75"/>
      <c r="EZ313" s="75"/>
      <c r="FA313" s="75"/>
      <c r="FB313" s="75"/>
      <c r="FC313" s="75"/>
      <c r="FD313" s="75"/>
      <c r="FE313" s="75"/>
      <c r="FF313" s="75"/>
      <c r="FG313" s="75"/>
      <c r="FH313" s="75"/>
      <c r="FI313" s="75"/>
      <c r="FJ313" s="75"/>
      <c r="FK313" s="75"/>
      <c r="FL313" s="75"/>
      <c r="FM313" s="75"/>
      <c r="FN313" s="75"/>
      <c r="FO313" s="75"/>
      <c r="FP313" s="75"/>
      <c r="FQ313" s="75"/>
      <c r="FR313" s="75"/>
      <c r="FS313" s="75"/>
      <c r="FT313" s="75"/>
      <c r="FU313" s="75"/>
      <c r="FV313" s="75"/>
      <c r="FW313" s="75"/>
      <c r="FX313" s="75"/>
      <c r="FY313" s="75"/>
      <c r="FZ313" s="75"/>
      <c r="GA313" s="75"/>
      <c r="GB313" s="75"/>
      <c r="GC313" s="75"/>
      <c r="GD313" s="75"/>
      <c r="GE313" s="75"/>
      <c r="GF313" s="75"/>
      <c r="GG313" s="75"/>
      <c r="GH313" s="75"/>
      <c r="GI313" s="75"/>
      <c r="GJ313" s="75"/>
      <c r="GK313" s="75"/>
      <c r="GL313" s="75"/>
      <c r="GM313" s="75"/>
      <c r="GN313" s="75"/>
      <c r="GO313" s="75"/>
      <c r="GP313" s="75"/>
      <c r="GQ313" s="75"/>
      <c r="GR313" s="75"/>
      <c r="GS313" s="75"/>
      <c r="GT313" s="75"/>
      <c r="GU313" s="75"/>
      <c r="GV313" s="75"/>
      <c r="GW313" s="75"/>
      <c r="GX313" s="75"/>
      <c r="GY313" s="75"/>
      <c r="GZ313" s="75"/>
      <c r="HA313" s="75"/>
      <c r="HB313" s="75"/>
      <c r="HC313" s="75"/>
      <c r="HD313" s="75"/>
      <c r="HE313" s="75"/>
      <c r="HF313" s="75"/>
      <c r="HG313" s="75"/>
      <c r="HH313" s="75"/>
      <c r="HI313" s="75"/>
      <c r="HJ313" s="75"/>
      <c r="HK313" s="75"/>
      <c r="HL313" s="75"/>
      <c r="HM313" s="75"/>
      <c r="HN313" s="75"/>
      <c r="HO313" s="75"/>
      <c r="HP313" s="75"/>
      <c r="HQ313" s="75"/>
      <c r="HR313" s="75"/>
      <c r="HS313" s="75"/>
      <c r="HT313" s="75"/>
      <c r="HU313" s="75"/>
      <c r="HV313" s="75"/>
      <c r="HW313" s="75"/>
      <c r="HX313" s="75"/>
      <c r="HY313" s="75"/>
      <c r="HZ313" s="75"/>
      <c r="IA313" s="75"/>
      <c r="IB313" s="75"/>
      <c r="IC313" s="75"/>
      <c r="ID313" s="75"/>
      <c r="IE313" s="75"/>
      <c r="IF313" s="75"/>
      <c r="IG313" s="75"/>
      <c r="IH313" s="75"/>
      <c r="II313" s="75"/>
      <c r="IJ313" s="75"/>
      <c r="IK313" s="75"/>
      <c r="IL313" s="75"/>
      <c r="IM313" s="75"/>
      <c r="IN313" s="75"/>
      <c r="IO313" s="75"/>
      <c r="IP313" s="75"/>
      <c r="IQ313" s="75"/>
      <c r="IR313" s="75"/>
      <c r="IS313" s="75"/>
    </row>
    <row r="314" spans="1:253" x14ac:dyDescent="0.2">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M314" s="535"/>
      <c r="AO314" s="283"/>
      <c r="AP314" s="71"/>
      <c r="AQ314" s="283"/>
      <c r="AR314" s="71"/>
      <c r="AS314" s="283"/>
    </row>
    <row r="315" spans="1:253" x14ac:dyDescent="0.2">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M315" s="535"/>
      <c r="AO315" s="283"/>
      <c r="AP315" s="71"/>
      <c r="AQ315" s="283"/>
      <c r="AR315" s="71"/>
      <c r="AS315" s="283"/>
    </row>
    <row r="316" spans="1:253" s="62" customFormat="1" ht="18" x14ac:dyDescent="0.2">
      <c r="A316" s="527" t="s">
        <v>461</v>
      </c>
      <c r="B316" s="470"/>
      <c r="C316" s="470"/>
      <c r="D316" s="470"/>
      <c r="E316" s="470"/>
      <c r="F316" s="445"/>
      <c r="G316" s="470"/>
      <c r="H316" s="470"/>
      <c r="I316" s="470"/>
      <c r="J316" s="470"/>
      <c r="K316" s="470"/>
      <c r="L316" s="470"/>
      <c r="M316" s="470"/>
      <c r="N316" s="470"/>
      <c r="O316" s="470"/>
      <c r="P316" s="470"/>
      <c r="Q316" s="470"/>
      <c r="R316" s="470"/>
      <c r="S316" s="470"/>
      <c r="T316" s="470"/>
      <c r="U316" s="470"/>
      <c r="V316" s="470"/>
      <c r="W316" s="470"/>
      <c r="X316" s="470"/>
      <c r="Y316" s="470"/>
      <c r="Z316" s="470"/>
      <c r="AA316" s="470"/>
      <c r="AB316" s="470"/>
      <c r="AC316" s="470"/>
      <c r="AD316" s="470"/>
      <c r="AE316" s="470"/>
      <c r="AF316" s="470"/>
      <c r="AG316" s="470"/>
      <c r="AH316" s="470"/>
      <c r="AI316" s="470"/>
      <c r="AM316" s="535"/>
      <c r="AO316" s="283"/>
      <c r="AP316" s="71"/>
      <c r="AQ316" s="283"/>
      <c r="AR316" s="71"/>
      <c r="AS316" s="283"/>
    </row>
    <row r="317" spans="1:253" s="62" customFormat="1" x14ac:dyDescent="0.2">
      <c r="A317" s="472"/>
      <c r="B317" s="470"/>
      <c r="C317" s="470"/>
      <c r="D317" s="470"/>
      <c r="E317" s="470"/>
      <c r="F317" s="445"/>
      <c r="G317" s="470"/>
      <c r="H317" s="470"/>
      <c r="I317" s="470"/>
      <c r="J317" s="470"/>
      <c r="K317" s="470"/>
      <c r="L317" s="470"/>
      <c r="M317" s="470"/>
      <c r="N317" s="470"/>
      <c r="O317" s="470"/>
      <c r="P317" s="470"/>
      <c r="Q317" s="470" t="s">
        <v>21</v>
      </c>
      <c r="R317" s="470"/>
      <c r="S317" s="470"/>
      <c r="T317" s="470"/>
      <c r="U317" s="470"/>
      <c r="V317" s="470"/>
      <c r="W317" s="470"/>
      <c r="X317" s="470"/>
      <c r="Y317" s="470"/>
      <c r="Z317" s="470"/>
      <c r="AA317" s="470"/>
      <c r="AB317" s="470"/>
      <c r="AC317" s="470"/>
      <c r="AD317" s="470"/>
      <c r="AE317" s="470"/>
      <c r="AF317" s="470"/>
      <c r="AG317" s="470"/>
      <c r="AH317" s="470"/>
      <c r="AI317" s="470"/>
      <c r="AM317" s="535"/>
      <c r="AO317" s="283"/>
      <c r="AP317" s="71"/>
      <c r="AQ317" s="283"/>
      <c r="AR317" s="71"/>
      <c r="AS317" s="283"/>
    </row>
    <row r="318" spans="1:253" s="62" customFormat="1" x14ac:dyDescent="0.2">
      <c r="A318" s="472"/>
      <c r="B318" s="528">
        <f>Aprekini!B5</f>
        <v>2014</v>
      </c>
      <c r="C318" s="528">
        <f t="shared" ref="C318:AG318" si="111">B318+1</f>
        <v>2015</v>
      </c>
      <c r="D318" s="528">
        <f t="shared" si="111"/>
        <v>2016</v>
      </c>
      <c r="E318" s="528">
        <f t="shared" si="111"/>
        <v>2017</v>
      </c>
      <c r="F318" s="467">
        <f t="shared" si="111"/>
        <v>2018</v>
      </c>
      <c r="G318" s="528">
        <f t="shared" si="111"/>
        <v>2019</v>
      </c>
      <c r="H318" s="528">
        <f t="shared" si="111"/>
        <v>2020</v>
      </c>
      <c r="I318" s="528">
        <f t="shared" si="111"/>
        <v>2021</v>
      </c>
      <c r="J318" s="528">
        <f t="shared" si="111"/>
        <v>2022</v>
      </c>
      <c r="K318" s="528">
        <f t="shared" si="111"/>
        <v>2023</v>
      </c>
      <c r="L318" s="528">
        <f t="shared" si="111"/>
        <v>2024</v>
      </c>
      <c r="M318" s="528">
        <f t="shared" si="111"/>
        <v>2025</v>
      </c>
      <c r="N318" s="528">
        <f t="shared" si="111"/>
        <v>2026</v>
      </c>
      <c r="O318" s="528">
        <f t="shared" si="111"/>
        <v>2027</v>
      </c>
      <c r="P318" s="528">
        <f t="shared" si="111"/>
        <v>2028</v>
      </c>
      <c r="Q318" s="528">
        <f t="shared" si="111"/>
        <v>2029</v>
      </c>
      <c r="R318" s="528">
        <f t="shared" si="111"/>
        <v>2030</v>
      </c>
      <c r="S318" s="528">
        <f t="shared" si="111"/>
        <v>2031</v>
      </c>
      <c r="T318" s="528">
        <f t="shared" si="111"/>
        <v>2032</v>
      </c>
      <c r="U318" s="529">
        <f t="shared" si="111"/>
        <v>2033</v>
      </c>
      <c r="V318" s="529">
        <f t="shared" si="111"/>
        <v>2034</v>
      </c>
      <c r="W318" s="529">
        <f t="shared" si="111"/>
        <v>2035</v>
      </c>
      <c r="X318" s="529">
        <f t="shared" si="111"/>
        <v>2036</v>
      </c>
      <c r="Y318" s="529">
        <f t="shared" si="111"/>
        <v>2037</v>
      </c>
      <c r="Z318" s="529">
        <f t="shared" si="111"/>
        <v>2038</v>
      </c>
      <c r="AA318" s="529">
        <f t="shared" si="111"/>
        <v>2039</v>
      </c>
      <c r="AB318" s="529">
        <f t="shared" si="111"/>
        <v>2040</v>
      </c>
      <c r="AC318" s="529">
        <f t="shared" si="111"/>
        <v>2041</v>
      </c>
      <c r="AD318" s="529">
        <f t="shared" si="111"/>
        <v>2042</v>
      </c>
      <c r="AE318" s="529">
        <f t="shared" si="111"/>
        <v>2043</v>
      </c>
      <c r="AF318" s="529">
        <f t="shared" si="111"/>
        <v>2044</v>
      </c>
      <c r="AG318" s="529">
        <f t="shared" si="111"/>
        <v>2045</v>
      </c>
      <c r="AH318" s="529">
        <f>AG318+1</f>
        <v>2046</v>
      </c>
      <c r="AI318" s="529"/>
      <c r="AM318" s="535"/>
      <c r="AO318" s="283"/>
      <c r="AP318" s="71"/>
      <c r="AQ318" s="283"/>
      <c r="AR318" s="71"/>
      <c r="AS318" s="283"/>
    </row>
    <row r="319" spans="1:253" s="62" customFormat="1" x14ac:dyDescent="0.2">
      <c r="A319" s="530" t="s">
        <v>255</v>
      </c>
      <c r="B319" s="531"/>
      <c r="C319" s="531"/>
      <c r="D319" s="531"/>
      <c r="E319" s="531"/>
      <c r="F319" s="532"/>
      <c r="G319" s="531"/>
      <c r="H319" s="531"/>
      <c r="I319" s="531"/>
      <c r="J319" s="531"/>
      <c r="K319" s="531"/>
      <c r="L319" s="531"/>
      <c r="M319" s="531"/>
      <c r="N319" s="531"/>
      <c r="O319" s="531"/>
      <c r="P319" s="531"/>
      <c r="Q319" s="531"/>
      <c r="R319" s="531"/>
      <c r="S319" s="531"/>
      <c r="T319" s="531"/>
      <c r="U319" s="531"/>
      <c r="V319" s="531"/>
      <c r="W319" s="531"/>
      <c r="X319" s="531"/>
      <c r="Y319" s="531"/>
      <c r="Z319" s="531"/>
      <c r="AA319" s="531"/>
      <c r="AB319" s="531"/>
      <c r="AC319" s="531"/>
      <c r="AD319" s="531"/>
      <c r="AE319" s="531"/>
      <c r="AF319" s="531"/>
      <c r="AG319" s="531"/>
      <c r="AH319" s="531"/>
      <c r="AI319" s="531"/>
      <c r="AM319" s="535"/>
      <c r="AO319" s="283"/>
      <c r="AP319" s="71"/>
      <c r="AQ319" s="283"/>
      <c r="AR319" s="71"/>
      <c r="AS319" s="283"/>
    </row>
    <row r="320" spans="1:253" s="62" customFormat="1" x14ac:dyDescent="0.2">
      <c r="A320" s="476" t="s">
        <v>256</v>
      </c>
      <c r="B320" s="477">
        <f t="shared" ref="B320:AG320" si="112">SUM(B321:B323)</f>
        <v>1107568</v>
      </c>
      <c r="C320" s="477">
        <f t="shared" si="112"/>
        <v>1079136</v>
      </c>
      <c r="D320" s="477">
        <f t="shared" si="112"/>
        <v>1597163</v>
      </c>
      <c r="E320" s="477">
        <f t="shared" si="112"/>
        <v>2650931</v>
      </c>
      <c r="F320" s="465">
        <f t="shared" si="112"/>
        <v>2535606</v>
      </c>
      <c r="G320" s="477">
        <f t="shared" si="112"/>
        <v>2420279</v>
      </c>
      <c r="H320" s="477">
        <f>SUM(H321:H323)</f>
        <v>2304954</v>
      </c>
      <c r="I320" s="477">
        <f>SUM(I321:I323)</f>
        <v>2189627</v>
      </c>
      <c r="J320" s="477">
        <f>SUM(J321:J323)</f>
        <v>2074302</v>
      </c>
      <c r="K320" s="477">
        <f>SUM(K321:K323)</f>
        <v>1958976</v>
      </c>
      <c r="L320" s="477">
        <f t="shared" si="112"/>
        <v>1843650</v>
      </c>
      <c r="M320" s="477">
        <f t="shared" si="112"/>
        <v>1728324</v>
      </c>
      <c r="N320" s="477">
        <f t="shared" si="112"/>
        <v>1612998</v>
      </c>
      <c r="O320" s="477">
        <f t="shared" si="112"/>
        <v>1497672</v>
      </c>
      <c r="P320" s="477">
        <f t="shared" si="112"/>
        <v>1450247</v>
      </c>
      <c r="Q320" s="477">
        <f t="shared" si="112"/>
        <v>1410934</v>
      </c>
      <c r="R320" s="477">
        <f t="shared" si="112"/>
        <v>1371641</v>
      </c>
      <c r="S320" s="477">
        <f t="shared" si="112"/>
        <v>1332348</v>
      </c>
      <c r="T320" s="477">
        <f t="shared" si="112"/>
        <v>1293055</v>
      </c>
      <c r="U320" s="477">
        <f t="shared" si="112"/>
        <v>1253762</v>
      </c>
      <c r="V320" s="477">
        <f t="shared" si="112"/>
        <v>1214469</v>
      </c>
      <c r="W320" s="477">
        <f t="shared" si="112"/>
        <v>1175176</v>
      </c>
      <c r="X320" s="477">
        <f t="shared" si="112"/>
        <v>1135883</v>
      </c>
      <c r="Y320" s="477">
        <f t="shared" si="112"/>
        <v>1096590</v>
      </c>
      <c r="Z320" s="477">
        <f t="shared" si="112"/>
        <v>1057297</v>
      </c>
      <c r="AA320" s="477">
        <f t="shared" si="112"/>
        <v>1018004</v>
      </c>
      <c r="AB320" s="477">
        <f t="shared" si="112"/>
        <v>978711</v>
      </c>
      <c r="AC320" s="477">
        <f t="shared" si="112"/>
        <v>939418</v>
      </c>
      <c r="AD320" s="477">
        <f t="shared" si="112"/>
        <v>900125</v>
      </c>
      <c r="AE320" s="477">
        <f t="shared" si="112"/>
        <v>860832</v>
      </c>
      <c r="AF320" s="477">
        <f t="shared" si="112"/>
        <v>821539</v>
      </c>
      <c r="AG320" s="477">
        <f t="shared" si="112"/>
        <v>782246</v>
      </c>
      <c r="AH320" s="477">
        <f>SUM(AH321:AH323)</f>
        <v>742953</v>
      </c>
      <c r="AI320" s="477"/>
      <c r="AM320" s="535"/>
      <c r="AO320" s="283"/>
      <c r="AP320" s="71"/>
      <c r="AQ320" s="283"/>
      <c r="AR320" s="71"/>
      <c r="AS320" s="283"/>
      <c r="AV320" s="724"/>
      <c r="AW320" s="724"/>
    </row>
    <row r="321" spans="1:49" s="62" customFormat="1" x14ac:dyDescent="0.2">
      <c r="A321" s="474" t="s">
        <v>257</v>
      </c>
      <c r="B321" s="475">
        <f>Aprekini!B81+Aprekini!B8+Aprekini!B13</f>
        <v>993700</v>
      </c>
      <c r="C321" s="475">
        <f>Aprekini!C81+Aprekini!C8+Aprekini!C13</f>
        <v>973400</v>
      </c>
      <c r="D321" s="475">
        <f>Aprekini!D81+Aprekini!D8+Aprekini!D13</f>
        <v>1241950</v>
      </c>
      <c r="E321" s="475">
        <f>Aprekini!E81+Aprekini!E8+Aprekini!E13</f>
        <v>1882450</v>
      </c>
      <c r="F321" s="463">
        <f>Aprekini!F81+Aprekini!F8+Aprekini!F13</f>
        <v>1843157</v>
      </c>
      <c r="G321" s="475">
        <f>Aprekini!G81+Aprekini!G8+Aprekini!G13</f>
        <v>1803864</v>
      </c>
      <c r="H321" s="475">
        <f>Aprekini!H81+Aprekini!H8+Aprekini!H13</f>
        <v>1764571</v>
      </c>
      <c r="I321" s="475">
        <f>Aprekini!I81+Aprekini!I8+Aprekini!I13</f>
        <v>1725278</v>
      </c>
      <c r="J321" s="475">
        <f>Aprekini!J81+Aprekini!J8+Aprekini!J13</f>
        <v>1685985</v>
      </c>
      <c r="K321" s="475">
        <f>Aprekini!K81+Aprekini!K8+Aprekini!K13</f>
        <v>1646692</v>
      </c>
      <c r="L321" s="475">
        <f>Aprekini!L81+Aprekini!L8+Aprekini!L13</f>
        <v>1607399</v>
      </c>
      <c r="M321" s="475">
        <f>Aprekini!M81+Aprekini!M8+Aprekini!M13</f>
        <v>1568106</v>
      </c>
      <c r="N321" s="475">
        <f>Aprekini!N81+Aprekini!N8+Aprekini!N13</f>
        <v>1528813</v>
      </c>
      <c r="O321" s="475">
        <f>Aprekini!O81+Aprekini!O8+Aprekini!O13</f>
        <v>1489520</v>
      </c>
      <c r="P321" s="475">
        <f>Aprekini!P81+Aprekini!P8+Aprekini!P13</f>
        <v>1450227</v>
      </c>
      <c r="Q321" s="475">
        <f>Aprekini!Q81+Aprekini!Q8+Aprekini!Q13</f>
        <v>1410934</v>
      </c>
      <c r="R321" s="475">
        <f>Aprekini!R81+Aprekini!R8+Aprekini!R13</f>
        <v>1371641</v>
      </c>
      <c r="S321" s="475">
        <f>Aprekini!S81+Aprekini!S8+Aprekini!S13</f>
        <v>1332348</v>
      </c>
      <c r="T321" s="475">
        <f>Aprekini!T81+Aprekini!T8+Aprekini!T13</f>
        <v>1293055</v>
      </c>
      <c r="U321" s="475">
        <f>Aprekini!U81+Aprekini!U8+Aprekini!U13</f>
        <v>1253762</v>
      </c>
      <c r="V321" s="475">
        <f>Aprekini!V81+Aprekini!V8+Aprekini!V13</f>
        <v>1214469</v>
      </c>
      <c r="W321" s="475">
        <f>Aprekini!W81+Aprekini!W8+Aprekini!W13</f>
        <v>1175176</v>
      </c>
      <c r="X321" s="475">
        <f>Aprekini!X81+Aprekini!X8+Aprekini!X13</f>
        <v>1135883</v>
      </c>
      <c r="Y321" s="475">
        <f>Aprekini!Y81+Aprekini!Y8+Aprekini!Y13</f>
        <v>1096590</v>
      </c>
      <c r="Z321" s="475">
        <f>Aprekini!Z81+Aprekini!Z8+Aprekini!Z13</f>
        <v>1057297</v>
      </c>
      <c r="AA321" s="475">
        <f>Aprekini!AA81+Aprekini!AA8+Aprekini!AA13</f>
        <v>1018004</v>
      </c>
      <c r="AB321" s="475">
        <f>Aprekini!AB81+Aprekini!AB8+Aprekini!AB13</f>
        <v>978711</v>
      </c>
      <c r="AC321" s="475">
        <f>Aprekini!AC81+Aprekini!AC8+Aprekini!AC13</f>
        <v>939418</v>
      </c>
      <c r="AD321" s="475">
        <f>Aprekini!AD81+Aprekini!AD8+Aprekini!AD13</f>
        <v>900125</v>
      </c>
      <c r="AE321" s="475">
        <f>Aprekini!AE81+Aprekini!AE8+Aprekini!AE13</f>
        <v>860832</v>
      </c>
      <c r="AF321" s="475">
        <f>Aprekini!AF81+Aprekini!AF8+Aprekini!AF13</f>
        <v>821539</v>
      </c>
      <c r="AG321" s="475">
        <f>Aprekini!AG81+Aprekini!AG8+Aprekini!AG13</f>
        <v>782246</v>
      </c>
      <c r="AH321" s="475">
        <f>Aprekini!AH81+Aprekini!AH8+Aprekini!AH13</f>
        <v>742953</v>
      </c>
      <c r="AI321" s="475"/>
      <c r="AM321" s="535"/>
      <c r="AO321" s="283"/>
      <c r="AP321" s="71"/>
      <c r="AQ321" s="283"/>
      <c r="AR321" s="71"/>
      <c r="AS321" s="283"/>
      <c r="AV321" s="724"/>
      <c r="AW321" s="724"/>
    </row>
    <row r="322" spans="1:49" s="62" customFormat="1" x14ac:dyDescent="0.2">
      <c r="A322" s="474" t="s">
        <v>258</v>
      </c>
      <c r="B322" s="475">
        <f>Aprekini!B87+Aprekini!B9+Aprekini!B14</f>
        <v>113868</v>
      </c>
      <c r="C322" s="475">
        <f>Aprekini!C87+Aprekini!C9+Aprekini!C14</f>
        <v>105736</v>
      </c>
      <c r="D322" s="475">
        <f>Aprekini!D87+Aprekini!D9+Aprekini!D14</f>
        <v>280179</v>
      </c>
      <c r="E322" s="475">
        <f>Aprekini!E87+Aprekini!E9+Aprekini!E14</f>
        <v>630447</v>
      </c>
      <c r="F322" s="463">
        <f>Aprekini!F87+Aprekini!F9+Aprekini!F14</f>
        <v>568218</v>
      </c>
      <c r="G322" s="475">
        <f>Aprekini!G87+Aprekini!G9+Aprekini!G14</f>
        <v>505988</v>
      </c>
      <c r="H322" s="475">
        <f>Aprekini!H87+Aprekini!H9+Aprekini!H14</f>
        <v>443759</v>
      </c>
      <c r="I322" s="475">
        <f>Aprekini!I87+Aprekini!I9+Aprekini!I14</f>
        <v>381529</v>
      </c>
      <c r="J322" s="475">
        <f>Aprekini!J87+Aprekini!J9+Aprekini!J14</f>
        <v>319300</v>
      </c>
      <c r="K322" s="475">
        <f>Aprekini!K87+Aprekini!K9+Aprekini!K14</f>
        <v>257070</v>
      </c>
      <c r="L322" s="475">
        <f>Aprekini!L87+Aprekini!L9+Aprekini!L14</f>
        <v>194841</v>
      </c>
      <c r="M322" s="475">
        <f>Aprekini!M87+Aprekini!M9+Aprekini!M14</f>
        <v>132611</v>
      </c>
      <c r="N322" s="475">
        <f>Aprekini!N87+Aprekini!N9+Aprekini!N14</f>
        <v>70382</v>
      </c>
      <c r="O322" s="475">
        <f>Aprekini!O87+Aprekini!O9+Aprekini!O14</f>
        <v>8152</v>
      </c>
      <c r="P322" s="475">
        <f>Aprekini!P87+Aprekini!P9+Aprekini!P14</f>
        <v>20</v>
      </c>
      <c r="Q322" s="475">
        <f>Aprekini!Q87+Aprekini!Q9+Aprekini!Q14</f>
        <v>0</v>
      </c>
      <c r="R322" s="475">
        <f>Aprekini!R87+Aprekini!R9+Aprekini!R14</f>
        <v>0</v>
      </c>
      <c r="S322" s="475">
        <f>Aprekini!S87+Aprekini!S9+Aprekini!S14</f>
        <v>0</v>
      </c>
      <c r="T322" s="475">
        <f>Aprekini!T87+Aprekini!T9+Aprekini!T14</f>
        <v>0</v>
      </c>
      <c r="U322" s="475">
        <f>Aprekini!U87+Aprekini!U9+Aprekini!U14</f>
        <v>0</v>
      </c>
      <c r="V322" s="475">
        <f>Aprekini!V87+Aprekini!V9+Aprekini!V14</f>
        <v>0</v>
      </c>
      <c r="W322" s="475">
        <f>Aprekini!W87+Aprekini!W9+Aprekini!W14</f>
        <v>0</v>
      </c>
      <c r="X322" s="475">
        <f>Aprekini!X87+Aprekini!X9+Aprekini!X14</f>
        <v>0</v>
      </c>
      <c r="Y322" s="475">
        <f>Aprekini!Y87+Aprekini!Y9+Aprekini!Y14</f>
        <v>0</v>
      </c>
      <c r="Z322" s="475">
        <f>Aprekini!Z87+Aprekini!Z9+Aprekini!Z14</f>
        <v>0</v>
      </c>
      <c r="AA322" s="475">
        <f>Aprekini!AA87+Aprekini!AA9+Aprekini!AA14</f>
        <v>0</v>
      </c>
      <c r="AB322" s="475">
        <f>Aprekini!AB87+Aprekini!AB9+Aprekini!AB14</f>
        <v>0</v>
      </c>
      <c r="AC322" s="475">
        <f>Aprekini!AC87+Aprekini!AC9+Aprekini!AC14</f>
        <v>0</v>
      </c>
      <c r="AD322" s="475">
        <f>Aprekini!AD87+Aprekini!AD9+Aprekini!AD14</f>
        <v>0</v>
      </c>
      <c r="AE322" s="475">
        <f>Aprekini!AE87+Aprekini!AE9+Aprekini!AE14</f>
        <v>0</v>
      </c>
      <c r="AF322" s="475">
        <f>Aprekini!AF87+Aprekini!AF9+Aprekini!AF14</f>
        <v>0</v>
      </c>
      <c r="AG322" s="475">
        <f>Aprekini!AG87+Aprekini!AG9+Aprekini!AG14</f>
        <v>0</v>
      </c>
      <c r="AH322" s="475">
        <f>Aprekini!AH87+Aprekini!AH9+Aprekini!AH14</f>
        <v>0</v>
      </c>
      <c r="AI322" s="475"/>
      <c r="AM322" s="535"/>
      <c r="AO322" s="283"/>
      <c r="AP322" s="71"/>
      <c r="AQ322" s="283"/>
      <c r="AR322" s="71"/>
      <c r="AS322" s="283"/>
      <c r="AV322" s="724"/>
      <c r="AW322" s="724"/>
    </row>
    <row r="323" spans="1:49" s="62" customFormat="1" x14ac:dyDescent="0.2">
      <c r="A323" s="474" t="s">
        <v>259</v>
      </c>
      <c r="B323" s="475">
        <f>Aprekini!B93+Aprekini!B10+Aprekini!B15</f>
        <v>0</v>
      </c>
      <c r="C323" s="475">
        <f>Aprekini!C93+Aprekini!C10+Aprekini!C15</f>
        <v>0</v>
      </c>
      <c r="D323" s="475">
        <f>Aprekini!D93+Aprekini!D10+Aprekini!D15</f>
        <v>75034</v>
      </c>
      <c r="E323" s="475">
        <f>Aprekini!E93+Aprekini!E10+Aprekini!E15</f>
        <v>138034</v>
      </c>
      <c r="F323" s="475">
        <f>Aprekini!F93+Aprekini!F10+Aprekini!F15</f>
        <v>124231</v>
      </c>
      <c r="G323" s="475">
        <f>Aprekini!G93+Aprekini!G10+Aprekini!G15</f>
        <v>110427</v>
      </c>
      <c r="H323" s="475">
        <f>Aprekini!H93+Aprekini!H10+Aprekini!H15</f>
        <v>96624</v>
      </c>
      <c r="I323" s="475">
        <f>Aprekini!I93+Aprekini!I10+Aprekini!I15</f>
        <v>82820</v>
      </c>
      <c r="J323" s="475">
        <f>Aprekini!J93+Aprekini!J10+Aprekini!J15</f>
        <v>69017</v>
      </c>
      <c r="K323" s="475">
        <f>Aprekini!K93+Aprekini!K10+Aprekini!K15</f>
        <v>55214</v>
      </c>
      <c r="L323" s="475">
        <f>Aprekini!L93+Aprekini!L10+Aprekini!L15</f>
        <v>41410</v>
      </c>
      <c r="M323" s="475">
        <f>Aprekini!M93+Aprekini!M10+Aprekini!M15</f>
        <v>27607</v>
      </c>
      <c r="N323" s="475">
        <f>Aprekini!N93+Aprekini!N10+Aprekini!N15</f>
        <v>13803</v>
      </c>
      <c r="O323" s="475">
        <f>Aprekini!O93+Aprekini!O10+Aprekini!O15</f>
        <v>0</v>
      </c>
      <c r="P323" s="475">
        <f>Aprekini!P93+Aprekini!P10+Aprekini!P15</f>
        <v>0</v>
      </c>
      <c r="Q323" s="475">
        <f>Aprekini!Q93+Aprekini!Q10+Aprekini!Q15</f>
        <v>0</v>
      </c>
      <c r="R323" s="475">
        <f>Aprekini!R93+Aprekini!R10+Aprekini!R15</f>
        <v>0</v>
      </c>
      <c r="S323" s="475">
        <f>Aprekini!S93+Aprekini!S10+Aprekini!S15</f>
        <v>0</v>
      </c>
      <c r="T323" s="475">
        <f>Aprekini!T93+Aprekini!T10+Aprekini!T15</f>
        <v>0</v>
      </c>
      <c r="U323" s="475">
        <f>Aprekini!U93+Aprekini!U10+Aprekini!U15</f>
        <v>0</v>
      </c>
      <c r="V323" s="475">
        <f>Aprekini!V93+Aprekini!V10+Aprekini!V15</f>
        <v>0</v>
      </c>
      <c r="W323" s="475">
        <f>Aprekini!W93+Aprekini!W10+Aprekini!W15</f>
        <v>0</v>
      </c>
      <c r="X323" s="475">
        <f>Aprekini!X93+Aprekini!X10+Aprekini!X15</f>
        <v>0</v>
      </c>
      <c r="Y323" s="475">
        <f>Aprekini!Y93+Aprekini!Y10+Aprekini!Y15</f>
        <v>0</v>
      </c>
      <c r="Z323" s="475">
        <f>Aprekini!Z93+Aprekini!Z10+Aprekini!Z15</f>
        <v>0</v>
      </c>
      <c r="AA323" s="475">
        <f>Aprekini!AA93+Aprekini!AA10+Aprekini!AA15</f>
        <v>0</v>
      </c>
      <c r="AB323" s="475">
        <f>Aprekini!AB93+Aprekini!AB10+Aprekini!AB15</f>
        <v>0</v>
      </c>
      <c r="AC323" s="475">
        <f>Aprekini!AC93+Aprekini!AC10+Aprekini!AC15</f>
        <v>0</v>
      </c>
      <c r="AD323" s="475">
        <f>Aprekini!AD93+Aprekini!AD10+Aprekini!AD15</f>
        <v>0</v>
      </c>
      <c r="AE323" s="475">
        <f>Aprekini!AE93+Aprekini!AE10+Aprekini!AE15</f>
        <v>0</v>
      </c>
      <c r="AF323" s="475">
        <f>Aprekini!AF93+Aprekini!AF10+Aprekini!AF15</f>
        <v>0</v>
      </c>
      <c r="AG323" s="475">
        <f>Aprekini!AG93+Aprekini!AG10+Aprekini!AG15</f>
        <v>0</v>
      </c>
      <c r="AH323" s="475">
        <f>Aprekini!AH93+Aprekini!AH10+Aprekini!AH15</f>
        <v>0</v>
      </c>
      <c r="AI323" s="475"/>
      <c r="AM323" s="535"/>
      <c r="AO323" s="283"/>
      <c r="AP323" s="71"/>
      <c r="AQ323" s="283"/>
      <c r="AR323" s="71"/>
      <c r="AS323" s="283"/>
      <c r="AV323" s="724"/>
      <c r="AW323" s="724"/>
    </row>
    <row r="324" spans="1:49" s="62" customFormat="1" x14ac:dyDescent="0.2">
      <c r="A324" s="476" t="s">
        <v>260</v>
      </c>
      <c r="B324" s="477">
        <f t="shared" ref="B324:AG324" ca="1" si="113">SUM(B325:B326)</f>
        <v>57766.712899999984</v>
      </c>
      <c r="C324" s="477">
        <f t="shared" ca="1" si="113"/>
        <v>86976.378578000047</v>
      </c>
      <c r="D324" s="477">
        <f t="shared" ca="1" si="113"/>
        <v>124151.27281415591</v>
      </c>
      <c r="E324" s="477">
        <f t="shared" ca="1" si="113"/>
        <v>175316.26701358566</v>
      </c>
      <c r="F324" s="465">
        <f t="shared" ca="1" si="113"/>
        <v>234037.11684858572</v>
      </c>
      <c r="G324" s="477">
        <f t="shared" ca="1" si="113"/>
        <v>293507.35094158555</v>
      </c>
      <c r="H324" s="477">
        <f ca="1">SUM(H325:H326)</f>
        <v>357614.21674258559</v>
      </c>
      <c r="I324" s="477">
        <f ca="1">SUM(I325:I326)</f>
        <v>423712.95195158559</v>
      </c>
      <c r="J324" s="477">
        <f ca="1">SUM(J325:J326)</f>
        <v>493269.09846858546</v>
      </c>
      <c r="K324" s="477">
        <f ca="1">SUM(K325:K326)</f>
        <v>558762.72299358551</v>
      </c>
      <c r="L324" s="477">
        <f t="shared" ca="1" si="113"/>
        <v>623844.76617658534</v>
      </c>
      <c r="M324" s="477">
        <f t="shared" ca="1" si="113"/>
        <v>694215.60801758524</v>
      </c>
      <c r="N324" s="477">
        <f t="shared" ca="1" si="113"/>
        <v>765082.2357165853</v>
      </c>
      <c r="O324" s="477">
        <f t="shared" ca="1" si="113"/>
        <v>835651.25427358528</v>
      </c>
      <c r="P324" s="477">
        <f t="shared" ca="1" si="113"/>
        <v>895775.20041758532</v>
      </c>
      <c r="Q324" s="477">
        <f t="shared" ca="1" si="113"/>
        <v>949358.38834858523</v>
      </c>
      <c r="R324" s="477">
        <f t="shared" ca="1" si="113"/>
        <v>1002441.0119665854</v>
      </c>
      <c r="S324" s="477">
        <f t="shared" ca="1" si="113"/>
        <v>1050589.2124715853</v>
      </c>
      <c r="T324" s="477">
        <f t="shared" ca="1" si="113"/>
        <v>1099023.4359635855</v>
      </c>
      <c r="U324" s="477">
        <f t="shared" ca="1" si="113"/>
        <v>1161231.2424425855</v>
      </c>
      <c r="V324" s="477">
        <f t="shared" ca="1" si="113"/>
        <v>1223725.0719085853</v>
      </c>
      <c r="W324" s="477">
        <f t="shared" ca="1" si="113"/>
        <v>1286644.9293615855</v>
      </c>
      <c r="X324" s="477">
        <f t="shared" ca="1" si="113"/>
        <v>1349850.8098015855</v>
      </c>
      <c r="Y324" s="477">
        <f t="shared" ca="1" si="113"/>
        <v>1413482.7182285856</v>
      </c>
      <c r="Z324" s="477">
        <f t="shared" ca="1" si="113"/>
        <v>1478444.0496425855</v>
      </c>
      <c r="AA324" s="477">
        <f t="shared" ca="1" si="113"/>
        <v>1542788.0090435855</v>
      </c>
      <c r="AB324" s="477">
        <f t="shared" ca="1" si="113"/>
        <v>1608461.3914315854</v>
      </c>
      <c r="AC324" s="477">
        <f t="shared" ca="1" si="113"/>
        <v>1674560.8018065854</v>
      </c>
      <c r="AD324" s="477">
        <f t="shared" ca="1" si="113"/>
        <v>1740042.8401685855</v>
      </c>
      <c r="AE324" s="477">
        <f t="shared" ca="1" si="113"/>
        <v>1805814.8737175856</v>
      </c>
      <c r="AF324" s="477">
        <f t="shared" ca="1" si="113"/>
        <v>1873030.3024535852</v>
      </c>
      <c r="AG324" s="477">
        <f t="shared" ca="1" si="113"/>
        <v>1939630.3311895849</v>
      </c>
      <c r="AH324" s="477">
        <f ca="1">SUM(AH325:AH326)</f>
        <v>2007561.7549255849</v>
      </c>
      <c r="AI324" s="477"/>
      <c r="AM324" s="535"/>
      <c r="AO324" s="283"/>
      <c r="AP324" s="71"/>
      <c r="AQ324" s="283"/>
      <c r="AR324" s="71"/>
      <c r="AS324" s="283"/>
      <c r="AV324" s="724"/>
      <c r="AW324" s="724"/>
    </row>
    <row r="325" spans="1:49" s="62" customFormat="1" x14ac:dyDescent="0.2">
      <c r="A325" s="474" t="s">
        <v>261</v>
      </c>
      <c r="B325" s="475">
        <f ca="1">'Naudas plusma'!B29</f>
        <v>37041.337899999984</v>
      </c>
      <c r="C325" s="475">
        <f ca="1">'Naudas plusma'!C29</f>
        <v>57923.383828000049</v>
      </c>
      <c r="D325" s="475">
        <f ca="1">'Naudas plusma'!D29</f>
        <v>72478.847439155914</v>
      </c>
      <c r="E325" s="475">
        <f ca="1">'Naudas plusma'!E29</f>
        <v>99224.029763585655</v>
      </c>
      <c r="F325" s="463">
        <f ca="1">'Naudas plusma'!F29</f>
        <v>132188.0153485857</v>
      </c>
      <c r="G325" s="475">
        <f ca="1">'Naudas plusma'!G29</f>
        <v>165459.85619158557</v>
      </c>
      <c r="H325" s="475">
        <f ca="1">'Naudas plusma'!H29</f>
        <v>202746.1207425856</v>
      </c>
      <c r="I325" s="475">
        <f ca="1">'Naudas plusma'!I29</f>
        <v>241433.21595158559</v>
      </c>
      <c r="J325" s="475">
        <f ca="1">'Naudas plusma'!J29</f>
        <v>283000.68421858549</v>
      </c>
      <c r="K325" s="475">
        <f ca="1">'Naudas plusma'!K29</f>
        <v>325714.00714358554</v>
      </c>
      <c r="L325" s="475">
        <f ca="1">'Naudas plusma'!L29</f>
        <v>367704.26152658538</v>
      </c>
      <c r="M325" s="475">
        <f ca="1">'Naudas plusma'!M29</f>
        <v>414443.8121675853</v>
      </c>
      <c r="N325" s="475">
        <f ca="1">'Naudas plusma'!N29</f>
        <v>461211.91786658531</v>
      </c>
      <c r="O325" s="475">
        <f ca="1">'Naudas plusma'!O29</f>
        <v>507251.3194235852</v>
      </c>
      <c r="P325" s="475">
        <f ca="1">'Naudas plusma'!P29</f>
        <v>543015.12716758531</v>
      </c>
      <c r="Q325" s="475">
        <f ca="1">'Naudas plusma'!Q29</f>
        <v>572010.16149858525</v>
      </c>
      <c r="R325" s="475">
        <f ca="1">'Naudas plusma'!R29</f>
        <v>600037.40071658534</v>
      </c>
      <c r="S325" s="475">
        <f ca="1">'Naudas plusma'!S29</f>
        <v>628985.23597158538</v>
      </c>
      <c r="T325" s="475">
        <f ca="1">'Naudas plusma'!T29</f>
        <v>657841.56926358549</v>
      </c>
      <c r="U325" s="475">
        <f ca="1">'Naudas plusma'!U29</f>
        <v>699689.33379258541</v>
      </c>
      <c r="V325" s="475">
        <f ca="1">'Naudas plusma'!V29</f>
        <v>741445.5963585854</v>
      </c>
      <c r="W325" s="475">
        <f ca="1">'Naudas plusma'!W29</f>
        <v>783246.16181158542</v>
      </c>
      <c r="X325" s="475">
        <f ca="1">'Naudas plusma'!X29</f>
        <v>824955.22530158539</v>
      </c>
      <c r="Y325" s="475">
        <f ca="1">'Naudas plusma'!Y29</f>
        <v>866708.59167858539</v>
      </c>
      <c r="Z325" s="475">
        <f ca="1">'Naudas plusma'!Z29</f>
        <v>909382.55409258546</v>
      </c>
      <c r="AA325" s="475">
        <f ca="1">'Naudas plusma'!AA29</f>
        <v>951088.72139358555</v>
      </c>
      <c r="AB325" s="475">
        <f ca="1">'Naudas plusma'!AB29</f>
        <v>993715.48473158549</v>
      </c>
      <c r="AC325" s="475">
        <f ca="1">'Naudas plusma'!AC29</f>
        <v>1036386.5509565856</v>
      </c>
      <c r="AD325" s="475">
        <f ca="1">'Naudas plusma'!AD29</f>
        <v>1078089.8220685855</v>
      </c>
      <c r="AE325" s="475">
        <f ca="1">'Naudas plusma'!AE29</f>
        <v>1119615.8575675855</v>
      </c>
      <c r="AF325" s="475">
        <f ca="1">'Naudas plusma'!AF29</f>
        <v>1162086.7554535852</v>
      </c>
      <c r="AG325" s="475">
        <f ca="1">'Naudas plusma'!AG29</f>
        <v>1203973.5553395851</v>
      </c>
      <c r="AH325" s="475">
        <f ca="1">'Naudas plusma'!AH29</f>
        <v>1247164.648375585</v>
      </c>
      <c r="AI325" s="475"/>
      <c r="AM325" s="535"/>
      <c r="AO325" s="283"/>
      <c r="AP325" s="71"/>
      <c r="AQ325" s="283"/>
      <c r="AR325" s="71"/>
      <c r="AS325" s="283"/>
      <c r="AV325" s="724"/>
      <c r="AW325" s="724"/>
    </row>
    <row r="326" spans="1:49" s="62" customFormat="1" x14ac:dyDescent="0.2">
      <c r="A326" s="474" t="s">
        <v>262</v>
      </c>
      <c r="B326" s="475">
        <f>'Saimnieciskas pamatdarbibas NP'!B74*'Datu ievade'!E319</f>
        <v>20725.375</v>
      </c>
      <c r="C326" s="475">
        <f>'Saimnieciskas pamatdarbibas NP'!C74*'Datu ievade'!C319+B326</f>
        <v>29052.994750000002</v>
      </c>
      <c r="D326" s="475">
        <f>'Saimnieciskas pamatdarbibas NP'!D74*'Datu ievade'!D319+C326</f>
        <v>51672.425374999999</v>
      </c>
      <c r="E326" s="475">
        <f ca="1">'Saimnieciskas pamatdarbibas NP'!E74*'Datu ievade'!E319+D326</f>
        <v>76092.237250000006</v>
      </c>
      <c r="F326" s="475">
        <f ca="1">'Saimnieciskas pamatdarbibas NP'!F74*'Datu ievade'!F319+E326</f>
        <v>101849.1015</v>
      </c>
      <c r="G326" s="475">
        <f ca="1">'Saimnieciskas pamatdarbibas NP'!G74*'Datu ievade'!G319+F326</f>
        <v>128047.49475</v>
      </c>
      <c r="H326" s="475">
        <f ca="1">'Saimnieciskas pamatdarbibas NP'!H74*'Datu ievade'!H319+G326</f>
        <v>154868.09599999999</v>
      </c>
      <c r="I326" s="475">
        <f ca="1">'Saimnieciskas pamatdarbibas NP'!I74*'Datu ievade'!I319+H326</f>
        <v>182279.73599999998</v>
      </c>
      <c r="J326" s="475">
        <f ca="1">'Saimnieciskas pamatdarbibas NP'!J74*'Datu ievade'!J319+I326</f>
        <v>210268.41424999997</v>
      </c>
      <c r="K326" s="475">
        <f ca="1">'Saimnieciskas pamatdarbibas NP'!K74*'Datu ievade'!K319+J326</f>
        <v>233048.71584999998</v>
      </c>
      <c r="L326" s="475">
        <f ca="1">'Saimnieciskas pamatdarbibas NP'!L74*'Datu ievade'!L319+K326</f>
        <v>256140.50464999999</v>
      </c>
      <c r="M326" s="475">
        <f ca="1">'Saimnieciskas pamatdarbibas NP'!M74*'Datu ievade'!M319+L326</f>
        <v>279771.79584999999</v>
      </c>
      <c r="N326" s="475">
        <f ca="1">'Saimnieciskas pamatdarbibas NP'!N74*'Datu ievade'!N319+M326</f>
        <v>303870.31784999999</v>
      </c>
      <c r="O326" s="475">
        <f ca="1">'Saimnieciskas pamatdarbibas NP'!O74*'Datu ievade'!O319+N326</f>
        <v>328399.93485000002</v>
      </c>
      <c r="P326" s="475">
        <f ca="1">'Saimnieciskas pamatdarbibas NP'!P74*'Datu ievade'!P319+O326</f>
        <v>352760.07325000002</v>
      </c>
      <c r="Q326" s="475">
        <f ca="1">'Saimnieciskas pamatdarbibas NP'!Q74*'Datu ievade'!Q319+P326</f>
        <v>377348.22685000004</v>
      </c>
      <c r="R326" s="475">
        <f ca="1">'Saimnieciskas pamatdarbibas NP'!R74*'Datu ievade'!R319+Q326</f>
        <v>402403.61125000002</v>
      </c>
      <c r="S326" s="475">
        <f ca="1">'Saimnieciskas pamatdarbibas NP'!S74*'Datu ievade'!S319+R326</f>
        <v>421603.97649999999</v>
      </c>
      <c r="T326" s="475">
        <f ca="1">'Saimnieciskas pamatdarbibas NP'!T74*'Datu ievade'!T319+S326</f>
        <v>441181.86670000001</v>
      </c>
      <c r="U326" s="475">
        <f ca="1">'Saimnieciskas pamatdarbibas NP'!U74*'Datu ievade'!U319+T326</f>
        <v>461541.90865</v>
      </c>
      <c r="V326" s="475">
        <f ca="1">'Saimnieciskas pamatdarbibas NP'!V74*'Datu ievade'!V319+U326</f>
        <v>482279.47554999997</v>
      </c>
      <c r="W326" s="475">
        <f ca="1">'Saimnieciskas pamatdarbibas NP'!W74*'Datu ievade'!W319+V326</f>
        <v>503398.76754999999</v>
      </c>
      <c r="X326" s="475">
        <f ca="1">'Saimnieciskas pamatdarbibas NP'!X74*'Datu ievade'!X319+W326</f>
        <v>524895.5845</v>
      </c>
      <c r="Y326" s="475">
        <f ca="1">'Saimnieciskas pamatdarbibas NP'!Y74*'Datu ievade'!Y319+X326</f>
        <v>546774.12655000004</v>
      </c>
      <c r="Z326" s="475">
        <f ca="1">'Saimnieciskas pamatdarbibas NP'!Z74*'Datu ievade'!Z319+Y326</f>
        <v>569061.49554999999</v>
      </c>
      <c r="AA326" s="475">
        <f ca="1">'Saimnieciskas pamatdarbibas NP'!AA74*'Datu ievade'!AA319+Z326</f>
        <v>591699.28764999995</v>
      </c>
      <c r="AB326" s="475">
        <f ca="1">'Saimnieciskas pamatdarbibas NP'!AB74*'Datu ievade'!AB319+AA326</f>
        <v>614745.90669999993</v>
      </c>
      <c r="AC326" s="475">
        <f ca="1">'Saimnieciskas pamatdarbibas NP'!AC74*'Datu ievade'!AC319+AB326</f>
        <v>638174.25084999995</v>
      </c>
      <c r="AD326" s="475">
        <f ca="1">'Saimnieciskas pamatdarbibas NP'!AD74*'Datu ievade'!AD319+AC326</f>
        <v>661953.01809999999</v>
      </c>
      <c r="AE326" s="475">
        <f ca="1">'Saimnieciskas pamatdarbibas NP'!AE74*'Datu ievade'!AE319+AD326</f>
        <v>686199.01615000004</v>
      </c>
      <c r="AF326" s="475">
        <f ca="1">'Saimnieciskas pamatdarbibas NP'!AF74*'Datu ievade'!AF319+AE326</f>
        <v>710943.54700000002</v>
      </c>
      <c r="AG326" s="475">
        <f ca="1">'Saimnieciskas pamatdarbibas NP'!AG74*'Datu ievade'!AG319+AF326</f>
        <v>735656.77584999998</v>
      </c>
      <c r="AH326" s="475">
        <f ca="1">'Saimnieciskas pamatdarbibas NP'!AH74*'Datu ievade'!AH319+AG326</f>
        <v>760397.10655000003</v>
      </c>
      <c r="AI326" s="475"/>
      <c r="AM326" s="535"/>
      <c r="AO326" s="283"/>
      <c r="AP326" s="71"/>
      <c r="AQ326" s="283"/>
      <c r="AR326" s="71"/>
      <c r="AS326" s="283"/>
      <c r="AV326" s="724"/>
      <c r="AW326" s="724"/>
    </row>
    <row r="327" spans="1:49" s="62" customFormat="1" x14ac:dyDescent="0.2">
      <c r="A327" s="476" t="s">
        <v>263</v>
      </c>
      <c r="B327" s="477">
        <f t="shared" ref="B327:AG327" ca="1" si="114">B320+B324</f>
        <v>1165334.7128999999</v>
      </c>
      <c r="C327" s="477">
        <f t="shared" ca="1" si="114"/>
        <v>1166112.378578</v>
      </c>
      <c r="D327" s="477">
        <f t="shared" ca="1" si="114"/>
        <v>1721314.272814156</v>
      </c>
      <c r="E327" s="477">
        <f t="shared" ca="1" si="114"/>
        <v>2826247.2670135857</v>
      </c>
      <c r="F327" s="465">
        <f t="shared" ca="1" si="114"/>
        <v>2769643.1168485857</v>
      </c>
      <c r="G327" s="477">
        <f t="shared" ca="1" si="114"/>
        <v>2713786.3509415854</v>
      </c>
      <c r="H327" s="477">
        <f ca="1">H320+H324</f>
        <v>2662568.2167425854</v>
      </c>
      <c r="I327" s="477">
        <f ca="1">I320+I324</f>
        <v>2613339.9519515857</v>
      </c>
      <c r="J327" s="477">
        <f ca="1">J320+J324</f>
        <v>2567571.0984685854</v>
      </c>
      <c r="K327" s="477">
        <f ca="1">K320+K324</f>
        <v>2517738.7229935853</v>
      </c>
      <c r="L327" s="477">
        <f t="shared" ca="1" si="114"/>
        <v>2467494.7661765851</v>
      </c>
      <c r="M327" s="477">
        <f t="shared" ca="1" si="114"/>
        <v>2422539.6080175852</v>
      </c>
      <c r="N327" s="477">
        <f t="shared" ca="1" si="114"/>
        <v>2378080.2357165851</v>
      </c>
      <c r="O327" s="477">
        <f t="shared" ca="1" si="114"/>
        <v>2333323.254273585</v>
      </c>
      <c r="P327" s="477">
        <f t="shared" ca="1" si="114"/>
        <v>2346022.2004175852</v>
      </c>
      <c r="Q327" s="477">
        <f t="shared" ca="1" si="114"/>
        <v>2360292.388348585</v>
      </c>
      <c r="R327" s="477">
        <f t="shared" ca="1" si="114"/>
        <v>2374082.0119665852</v>
      </c>
      <c r="S327" s="477">
        <f t="shared" ca="1" si="114"/>
        <v>2382937.2124715853</v>
      </c>
      <c r="T327" s="477">
        <f t="shared" ca="1" si="114"/>
        <v>2392078.4359635855</v>
      </c>
      <c r="U327" s="477">
        <f t="shared" ca="1" si="114"/>
        <v>2414993.2424425855</v>
      </c>
      <c r="V327" s="477">
        <f t="shared" ca="1" si="114"/>
        <v>2438194.0719085853</v>
      </c>
      <c r="W327" s="477">
        <f t="shared" ca="1" si="114"/>
        <v>2461820.9293615855</v>
      </c>
      <c r="X327" s="477">
        <f t="shared" ca="1" si="114"/>
        <v>2485733.8098015855</v>
      </c>
      <c r="Y327" s="477">
        <f t="shared" ca="1" si="114"/>
        <v>2510072.7182285856</v>
      </c>
      <c r="Z327" s="477">
        <f t="shared" ca="1" si="114"/>
        <v>2535741.0496425852</v>
      </c>
      <c r="AA327" s="477">
        <f t="shared" ca="1" si="114"/>
        <v>2560792.0090435855</v>
      </c>
      <c r="AB327" s="477">
        <f t="shared" ca="1" si="114"/>
        <v>2587172.3914315854</v>
      </c>
      <c r="AC327" s="477">
        <f t="shared" ca="1" si="114"/>
        <v>2613978.8018065854</v>
      </c>
      <c r="AD327" s="477">
        <f t="shared" ca="1" si="114"/>
        <v>2640167.8401685855</v>
      </c>
      <c r="AE327" s="477">
        <f t="shared" ca="1" si="114"/>
        <v>2666646.8737175856</v>
      </c>
      <c r="AF327" s="477">
        <f t="shared" ca="1" si="114"/>
        <v>2694569.302453585</v>
      </c>
      <c r="AG327" s="477">
        <f t="shared" ca="1" si="114"/>
        <v>2721876.3311895849</v>
      </c>
      <c r="AH327" s="477">
        <f ca="1">AH320+AH324</f>
        <v>2750514.7549255849</v>
      </c>
      <c r="AI327" s="477"/>
      <c r="AM327" s="535"/>
      <c r="AO327" s="283"/>
      <c r="AP327" s="71"/>
      <c r="AQ327" s="283"/>
      <c r="AR327" s="71"/>
      <c r="AS327" s="283"/>
      <c r="AV327" s="724"/>
      <c r="AW327" s="724"/>
    </row>
    <row r="328" spans="1:49" s="62" customFormat="1" x14ac:dyDescent="0.2">
      <c r="A328" s="476" t="s">
        <v>264</v>
      </c>
      <c r="B328" s="477"/>
      <c r="C328" s="477"/>
      <c r="D328" s="477"/>
      <c r="E328" s="477"/>
      <c r="F328" s="465"/>
      <c r="G328" s="477"/>
      <c r="H328" s="477"/>
      <c r="I328" s="477"/>
      <c r="J328" s="477"/>
      <c r="K328" s="477"/>
      <c r="L328" s="477"/>
      <c r="M328" s="477"/>
      <c r="N328" s="477"/>
      <c r="O328" s="477"/>
      <c r="P328" s="477"/>
      <c r="Q328" s="477"/>
      <c r="R328" s="477"/>
      <c r="S328" s="477"/>
      <c r="T328" s="477"/>
      <c r="U328" s="477"/>
      <c r="V328" s="477"/>
      <c r="W328" s="477"/>
      <c r="X328" s="477"/>
      <c r="Y328" s="477"/>
      <c r="Z328" s="477"/>
      <c r="AA328" s="477"/>
      <c r="AB328" s="477"/>
      <c r="AC328" s="477"/>
      <c r="AD328" s="477"/>
      <c r="AE328" s="477"/>
      <c r="AF328" s="477"/>
      <c r="AG328" s="477"/>
      <c r="AH328" s="477"/>
      <c r="AI328" s="477"/>
      <c r="AM328" s="535"/>
      <c r="AO328" s="283"/>
      <c r="AP328" s="71"/>
      <c r="AQ328" s="283"/>
      <c r="AR328" s="71"/>
      <c r="AS328" s="283"/>
      <c r="AV328" s="724"/>
      <c r="AW328" s="724"/>
    </row>
    <row r="329" spans="1:49" s="62" customFormat="1" x14ac:dyDescent="0.2">
      <c r="A329" s="476" t="s">
        <v>265</v>
      </c>
      <c r="B329" s="477">
        <f t="shared" ref="B329:AG329" ca="1" si="115">SUM(B330:B331)</f>
        <v>1165334.7128999999</v>
      </c>
      <c r="C329" s="477">
        <f t="shared" ca="1" si="115"/>
        <v>1455064.3282030001</v>
      </c>
      <c r="D329" s="477">
        <f t="shared" ca="1" si="115"/>
        <v>2043129.9448930002</v>
      </c>
      <c r="E329" s="477">
        <f t="shared" ca="1" si="115"/>
        <v>2059691.8429700001</v>
      </c>
      <c r="F329" s="465">
        <f t="shared" ca="1" si="115"/>
        <v>2043959.2782086234</v>
      </c>
      <c r="G329" s="477">
        <f t="shared" ca="1" si="115"/>
        <v>2028977.0977052464</v>
      </c>
      <c r="H329" s="477">
        <f ca="1">SUM(H330:H331)</f>
        <v>2018928.4286598698</v>
      </c>
      <c r="I329" s="477">
        <f ca="1">SUM(I330:I331)</f>
        <v>2010850.4212724932</v>
      </c>
      <c r="J329" s="477">
        <f ca="1">SUM(J330:J331)</f>
        <v>2006243.4175431163</v>
      </c>
      <c r="K329" s="477">
        <f ca="1">SUM(K330:K331)</f>
        <v>1997285.6274717397</v>
      </c>
      <c r="L329" s="477">
        <f t="shared" ca="1" si="115"/>
        <v>1987913.2560583628</v>
      </c>
      <c r="M329" s="477">
        <f t="shared" ca="1" si="115"/>
        <v>1983832.683302986</v>
      </c>
      <c r="N329" s="477">
        <f t="shared" ca="1" si="115"/>
        <v>1980246.8964056093</v>
      </c>
      <c r="O329" s="477">
        <f t="shared" ca="1" si="115"/>
        <v>1976363.5003662324</v>
      </c>
      <c r="P329" s="477">
        <f t="shared" ca="1" si="115"/>
        <v>1998532.4119754962</v>
      </c>
      <c r="Q329" s="477">
        <f t="shared" ca="1" si="115"/>
        <v>2022293.5615717599</v>
      </c>
      <c r="R329" s="477">
        <f t="shared" ca="1" si="115"/>
        <v>2045573.3391550237</v>
      </c>
      <c r="S329" s="477">
        <f t="shared" ca="1" si="115"/>
        <v>2063363.5397252874</v>
      </c>
      <c r="T329" s="477">
        <f t="shared" ca="1" si="115"/>
        <v>2081438.7632825514</v>
      </c>
      <c r="U329" s="477">
        <f t="shared" ca="1" si="115"/>
        <v>2113287.5698268148</v>
      </c>
      <c r="V329" s="477">
        <f t="shared" ca="1" si="115"/>
        <v>2145422.3993580788</v>
      </c>
      <c r="W329" s="477">
        <f t="shared" ca="1" si="115"/>
        <v>2177983.2568763425</v>
      </c>
      <c r="X329" s="477">
        <f t="shared" ca="1" si="115"/>
        <v>2210830.1373816058</v>
      </c>
      <c r="Y329" s="477">
        <f t="shared" ca="1" si="115"/>
        <v>2244103.0458738697</v>
      </c>
      <c r="Z329" s="477">
        <f t="shared" ca="1" si="115"/>
        <v>2278705.3773531336</v>
      </c>
      <c r="AA329" s="477">
        <f t="shared" ca="1" si="115"/>
        <v>2312690.3368193973</v>
      </c>
      <c r="AB329" s="477">
        <f t="shared" ca="1" si="115"/>
        <v>2348004.719272661</v>
      </c>
      <c r="AC329" s="477">
        <f t="shared" ca="1" si="115"/>
        <v>2383745.1297129248</v>
      </c>
      <c r="AD329" s="477">
        <f t="shared" ca="1" si="115"/>
        <v>2418868.1681401883</v>
      </c>
      <c r="AE329" s="477">
        <f t="shared" ca="1" si="115"/>
        <v>2454281.2017544522</v>
      </c>
      <c r="AF329" s="477">
        <f t="shared" ca="1" si="115"/>
        <v>2491137.6305557154</v>
      </c>
      <c r="AG329" s="477">
        <f t="shared" ca="1" si="115"/>
        <v>2527378.6593569792</v>
      </c>
      <c r="AH329" s="477">
        <f ca="1">SUM(AH330:AH331)</f>
        <v>2564951.0831582425</v>
      </c>
      <c r="AI329" s="477"/>
      <c r="AM329" s="535"/>
      <c r="AO329" s="283"/>
      <c r="AP329" s="71"/>
      <c r="AQ329" s="283"/>
      <c r="AR329" s="71"/>
      <c r="AS329" s="283"/>
      <c r="AV329" s="724"/>
      <c r="AW329" s="724"/>
    </row>
    <row r="330" spans="1:49" s="62" customFormat="1" x14ac:dyDescent="0.2">
      <c r="A330" s="474" t="s">
        <v>266</v>
      </c>
      <c r="B330" s="475">
        <f ca="1">'Datu ievade'!E322+'Saimnieciskas pamatdarbibas NP'!B117</f>
        <v>1136000</v>
      </c>
      <c r="C330" s="475">
        <f ca="1">'Datu ievade'!F322+B330+'Saimnieciskas pamatdarbibas NP'!C117</f>
        <v>1412460.52</v>
      </c>
      <c r="D330" s="475">
        <f ca="1">'Datu ievade'!G322+C330+'Saimnieciskas pamatdarbibas NP'!D117</f>
        <v>1985611.1400000001</v>
      </c>
      <c r="E330" s="475">
        <f ca="1">'Datu ievade'!H322+D330+'Saimnieciskas pamatdarbibas NP'!E117</f>
        <v>1985612.1400000001</v>
      </c>
      <c r="F330" s="475">
        <f ca="1">'Datu ievade'!I322+E330+'Saimnieciskas pamatdarbibas NP'!F117</f>
        <v>1985611.1400000001</v>
      </c>
      <c r="G330" s="475">
        <f ca="1">'Datu ievade'!J322+F330+'Saimnieciskas pamatdarbibas NP'!G117</f>
        <v>1985611.1400000001</v>
      </c>
      <c r="H330" s="475">
        <f ca="1">'Datu ievade'!K322+G330+'Saimnieciskas pamatdarbibas NP'!H117</f>
        <v>1991272.1400000001</v>
      </c>
      <c r="I330" s="475">
        <f ca="1">'Datu ievade'!L322+H330+'Saimnieciskas pamatdarbibas NP'!I117</f>
        <v>1997030.1400000001</v>
      </c>
      <c r="J330" s="475">
        <f ca="1">'Datu ievade'!M322+I330+'Saimnieciskas pamatdarbibas NP'!J117</f>
        <v>2002917.1400000001</v>
      </c>
      <c r="K330" s="475">
        <f ca="1">'Datu ievade'!N322+J330+'Saimnieciskas pamatdarbibas NP'!K117</f>
        <v>2002918.1400000001</v>
      </c>
      <c r="L330" s="475">
        <f ca="1">'Datu ievade'!O322+K330+'Saimnieciskas pamatdarbibas NP'!L117</f>
        <v>2002916.1400000001</v>
      </c>
      <c r="M330" s="475">
        <f ca="1">'Datu ievade'!P322+L330+'Saimnieciskas pamatdarbibas NP'!M117</f>
        <v>2002917.1400000001</v>
      </c>
      <c r="N330" s="475">
        <f ca="1">'Datu ievade'!Q322+M330+'Saimnieciskas pamatdarbibas NP'!N117</f>
        <v>2002917.1400000001</v>
      </c>
      <c r="O330" s="475">
        <f ca="1">'Datu ievade'!R322+N330+'Saimnieciskas pamatdarbibas NP'!O117</f>
        <v>2002917.1400000001</v>
      </c>
      <c r="P330" s="475">
        <f ca="1">'Datu ievade'!S322+O330+'Saimnieciskas pamatdarbibas NP'!P117</f>
        <v>2009543.1400000001</v>
      </c>
      <c r="Q330" s="475">
        <f ca="1">'Datu ievade'!T322+P330+'Saimnieciskas pamatdarbibas NP'!Q117</f>
        <v>2016247.1400000001</v>
      </c>
      <c r="R330" s="475">
        <f ca="1">'Datu ievade'!U322+Q330+'Saimnieciskas pamatdarbibas NP'!R117</f>
        <v>2023067.1400000001</v>
      </c>
      <c r="S330" s="475">
        <f ca="1">'Datu ievade'!V322+R330+'Saimnieciskas pamatdarbibas NP'!S117</f>
        <v>2023068.1400000001</v>
      </c>
      <c r="T330" s="475">
        <f ca="1">'Datu ievade'!W322+S330+'Saimnieciskas pamatdarbibas NP'!T117</f>
        <v>2023068.1400000001</v>
      </c>
      <c r="U330" s="475">
        <f ca="1">'Datu ievade'!X322+T330+'Saimnieciskas pamatdarbibas NP'!U117</f>
        <v>2023068.1400000001</v>
      </c>
      <c r="V330" s="475">
        <f ca="1">'Datu ievade'!Y322+U330+'Saimnieciskas pamatdarbibas NP'!V117</f>
        <v>2023068.1400000001</v>
      </c>
      <c r="W330" s="475">
        <f ca="1">'Datu ievade'!Z322+V330+'Saimnieciskas pamatdarbibas NP'!W117</f>
        <v>2023068.1400000001</v>
      </c>
      <c r="X330" s="475">
        <f ca="1">'Datu ievade'!AA322+W330+'Saimnieciskas pamatdarbibas NP'!X117</f>
        <v>2023068.1400000001</v>
      </c>
      <c r="Y330" s="475">
        <f ca="1">'Datu ievade'!AB322+X330+'Saimnieciskas pamatdarbibas NP'!Y117</f>
        <v>2023068.1400000001</v>
      </c>
      <c r="Z330" s="475">
        <f ca="1">'Datu ievade'!AC322+Y330+'Saimnieciskas pamatdarbibas NP'!Z117</f>
        <v>2023068.1400000001</v>
      </c>
      <c r="AA330" s="475">
        <f ca="1">'Datu ievade'!AD322+Z330+'Saimnieciskas pamatdarbibas NP'!AA117</f>
        <v>2023068.1400000001</v>
      </c>
      <c r="AB330" s="475">
        <f ca="1">'Datu ievade'!AE322+AA330+'Saimnieciskas pamatdarbibas NP'!AB117</f>
        <v>2023068.1400000001</v>
      </c>
      <c r="AC330" s="475">
        <f ca="1">'Datu ievade'!AF322+AB330+'Saimnieciskas pamatdarbibas NP'!AC117</f>
        <v>2023068.1400000001</v>
      </c>
      <c r="AD330" s="475">
        <f ca="1">'Datu ievade'!AG322+AC330+'Saimnieciskas pamatdarbibas NP'!AD117</f>
        <v>2023068.1400000001</v>
      </c>
      <c r="AE330" s="475">
        <f ca="1">'Datu ievade'!AH322+AD330+'Saimnieciskas pamatdarbibas NP'!AE117</f>
        <v>2023068.1400000001</v>
      </c>
      <c r="AF330" s="475">
        <f ca="1">'Datu ievade'!AI322+AE330+'Saimnieciskas pamatdarbibas NP'!AF117</f>
        <v>2023068.1400000001</v>
      </c>
      <c r="AG330" s="475">
        <f ca="1">'Datu ievade'!AJ322+AF330+'Saimnieciskas pamatdarbibas NP'!AG117</f>
        <v>2023068.1400000001</v>
      </c>
      <c r="AH330" s="475">
        <f ca="1">'Datu ievade'!AK322+AG330+'Saimnieciskas pamatdarbibas NP'!AH117</f>
        <v>2023068.1400000001</v>
      </c>
      <c r="AI330" s="475"/>
      <c r="AM330" s="535"/>
      <c r="AO330" s="283"/>
      <c r="AP330" s="71"/>
      <c r="AQ330" s="283"/>
      <c r="AR330" s="71"/>
      <c r="AS330" s="283"/>
      <c r="AV330" s="724"/>
      <c r="AW330" s="724"/>
    </row>
    <row r="331" spans="1:49" s="62" customFormat="1" x14ac:dyDescent="0.2">
      <c r="A331" s="474" t="s">
        <v>267</v>
      </c>
      <c r="B331" s="475">
        <f ca="1">B332+B333</f>
        <v>29334.712899999984</v>
      </c>
      <c r="C331" s="475">
        <f ca="1">C332+C333</f>
        <v>42603.808203000051</v>
      </c>
      <c r="D331" s="475">
        <f t="shared" ref="D331:AH331" ca="1" si="116">D332+D333</f>
        <v>57518.804892999993</v>
      </c>
      <c r="E331" s="475">
        <f t="shared" ca="1" si="116"/>
        <v>74079.702969999926</v>
      </c>
      <c r="F331" s="475">
        <f t="shared" ca="1" si="116"/>
        <v>58348.138208623248</v>
      </c>
      <c r="G331" s="475">
        <f t="shared" ca="1" si="116"/>
        <v>43365.957705246401</v>
      </c>
      <c r="H331" s="475">
        <f ca="1">H332+H333</f>
        <v>27656.288659869722</v>
      </c>
      <c r="I331" s="475">
        <f ca="1">I332+I333</f>
        <v>13820.281272493012</v>
      </c>
      <c r="J331" s="475">
        <f ca="1">J332+J333</f>
        <v>3326.2775431162154</v>
      </c>
      <c r="K331" s="475">
        <f ca="1">K332+K333</f>
        <v>-5632.5125282604713</v>
      </c>
      <c r="L331" s="475">
        <f t="shared" ca="1" si="116"/>
        <v>-15002.883941637323</v>
      </c>
      <c r="M331" s="475">
        <f t="shared" ca="1" si="116"/>
        <v>-19084.456697014102</v>
      </c>
      <c r="N331" s="475">
        <f t="shared" ca="1" si="116"/>
        <v>-22670.243594390835</v>
      </c>
      <c r="O331" s="475">
        <f t="shared" ca="1" si="116"/>
        <v>-26553.639633767656</v>
      </c>
      <c r="P331" s="475">
        <f t="shared" ca="1" si="116"/>
        <v>-11010.728024503915</v>
      </c>
      <c r="Q331" s="475">
        <f t="shared" ca="1" si="116"/>
        <v>6046.4215717597399</v>
      </c>
      <c r="R331" s="475">
        <f t="shared" ca="1" si="116"/>
        <v>22506.199155023554</v>
      </c>
      <c r="S331" s="475">
        <f t="shared" ca="1" si="116"/>
        <v>40295.399725287338</v>
      </c>
      <c r="T331" s="475">
        <f t="shared" ca="1" si="116"/>
        <v>58370.623282551183</v>
      </c>
      <c r="U331" s="475">
        <f t="shared" ca="1" si="116"/>
        <v>90219.429826814798</v>
      </c>
      <c r="V331" s="475">
        <f t="shared" ca="1" si="116"/>
        <v>122354.25935807847</v>
      </c>
      <c r="W331" s="475">
        <f t="shared" ca="1" si="116"/>
        <v>154915.11687634222</v>
      </c>
      <c r="X331" s="475">
        <f t="shared" ca="1" si="116"/>
        <v>187761.99738160591</v>
      </c>
      <c r="Y331" s="475">
        <f t="shared" ca="1" si="116"/>
        <v>221034.90587386966</v>
      </c>
      <c r="Z331" s="475">
        <f t="shared" ca="1" si="116"/>
        <v>255637.23735313339</v>
      </c>
      <c r="AA331" s="475">
        <f t="shared" ca="1" si="116"/>
        <v>289622.19681939716</v>
      </c>
      <c r="AB331" s="475">
        <f t="shared" ca="1" si="116"/>
        <v>324936.57927266078</v>
      </c>
      <c r="AC331" s="475">
        <f t="shared" ca="1" si="116"/>
        <v>360676.98971292458</v>
      </c>
      <c r="AD331" s="475">
        <f t="shared" ca="1" si="116"/>
        <v>395800.02814018831</v>
      </c>
      <c r="AE331" s="475">
        <f t="shared" ca="1" si="116"/>
        <v>431213.06175445206</v>
      </c>
      <c r="AF331" s="475">
        <f t="shared" ca="1" si="116"/>
        <v>468069.49055571551</v>
      </c>
      <c r="AG331" s="475">
        <f t="shared" ca="1" si="116"/>
        <v>504310.51935697906</v>
      </c>
      <c r="AH331" s="475">
        <f t="shared" ca="1" si="116"/>
        <v>541882.94315824262</v>
      </c>
      <c r="AI331" s="475"/>
      <c r="AM331" s="535"/>
      <c r="AO331" s="283"/>
      <c r="AP331" s="71"/>
      <c r="AQ331" s="283"/>
      <c r="AR331" s="71"/>
      <c r="AS331" s="283"/>
      <c r="AV331" s="724"/>
      <c r="AW331" s="724"/>
    </row>
    <row r="332" spans="1:49" s="62" customFormat="1" x14ac:dyDescent="0.2">
      <c r="A332" s="533" t="s">
        <v>268</v>
      </c>
      <c r="B332" s="475">
        <f ca="1">Aprekini!B313</f>
        <v>29334.712899999984</v>
      </c>
      <c r="C332" s="475">
        <f ca="1">Aprekini!C313</f>
        <v>13269.095303000067</v>
      </c>
      <c r="D332" s="475">
        <f ca="1">Aprekini!D313</f>
        <v>14914.996689999942</v>
      </c>
      <c r="E332" s="475">
        <f ca="1">Aprekini!E313</f>
        <v>16560.898076999933</v>
      </c>
      <c r="F332" s="463">
        <f ca="1">Aprekini!F313</f>
        <v>-15731.564761376678</v>
      </c>
      <c r="G332" s="475">
        <f ca="1">Aprekini!G313</f>
        <v>-14982.180503376847</v>
      </c>
      <c r="H332" s="475">
        <f ca="1">Aprekini!H313</f>
        <v>-15709.669045376679</v>
      </c>
      <c r="I332" s="475">
        <f ca="1">Aprekini!I313</f>
        <v>-13836.007387376711</v>
      </c>
      <c r="J332" s="475">
        <f ca="1">Aprekini!J313</f>
        <v>-10494.003729376796</v>
      </c>
      <c r="K332" s="475">
        <f ca="1">Aprekini!K313</f>
        <v>-8958.7900713766867</v>
      </c>
      <c r="L332" s="475">
        <f ca="1">Aprekini!L313</f>
        <v>-9370.3714133768517</v>
      </c>
      <c r="M332" s="475">
        <f ca="1">Aprekini!M313</f>
        <v>-4081.5727553767792</v>
      </c>
      <c r="N332" s="475">
        <f ca="1">Aprekini!N313</f>
        <v>-3585.7868973767327</v>
      </c>
      <c r="O332" s="475">
        <f ca="1">Aprekini!O313</f>
        <v>-3883.3960393768211</v>
      </c>
      <c r="P332" s="475">
        <f ca="1">Aprekini!P313</f>
        <v>15542.911609263741</v>
      </c>
      <c r="Q332" s="475">
        <f ca="1">Aprekini!Q313</f>
        <v>17057.149596263655</v>
      </c>
      <c r="R332" s="475">
        <f ca="1">Aprekini!R313</f>
        <v>16459.777583263814</v>
      </c>
      <c r="S332" s="475">
        <f ca="1">Aprekini!S313</f>
        <v>17789.200570263783</v>
      </c>
      <c r="T332" s="475">
        <f ca="1">Aprekini!T313</f>
        <v>18075.223557263846</v>
      </c>
      <c r="U332" s="475">
        <f ca="1">Aprekini!U313</f>
        <v>31848.806544263614</v>
      </c>
      <c r="V332" s="475">
        <f ca="1">Aprekini!V313</f>
        <v>32134.829531263676</v>
      </c>
      <c r="W332" s="475">
        <f ca="1">Aprekini!W313</f>
        <v>32560.857518263743</v>
      </c>
      <c r="X332" s="475">
        <f ca="1">Aprekini!X313</f>
        <v>32846.880505263689</v>
      </c>
      <c r="Y332" s="475">
        <f ca="1">Aprekini!Y313</f>
        <v>33272.908492263756</v>
      </c>
      <c r="Z332" s="475">
        <f ca="1">Aprekini!Z313</f>
        <v>34602.331479263725</v>
      </c>
      <c r="AA332" s="475">
        <f ca="1">Aprekini!AA313</f>
        <v>33984.959466263768</v>
      </c>
      <c r="AB332" s="475">
        <f ca="1">Aprekini!AB313</f>
        <v>35314.382453263621</v>
      </c>
      <c r="AC332" s="475">
        <f ca="1">Aprekini!AC313</f>
        <v>35740.410440263804</v>
      </c>
      <c r="AD332" s="475">
        <f ca="1">Aprekini!AD313</f>
        <v>35123.038427263731</v>
      </c>
      <c r="AE332" s="475">
        <f ca="1">Aprekini!AE313</f>
        <v>35413.033614263753</v>
      </c>
      <c r="AF332" s="475">
        <f ca="1">Aprekini!AF313</f>
        <v>36856.42880126345</v>
      </c>
      <c r="AG332" s="475">
        <f ca="1">Aprekini!AG313</f>
        <v>36241.028801263543</v>
      </c>
      <c r="AH332" s="475">
        <f ca="1">Aprekini!AH313</f>
        <v>37572.423801263561</v>
      </c>
      <c r="AI332" s="475"/>
      <c r="AM332" s="535"/>
      <c r="AO332" s="283"/>
      <c r="AP332" s="71"/>
      <c r="AQ332" s="283"/>
      <c r="AR332" s="71"/>
      <c r="AS332" s="283"/>
      <c r="AV332" s="724"/>
      <c r="AW332" s="724"/>
    </row>
    <row r="333" spans="1:49" s="62" customFormat="1" x14ac:dyDescent="0.2">
      <c r="A333" s="533" t="s">
        <v>269</v>
      </c>
      <c r="B333" s="475">
        <v>0</v>
      </c>
      <c r="C333" s="475">
        <f ca="1">B332+B333</f>
        <v>29334.712899999984</v>
      </c>
      <c r="D333" s="475">
        <f t="shared" ref="D333:AG333" ca="1" si="117">C333+C332</f>
        <v>42603.808203000051</v>
      </c>
      <c r="E333" s="475">
        <f t="shared" ca="1" si="117"/>
        <v>57518.804892999993</v>
      </c>
      <c r="F333" s="463">
        <f t="shared" ca="1" si="117"/>
        <v>74079.702969999926</v>
      </c>
      <c r="G333" s="475">
        <f t="shared" ca="1" si="117"/>
        <v>58348.138208623248</v>
      </c>
      <c r="H333" s="475">
        <f ca="1">G333+G332</f>
        <v>43365.957705246401</v>
      </c>
      <c r="I333" s="475">
        <f ca="1">H333+H332</f>
        <v>27656.288659869722</v>
      </c>
      <c r="J333" s="475">
        <f ca="1">I333+I332</f>
        <v>13820.281272493012</v>
      </c>
      <c r="K333" s="475">
        <f ca="1">J333+J332</f>
        <v>3326.2775431162154</v>
      </c>
      <c r="L333" s="475">
        <f t="shared" ca="1" si="117"/>
        <v>-5632.5125282604713</v>
      </c>
      <c r="M333" s="475">
        <f t="shared" ca="1" si="117"/>
        <v>-15002.883941637323</v>
      </c>
      <c r="N333" s="475">
        <f t="shared" ca="1" si="117"/>
        <v>-19084.456697014102</v>
      </c>
      <c r="O333" s="475">
        <f t="shared" ca="1" si="117"/>
        <v>-22670.243594390835</v>
      </c>
      <c r="P333" s="475">
        <f t="shared" ca="1" si="117"/>
        <v>-26553.639633767656</v>
      </c>
      <c r="Q333" s="475">
        <f t="shared" ca="1" si="117"/>
        <v>-11010.728024503915</v>
      </c>
      <c r="R333" s="475">
        <f t="shared" ca="1" si="117"/>
        <v>6046.4215717597399</v>
      </c>
      <c r="S333" s="475">
        <f t="shared" ca="1" si="117"/>
        <v>22506.199155023554</v>
      </c>
      <c r="T333" s="475">
        <f t="shared" ca="1" si="117"/>
        <v>40295.399725287338</v>
      </c>
      <c r="U333" s="475">
        <f t="shared" ca="1" si="117"/>
        <v>58370.623282551183</v>
      </c>
      <c r="V333" s="475">
        <f t="shared" ca="1" si="117"/>
        <v>90219.429826814798</v>
      </c>
      <c r="W333" s="475">
        <f t="shared" ca="1" si="117"/>
        <v>122354.25935807847</v>
      </c>
      <c r="X333" s="475">
        <f t="shared" ca="1" si="117"/>
        <v>154915.11687634222</v>
      </c>
      <c r="Y333" s="475">
        <f t="shared" ca="1" si="117"/>
        <v>187761.99738160591</v>
      </c>
      <c r="Z333" s="475">
        <f t="shared" ca="1" si="117"/>
        <v>221034.90587386966</v>
      </c>
      <c r="AA333" s="475">
        <f t="shared" ca="1" si="117"/>
        <v>255637.23735313339</v>
      </c>
      <c r="AB333" s="475">
        <f t="shared" ca="1" si="117"/>
        <v>289622.19681939716</v>
      </c>
      <c r="AC333" s="475">
        <f t="shared" ca="1" si="117"/>
        <v>324936.57927266078</v>
      </c>
      <c r="AD333" s="475">
        <f t="shared" ca="1" si="117"/>
        <v>360676.98971292458</v>
      </c>
      <c r="AE333" s="475">
        <f t="shared" ca="1" si="117"/>
        <v>395800.02814018831</v>
      </c>
      <c r="AF333" s="475">
        <f t="shared" ca="1" si="117"/>
        <v>431213.06175445206</v>
      </c>
      <c r="AG333" s="475">
        <f t="shared" ca="1" si="117"/>
        <v>468069.49055571551</v>
      </c>
      <c r="AH333" s="475">
        <f ca="1">AG333+AG332</f>
        <v>504310.51935697906</v>
      </c>
      <c r="AI333" s="475"/>
      <c r="AM333" s="535"/>
      <c r="AO333" s="730"/>
      <c r="AP333" s="731"/>
      <c r="AQ333" s="730"/>
      <c r="AR333" s="731"/>
      <c r="AS333" s="730"/>
      <c r="AT333" s="728"/>
      <c r="AU333" s="728"/>
      <c r="AV333" s="724"/>
      <c r="AW333" s="724"/>
    </row>
    <row r="334" spans="1:49" s="62" customFormat="1" x14ac:dyDescent="0.2">
      <c r="A334" s="476" t="s">
        <v>270</v>
      </c>
      <c r="B334" s="477">
        <f ca="1">Aprekini!B255+Aprekini!B263+B274+B335</f>
        <v>0</v>
      </c>
      <c r="C334" s="477">
        <f ca="1">Aprekini!C255+Aprekini!C263+C274+C335</f>
        <v>0</v>
      </c>
      <c r="D334" s="477">
        <f ca="1">Aprekini!D255+Aprekini!D263+D274+D335</f>
        <v>250873.37754615597</v>
      </c>
      <c r="E334" s="477">
        <f ca="1">Aprekini!E255+Aprekini!E263+E274+E335</f>
        <v>766094.85366858554</v>
      </c>
      <c r="F334" s="477">
        <f ca="1">Aprekini!F255+Aprekini!F263+F274+F335</f>
        <v>684347.88286133891</v>
      </c>
      <c r="G334" s="477">
        <f ca="1">Aprekini!G255+Aprekini!G263+G274+G335</f>
        <v>643474.39745771559</v>
      </c>
      <c r="H334" s="477">
        <f ca="1">Aprekini!H255+Aprekini!H263+H274+H335</f>
        <v>602600.91205409227</v>
      </c>
      <c r="I334" s="477">
        <f ca="1">Aprekini!I255+Aprekini!I263+I274+I335</f>
        <v>561727.42665046896</v>
      </c>
      <c r="J334" s="477">
        <f ca="1">Aprekini!J255+Aprekini!J263+J274+J335</f>
        <v>520853.9412468457</v>
      </c>
      <c r="K334" s="477">
        <f ca="1">Aprekini!K255+Aprekini!K263+K274+K335</f>
        <v>479980.45584322244</v>
      </c>
      <c r="L334" s="477">
        <f ca="1">Aprekini!L255+Aprekini!L263+L274+L335</f>
        <v>439106.97043959919</v>
      </c>
      <c r="M334" s="477">
        <f ca="1">Aprekini!M255+Aprekini!M263+M274+M335</f>
        <v>398233.48503597593</v>
      </c>
      <c r="N334" s="477">
        <f ca="1">Aprekini!N255+Aprekini!N263+N274+N335</f>
        <v>357359.99963235267</v>
      </c>
      <c r="O334" s="477">
        <f ca="1">Aprekini!O255+Aprekini!O263+O274+O335</f>
        <v>316486.51422872941</v>
      </c>
      <c r="P334" s="477">
        <f ca="1">Aprekini!P255+Aprekini!P263+P274+P335</f>
        <v>339491.99950182525</v>
      </c>
      <c r="Q334" s="477">
        <f ca="1">Aprekini!Q255+Aprekini!Q263+Q274+Q335</f>
        <v>330557.99943656154</v>
      </c>
      <c r="R334" s="477">
        <f ca="1">Aprekini!R255+Aprekini!R263+R274+R335</f>
        <v>321623.99937129783</v>
      </c>
      <c r="S334" s="477">
        <f ca="1">Aprekini!S255+Aprekini!S263+S274+S335</f>
        <v>312689.99930603412</v>
      </c>
      <c r="T334" s="477">
        <f ca="1">Aprekini!T255+Aprekini!T263+T274+T335</f>
        <v>303755.99924077041</v>
      </c>
      <c r="U334" s="477">
        <f ca="1">Aprekini!U255+Aprekini!U263+U274+U335</f>
        <v>294821.9991755067</v>
      </c>
      <c r="V334" s="477">
        <f ca="1">Aprekini!V255+Aprekini!V263+V274+V335</f>
        <v>285887.99911024299</v>
      </c>
      <c r="W334" s="477">
        <f ca="1">Aprekini!W255+Aprekini!W263+W274+W335</f>
        <v>276953.99904497928</v>
      </c>
      <c r="X334" s="477">
        <f ca="1">Aprekini!X255+Aprekini!X263+X274+X335</f>
        <v>268019.99897971557</v>
      </c>
      <c r="Y334" s="477">
        <f ca="1">Aprekini!Y255+Aprekini!Y263+Y274+Y335</f>
        <v>259085.99891445186</v>
      </c>
      <c r="Z334" s="477">
        <f ca="1">Aprekini!Z255+Aprekini!Z263+Z274+Z335</f>
        <v>250151.99884918815</v>
      </c>
      <c r="AA334" s="477">
        <f ca="1">Aprekini!AA255+Aprekini!AA263+AA274+AA335</f>
        <v>241217.99878392444</v>
      </c>
      <c r="AB334" s="477">
        <f ca="1">Aprekini!AB255+Aprekini!AB263+AB274+AB335</f>
        <v>232283.99871866073</v>
      </c>
      <c r="AC334" s="477">
        <f ca="1">Aprekini!AC255+Aprekini!AC263+AC274+AC335</f>
        <v>223349.99865339702</v>
      </c>
      <c r="AD334" s="477">
        <f ca="1">Aprekini!AD255+Aprekini!AD263+AD274+AD335</f>
        <v>214415.99858813331</v>
      </c>
      <c r="AE334" s="477">
        <f ca="1">Aprekini!AE255+Aprekini!AE263+AE274+AE335</f>
        <v>205481.9985228696</v>
      </c>
      <c r="AF334" s="477">
        <f ca="1">Aprekini!AF255+Aprekini!AF263+AF274+AF335</f>
        <v>196547.99845760589</v>
      </c>
      <c r="AG334" s="477">
        <f ca="1">Aprekini!AG255+Aprekini!AG263+AG274+AG335</f>
        <v>187613.99839234218</v>
      </c>
      <c r="AH334" s="477">
        <f ca="1">Aprekini!AH255+Aprekini!AH263+AH274+AH335</f>
        <v>178679.99832707847</v>
      </c>
      <c r="AI334" s="477"/>
      <c r="AM334" s="535"/>
      <c r="AO334" s="730"/>
      <c r="AP334" s="731"/>
      <c r="AQ334" s="730"/>
      <c r="AR334" s="731"/>
      <c r="AS334" s="730"/>
      <c r="AT334" s="728"/>
      <c r="AU334" s="728"/>
      <c r="AV334" s="724"/>
      <c r="AW334" s="724"/>
    </row>
    <row r="335" spans="1:49" s="62" customFormat="1" x14ac:dyDescent="0.2">
      <c r="A335" s="533" t="s">
        <v>271</v>
      </c>
      <c r="B335" s="475">
        <f ca="1">B346-B347</f>
        <v>0</v>
      </c>
      <c r="C335" s="475">
        <f t="shared" ref="C335:AH335" ca="1" si="118">C346-C347</f>
        <v>0</v>
      </c>
      <c r="D335" s="475">
        <f t="shared" ca="1" si="118"/>
        <v>250873.37754615597</v>
      </c>
      <c r="E335" s="475">
        <f t="shared" ca="1" si="118"/>
        <v>766094.85366858554</v>
      </c>
      <c r="F335" s="475">
        <f t="shared" ca="1" si="118"/>
        <v>684347.88286133891</v>
      </c>
      <c r="G335" s="475">
        <f t="shared" ca="1" si="118"/>
        <v>643474.39745771559</v>
      </c>
      <c r="H335" s="475">
        <f ca="1">H346-H347</f>
        <v>602600.91205409227</v>
      </c>
      <c r="I335" s="475">
        <f ca="1">I346-I347</f>
        <v>561727.42665046896</v>
      </c>
      <c r="J335" s="475">
        <f ca="1">J346-J347</f>
        <v>520853.9412468457</v>
      </c>
      <c r="K335" s="475">
        <f ca="1">K346-K347</f>
        <v>479980.45584322244</v>
      </c>
      <c r="L335" s="475">
        <f t="shared" ca="1" si="118"/>
        <v>439106.97043959919</v>
      </c>
      <c r="M335" s="475">
        <f t="shared" ca="1" si="118"/>
        <v>398233.48503597593</v>
      </c>
      <c r="N335" s="475">
        <f t="shared" ca="1" si="118"/>
        <v>357359.99963235267</v>
      </c>
      <c r="O335" s="475">
        <f t="shared" ca="1" si="118"/>
        <v>316486.51422872941</v>
      </c>
      <c r="P335" s="475">
        <f t="shared" ca="1" si="118"/>
        <v>339491.99950182525</v>
      </c>
      <c r="Q335" s="475">
        <f t="shared" ca="1" si="118"/>
        <v>330557.99943656154</v>
      </c>
      <c r="R335" s="475">
        <f t="shared" ca="1" si="118"/>
        <v>321623.99937129783</v>
      </c>
      <c r="S335" s="475">
        <f t="shared" ca="1" si="118"/>
        <v>312689.99930603412</v>
      </c>
      <c r="T335" s="475">
        <f t="shared" ca="1" si="118"/>
        <v>303755.99924077041</v>
      </c>
      <c r="U335" s="475">
        <f t="shared" ca="1" si="118"/>
        <v>294821.9991755067</v>
      </c>
      <c r="V335" s="475">
        <f t="shared" ca="1" si="118"/>
        <v>285887.99911024299</v>
      </c>
      <c r="W335" s="475">
        <f t="shared" ca="1" si="118"/>
        <v>276953.99904497928</v>
      </c>
      <c r="X335" s="475">
        <f t="shared" ca="1" si="118"/>
        <v>268019.99897971557</v>
      </c>
      <c r="Y335" s="475">
        <f t="shared" ca="1" si="118"/>
        <v>259085.99891445186</v>
      </c>
      <c r="Z335" s="475">
        <f t="shared" ca="1" si="118"/>
        <v>250151.99884918815</v>
      </c>
      <c r="AA335" s="475">
        <f t="shared" ca="1" si="118"/>
        <v>241217.99878392444</v>
      </c>
      <c r="AB335" s="475">
        <f t="shared" ca="1" si="118"/>
        <v>232283.99871866073</v>
      </c>
      <c r="AC335" s="475">
        <f t="shared" ca="1" si="118"/>
        <v>223349.99865339702</v>
      </c>
      <c r="AD335" s="475">
        <f t="shared" ca="1" si="118"/>
        <v>214415.99858813331</v>
      </c>
      <c r="AE335" s="475">
        <f t="shared" ca="1" si="118"/>
        <v>205481.9985228696</v>
      </c>
      <c r="AF335" s="475">
        <f t="shared" ca="1" si="118"/>
        <v>196547.99845760589</v>
      </c>
      <c r="AG335" s="475">
        <f t="shared" ca="1" si="118"/>
        <v>187613.99839234218</v>
      </c>
      <c r="AH335" s="475">
        <f t="shared" ca="1" si="118"/>
        <v>178679.99832707847</v>
      </c>
      <c r="AI335" s="475"/>
      <c r="AM335" s="535"/>
      <c r="AO335" s="730"/>
      <c r="AP335" s="731"/>
      <c r="AQ335" s="730"/>
      <c r="AR335" s="731"/>
      <c r="AS335" s="730"/>
      <c r="AT335" s="728"/>
      <c r="AU335" s="728"/>
      <c r="AV335" s="724"/>
      <c r="AW335" s="724"/>
    </row>
    <row r="336" spans="1:49" s="62" customFormat="1" x14ac:dyDescent="0.2">
      <c r="A336" s="476" t="s">
        <v>272</v>
      </c>
      <c r="B336" s="477">
        <f ca="1">B337</f>
        <v>0</v>
      </c>
      <c r="C336" s="477">
        <f t="shared" ref="C336:AH336" ca="1" si="119">C337</f>
        <v>0</v>
      </c>
      <c r="D336" s="477">
        <f t="shared" ca="1" si="119"/>
        <v>0</v>
      </c>
      <c r="E336" s="477">
        <f t="shared" ca="1" si="119"/>
        <v>0</v>
      </c>
      <c r="F336" s="477">
        <f t="shared" ca="1" si="119"/>
        <v>40873.485403623279</v>
      </c>
      <c r="G336" s="477">
        <f t="shared" ca="1" si="119"/>
        <v>40873.485403623279</v>
      </c>
      <c r="H336" s="477">
        <f t="shared" ca="1" si="119"/>
        <v>40873.485403623279</v>
      </c>
      <c r="I336" s="477">
        <f t="shared" ca="1" si="119"/>
        <v>40873.485403623279</v>
      </c>
      <c r="J336" s="477">
        <f t="shared" ca="1" si="119"/>
        <v>40873.485403623279</v>
      </c>
      <c r="K336" s="477">
        <f t="shared" ca="1" si="119"/>
        <v>40873.485403623279</v>
      </c>
      <c r="L336" s="477">
        <f t="shared" ca="1" si="119"/>
        <v>40873.485403623279</v>
      </c>
      <c r="M336" s="477">
        <f t="shared" ca="1" si="119"/>
        <v>40873.485403623279</v>
      </c>
      <c r="N336" s="477">
        <f t="shared" ca="1" si="119"/>
        <v>40873.485403623279</v>
      </c>
      <c r="O336" s="477">
        <f t="shared" ca="1" si="119"/>
        <v>40873.485403623279</v>
      </c>
      <c r="P336" s="477">
        <f t="shared" ca="1" si="119"/>
        <v>8934.0000652636954</v>
      </c>
      <c r="Q336" s="477">
        <f t="shared" ca="1" si="119"/>
        <v>8934.0000652636954</v>
      </c>
      <c r="R336" s="477">
        <f t="shared" ca="1" si="119"/>
        <v>8934.0000652636954</v>
      </c>
      <c r="S336" s="477">
        <f t="shared" ca="1" si="119"/>
        <v>8934.0000652636954</v>
      </c>
      <c r="T336" s="477">
        <f t="shared" ca="1" si="119"/>
        <v>8934.0000652636954</v>
      </c>
      <c r="U336" s="477">
        <f t="shared" ca="1" si="119"/>
        <v>8934.0000652636954</v>
      </c>
      <c r="V336" s="477">
        <f t="shared" ca="1" si="119"/>
        <v>8934.0000652636954</v>
      </c>
      <c r="W336" s="477">
        <f t="shared" ca="1" si="119"/>
        <v>8934.0000652636954</v>
      </c>
      <c r="X336" s="477">
        <f t="shared" ca="1" si="119"/>
        <v>8934.0000652636954</v>
      </c>
      <c r="Y336" s="477">
        <f t="shared" ca="1" si="119"/>
        <v>8934.0000652636954</v>
      </c>
      <c r="Z336" s="477">
        <f t="shared" ca="1" si="119"/>
        <v>8934.0000652636954</v>
      </c>
      <c r="AA336" s="477">
        <f t="shared" ca="1" si="119"/>
        <v>8934.0000652636954</v>
      </c>
      <c r="AB336" s="477">
        <f t="shared" ca="1" si="119"/>
        <v>8934.0000652636954</v>
      </c>
      <c r="AC336" s="477">
        <f t="shared" ca="1" si="119"/>
        <v>8934.0000652636954</v>
      </c>
      <c r="AD336" s="477">
        <f t="shared" ca="1" si="119"/>
        <v>8934.0000652636954</v>
      </c>
      <c r="AE336" s="477">
        <f t="shared" ca="1" si="119"/>
        <v>8934.0000652636954</v>
      </c>
      <c r="AF336" s="477">
        <f t="shared" ca="1" si="119"/>
        <v>8934.0000652636954</v>
      </c>
      <c r="AG336" s="477">
        <f t="shared" ca="1" si="119"/>
        <v>8934.0000652636954</v>
      </c>
      <c r="AH336" s="477">
        <f t="shared" ca="1" si="119"/>
        <v>8934.0000652636954</v>
      </c>
      <c r="AI336" s="477"/>
      <c r="AM336" s="535"/>
      <c r="AO336" s="730"/>
      <c r="AP336" s="731"/>
      <c r="AQ336" s="730"/>
      <c r="AR336" s="731"/>
      <c r="AS336" s="730"/>
      <c r="AT336" s="728"/>
      <c r="AU336" s="728"/>
      <c r="AV336" s="724"/>
      <c r="AW336" s="724"/>
    </row>
    <row r="337" spans="1:49" s="62" customFormat="1" x14ac:dyDescent="0.2">
      <c r="A337" s="533" t="s">
        <v>271</v>
      </c>
      <c r="B337" s="475">
        <f ca="1">B347</f>
        <v>0</v>
      </c>
      <c r="C337" s="475">
        <f t="shared" ref="C337:AH337" ca="1" si="120">C347</f>
        <v>0</v>
      </c>
      <c r="D337" s="475">
        <f t="shared" ca="1" si="120"/>
        <v>0</v>
      </c>
      <c r="E337" s="475">
        <f ca="1">E347</f>
        <v>0</v>
      </c>
      <c r="F337" s="475">
        <f t="shared" ca="1" si="120"/>
        <v>40873.485403623279</v>
      </c>
      <c r="G337" s="475">
        <f t="shared" ca="1" si="120"/>
        <v>40873.485403623279</v>
      </c>
      <c r="H337" s="475">
        <f ca="1">H347</f>
        <v>40873.485403623279</v>
      </c>
      <c r="I337" s="475">
        <f ca="1">I347</f>
        <v>40873.485403623279</v>
      </c>
      <c r="J337" s="475">
        <f ca="1">J347</f>
        <v>40873.485403623279</v>
      </c>
      <c r="K337" s="475">
        <f ca="1">K347</f>
        <v>40873.485403623279</v>
      </c>
      <c r="L337" s="475">
        <f t="shared" ca="1" si="120"/>
        <v>40873.485403623279</v>
      </c>
      <c r="M337" s="475">
        <f t="shared" ca="1" si="120"/>
        <v>40873.485403623279</v>
      </c>
      <c r="N337" s="475">
        <f t="shared" ca="1" si="120"/>
        <v>40873.485403623279</v>
      </c>
      <c r="O337" s="475">
        <f t="shared" ca="1" si="120"/>
        <v>40873.485403623279</v>
      </c>
      <c r="P337" s="475">
        <f t="shared" ca="1" si="120"/>
        <v>8934.0000652636954</v>
      </c>
      <c r="Q337" s="475">
        <f t="shared" ca="1" si="120"/>
        <v>8934.0000652636954</v>
      </c>
      <c r="R337" s="475">
        <f t="shared" ca="1" si="120"/>
        <v>8934.0000652636954</v>
      </c>
      <c r="S337" s="475">
        <f t="shared" ca="1" si="120"/>
        <v>8934.0000652636954</v>
      </c>
      <c r="T337" s="475">
        <f t="shared" ca="1" si="120"/>
        <v>8934.0000652636954</v>
      </c>
      <c r="U337" s="475">
        <f t="shared" ca="1" si="120"/>
        <v>8934.0000652636954</v>
      </c>
      <c r="V337" s="475">
        <f t="shared" ca="1" si="120"/>
        <v>8934.0000652636954</v>
      </c>
      <c r="W337" s="475">
        <f t="shared" ca="1" si="120"/>
        <v>8934.0000652636954</v>
      </c>
      <c r="X337" s="475">
        <f t="shared" ca="1" si="120"/>
        <v>8934.0000652636954</v>
      </c>
      <c r="Y337" s="475">
        <f t="shared" ca="1" si="120"/>
        <v>8934.0000652636954</v>
      </c>
      <c r="Z337" s="475">
        <f t="shared" ca="1" si="120"/>
        <v>8934.0000652636954</v>
      </c>
      <c r="AA337" s="475">
        <f t="shared" ca="1" si="120"/>
        <v>8934.0000652636954</v>
      </c>
      <c r="AB337" s="475">
        <f t="shared" ca="1" si="120"/>
        <v>8934.0000652636954</v>
      </c>
      <c r="AC337" s="475">
        <f t="shared" ca="1" si="120"/>
        <v>8934.0000652636954</v>
      </c>
      <c r="AD337" s="475">
        <f t="shared" ca="1" si="120"/>
        <v>8934.0000652636954</v>
      </c>
      <c r="AE337" s="475">
        <f t="shared" ca="1" si="120"/>
        <v>8934.0000652636954</v>
      </c>
      <c r="AF337" s="475">
        <f t="shared" ca="1" si="120"/>
        <v>8934.0000652636954</v>
      </c>
      <c r="AG337" s="475">
        <f t="shared" ca="1" si="120"/>
        <v>8934.0000652636954</v>
      </c>
      <c r="AH337" s="475">
        <f t="shared" ca="1" si="120"/>
        <v>8934.0000652636954</v>
      </c>
      <c r="AI337" s="475"/>
      <c r="AM337" s="535"/>
      <c r="AO337" s="730"/>
      <c r="AP337" s="731"/>
      <c r="AQ337" s="730"/>
      <c r="AR337" s="731"/>
      <c r="AS337" s="730"/>
      <c r="AT337" s="728"/>
      <c r="AU337" s="728"/>
      <c r="AV337" s="724"/>
      <c r="AW337" s="724"/>
    </row>
    <row r="338" spans="1:49" s="62" customFormat="1" x14ac:dyDescent="0.2">
      <c r="A338" s="476" t="s">
        <v>273</v>
      </c>
      <c r="B338" s="477">
        <f t="shared" ref="B338:AH338" ca="1" si="121">SUM(B329,B334,B336)</f>
        <v>1165334.7128999999</v>
      </c>
      <c r="C338" s="477">
        <f t="shared" ca="1" si="121"/>
        <v>1455064.3282030001</v>
      </c>
      <c r="D338" s="477">
        <f t="shared" ca="1" si="121"/>
        <v>2294003.322439156</v>
      </c>
      <c r="E338" s="477">
        <f t="shared" ca="1" si="121"/>
        <v>2825786.6966385855</v>
      </c>
      <c r="F338" s="465">
        <f t="shared" ca="1" si="121"/>
        <v>2769180.6464735856</v>
      </c>
      <c r="G338" s="477">
        <f t="shared" ca="1" si="121"/>
        <v>2713324.9805665854</v>
      </c>
      <c r="H338" s="477">
        <f ca="1">SUM(H329,H334,H336)</f>
        <v>2662402.8261175854</v>
      </c>
      <c r="I338" s="477">
        <f ca="1">SUM(I329,I334,I336)</f>
        <v>2613451.3333265856</v>
      </c>
      <c r="J338" s="477">
        <f ca="1">SUM(J329,J334,J336)</f>
        <v>2567970.8441935852</v>
      </c>
      <c r="K338" s="477">
        <f ca="1">SUM(K329,K334,K336)</f>
        <v>2518139.5687185857</v>
      </c>
      <c r="L338" s="477">
        <f t="shared" ca="1" si="121"/>
        <v>2467893.7119015856</v>
      </c>
      <c r="M338" s="477">
        <f t="shared" ca="1" si="121"/>
        <v>2422939.6537425853</v>
      </c>
      <c r="N338" s="477">
        <f t="shared" ca="1" si="121"/>
        <v>2378480.3814415853</v>
      </c>
      <c r="O338" s="477">
        <f t="shared" ca="1" si="121"/>
        <v>2333723.4999985853</v>
      </c>
      <c r="P338" s="477">
        <f t="shared" ca="1" si="121"/>
        <v>2346958.4115425851</v>
      </c>
      <c r="Q338" s="477">
        <f t="shared" ca="1" si="121"/>
        <v>2361785.5610735854</v>
      </c>
      <c r="R338" s="477">
        <f t="shared" ca="1" si="121"/>
        <v>2376131.3385915854</v>
      </c>
      <c r="S338" s="477">
        <f t="shared" ca="1" si="121"/>
        <v>2384987.5390965855</v>
      </c>
      <c r="T338" s="477">
        <f t="shared" ca="1" si="121"/>
        <v>2394128.7625885857</v>
      </c>
      <c r="U338" s="477">
        <f t="shared" ca="1" si="121"/>
        <v>2417043.5690675853</v>
      </c>
      <c r="V338" s="477">
        <f t="shared" ca="1" si="121"/>
        <v>2440244.3985335855</v>
      </c>
      <c r="W338" s="477">
        <f t="shared" ca="1" si="121"/>
        <v>2463871.2559865857</v>
      </c>
      <c r="X338" s="477">
        <f t="shared" ca="1" si="121"/>
        <v>2487784.1364265853</v>
      </c>
      <c r="Y338" s="477">
        <f t="shared" ca="1" si="121"/>
        <v>2512123.0448535853</v>
      </c>
      <c r="Z338" s="477">
        <f t="shared" ca="1" si="121"/>
        <v>2537791.3762675854</v>
      </c>
      <c r="AA338" s="477">
        <f t="shared" ca="1" si="121"/>
        <v>2562842.3356685857</v>
      </c>
      <c r="AB338" s="477">
        <f t="shared" ca="1" si="121"/>
        <v>2589222.7180565856</v>
      </c>
      <c r="AC338" s="477">
        <f t="shared" ca="1" si="121"/>
        <v>2616029.1284315856</v>
      </c>
      <c r="AD338" s="477">
        <f t="shared" ca="1" si="121"/>
        <v>2642218.1667935853</v>
      </c>
      <c r="AE338" s="477">
        <f t="shared" ca="1" si="121"/>
        <v>2668697.2003425858</v>
      </c>
      <c r="AF338" s="477">
        <f t="shared" ca="1" si="121"/>
        <v>2696619.6290785852</v>
      </c>
      <c r="AG338" s="477">
        <f t="shared" ca="1" si="121"/>
        <v>2723926.6578145851</v>
      </c>
      <c r="AH338" s="477">
        <f t="shared" ca="1" si="121"/>
        <v>2752565.0815505846</v>
      </c>
      <c r="AI338" s="477"/>
      <c r="AM338" s="535"/>
      <c r="AO338" s="283"/>
      <c r="AP338" s="71"/>
      <c r="AQ338" s="283"/>
      <c r="AR338" s="71"/>
      <c r="AS338" s="283"/>
      <c r="AV338" s="724"/>
      <c r="AW338" s="724"/>
    </row>
    <row r="339" spans="1:49" s="62" customFormat="1" hidden="1" outlineLevel="1" x14ac:dyDescent="0.2">
      <c r="B339" s="534">
        <f t="shared" ref="B339:AG339" ca="1" si="122">B338/B327-1</f>
        <v>0</v>
      </c>
      <c r="C339" s="534">
        <f t="shared" ca="1" si="122"/>
        <v>0.24779082611005188</v>
      </c>
      <c r="D339" s="534">
        <f t="shared" ca="1" si="122"/>
        <v>0.3327045262273447</v>
      </c>
      <c r="E339" s="534">
        <f t="shared" ca="1" si="122"/>
        <v>-1.6296181171959745E-4</v>
      </c>
      <c r="F339" s="478">
        <f t="shared" ca="1" si="122"/>
        <v>-1.6697832734724471E-4</v>
      </c>
      <c r="G339" s="534">
        <f t="shared" ca="1" si="122"/>
        <v>-1.7000983693493676E-4</v>
      </c>
      <c r="H339" s="534">
        <f t="shared" ca="1" si="122"/>
        <v>-6.211695308311338E-5</v>
      </c>
      <c r="I339" s="534">
        <f t="shared" ca="1" si="122"/>
        <v>4.2620316165420391E-5</v>
      </c>
      <c r="J339" s="534">
        <f t="shared" ca="1" si="122"/>
        <v>1.5569022615902206E-4</v>
      </c>
      <c r="K339" s="534">
        <f t="shared" ca="1" si="122"/>
        <v>1.5920862690776971E-4</v>
      </c>
      <c r="L339" s="534">
        <f t="shared" ca="1" si="122"/>
        <v>1.6168047465359159E-4</v>
      </c>
      <c r="M339" s="534">
        <f t="shared" ca="1" si="122"/>
        <v>1.6513485421509877E-4</v>
      </c>
      <c r="N339" s="534">
        <f t="shared" ca="1" si="122"/>
        <v>1.6826418175064362E-4</v>
      </c>
      <c r="O339" s="534">
        <f t="shared" ca="1" si="122"/>
        <v>1.7153462310348644E-4</v>
      </c>
      <c r="P339" s="534">
        <f t="shared" ca="1" si="122"/>
        <v>3.9906319933091794E-4</v>
      </c>
      <c r="Q339" s="534">
        <f t="shared" ca="1" si="122"/>
        <v>6.3262192954205432E-4</v>
      </c>
      <c r="R339" s="534">
        <f t="shared" ca="1" si="122"/>
        <v>8.6320801668615665E-4</v>
      </c>
      <c r="S339" s="534">
        <f t="shared" ca="1" si="122"/>
        <v>8.6041991130492157E-4</v>
      </c>
      <c r="T339" s="534">
        <f t="shared" ca="1" si="122"/>
        <v>8.5713185411262494E-4</v>
      </c>
      <c r="U339" s="534">
        <f t="shared" ca="1" si="122"/>
        <v>8.4899890772605069E-4</v>
      </c>
      <c r="V339" s="534">
        <f t="shared" ca="1" si="122"/>
        <v>8.4092019114589966E-4</v>
      </c>
      <c r="W339" s="534">
        <f t="shared" ca="1" si="122"/>
        <v>8.3284961978602468E-4</v>
      </c>
      <c r="X339" s="534">
        <f t="shared" ca="1" si="122"/>
        <v>8.2483756583862089E-4</v>
      </c>
      <c r="Y339" s="534">
        <f t="shared" ca="1" si="122"/>
        <v>8.1683953222144723E-4</v>
      </c>
      <c r="Z339" s="534">
        <f t="shared" ca="1" si="122"/>
        <v>8.0857097978870307E-4</v>
      </c>
      <c r="AA339" s="534">
        <f t="shared" ca="1" si="122"/>
        <v>8.0066113052490451E-4</v>
      </c>
      <c r="AB339" s="534">
        <f t="shared" ca="1" si="122"/>
        <v>7.9249710293405329E-4</v>
      </c>
      <c r="AC339" s="534">
        <f t="shared" ca="1" si="122"/>
        <v>7.8437002763109831E-4</v>
      </c>
      <c r="AD339" s="534">
        <f t="shared" ca="1" si="122"/>
        <v>7.7658950079051436E-4</v>
      </c>
      <c r="AE339" s="534">
        <f t="shared" ca="1" si="122"/>
        <v>7.6887819126270074E-4</v>
      </c>
      <c r="AF339" s="534">
        <f t="shared" ca="1" si="122"/>
        <v>7.6091070403472294E-4</v>
      </c>
      <c r="AG339" s="534">
        <f t="shared" ca="1" si="122"/>
        <v>7.5327692206506036E-4</v>
      </c>
      <c r="AH339" s="534">
        <f ca="1">AH338/AH327-1</f>
        <v>7.4543378519531522E-4</v>
      </c>
      <c r="AI339" s="534"/>
      <c r="AO339" s="283"/>
      <c r="AP339" s="71"/>
      <c r="AQ339" s="283"/>
      <c r="AR339" s="71"/>
      <c r="AS339" s="283"/>
    </row>
    <row r="340" spans="1:49" s="62" customFormat="1" hidden="1" outlineLevel="1" x14ac:dyDescent="0.2">
      <c r="B340" s="535"/>
      <c r="C340" s="535"/>
      <c r="D340" s="535"/>
      <c r="E340" s="535"/>
      <c r="F340" s="448"/>
      <c r="G340" s="535"/>
      <c r="H340" s="535"/>
      <c r="I340" s="535"/>
      <c r="J340" s="535"/>
      <c r="K340" s="535"/>
      <c r="L340" s="535"/>
      <c r="M340" s="535"/>
      <c r="N340" s="535"/>
      <c r="O340" s="535"/>
      <c r="P340" s="535"/>
      <c r="Q340" s="535"/>
      <c r="R340" s="535"/>
      <c r="S340" s="535"/>
      <c r="T340" s="535"/>
      <c r="U340" s="535"/>
      <c r="V340" s="535"/>
      <c r="W340" s="535"/>
      <c r="X340" s="535"/>
      <c r="Y340" s="535"/>
      <c r="Z340" s="535"/>
      <c r="AA340" s="535"/>
      <c r="AB340" s="535"/>
      <c r="AC340" s="535"/>
      <c r="AD340" s="535"/>
      <c r="AE340" s="535"/>
      <c r="AF340" s="535"/>
      <c r="AG340" s="535"/>
      <c r="AO340" s="283"/>
      <c r="AP340" s="71"/>
      <c r="AQ340" s="283"/>
      <c r="AR340" s="71"/>
      <c r="AS340" s="283"/>
    </row>
    <row r="341" spans="1:49" s="62" customFormat="1" hidden="1" outlineLevel="1" x14ac:dyDescent="0.2">
      <c r="B341" s="535">
        <f t="shared" ref="B341:AH341" ca="1" si="123">B338-B327</f>
        <v>0</v>
      </c>
      <c r="C341" s="535">
        <f t="shared" ca="1" si="123"/>
        <v>288951.94962500012</v>
      </c>
      <c r="D341" s="535">
        <f t="shared" ca="1" si="123"/>
        <v>572689.04962499999</v>
      </c>
      <c r="E341" s="535">
        <f t="shared" ca="1" si="123"/>
        <v>-460.57037500012666</v>
      </c>
      <c r="F341" s="448">
        <f t="shared" ca="1" si="123"/>
        <v>-462.47037500003353</v>
      </c>
      <c r="G341" s="535">
        <f t="shared" ca="1" si="123"/>
        <v>-461.3703749999404</v>
      </c>
      <c r="H341" s="535">
        <f t="shared" ca="1" si="123"/>
        <v>-165.390625</v>
      </c>
      <c r="I341" s="535">
        <f t="shared" ca="1" si="123"/>
        <v>111.38137499988079</v>
      </c>
      <c r="J341" s="535">
        <f t="shared" ca="1" si="123"/>
        <v>399.7457249998115</v>
      </c>
      <c r="K341" s="535">
        <f t="shared" ca="1" si="123"/>
        <v>400.84572500037029</v>
      </c>
      <c r="L341" s="535">
        <f t="shared" ca="1" si="123"/>
        <v>398.94572500046343</v>
      </c>
      <c r="M341" s="535">
        <f t="shared" ca="1" si="123"/>
        <v>400.0457250000909</v>
      </c>
      <c r="N341" s="535">
        <f t="shared" ca="1" si="123"/>
        <v>400.14572500018403</v>
      </c>
      <c r="O341" s="535">
        <f t="shared" ca="1" si="123"/>
        <v>400.24572500027716</v>
      </c>
      <c r="P341" s="535">
        <f t="shared" ca="1" si="123"/>
        <v>936.21112499991432</v>
      </c>
      <c r="Q341" s="535">
        <f t="shared" ca="1" si="123"/>
        <v>1493.1727250004187</v>
      </c>
      <c r="R341" s="535">
        <f t="shared" ca="1" si="123"/>
        <v>2049.3266250002198</v>
      </c>
      <c r="S341" s="535">
        <f t="shared" ca="1" si="123"/>
        <v>2050.3266250002198</v>
      </c>
      <c r="T341" s="535">
        <f t="shared" ca="1" si="123"/>
        <v>2050.3266250002198</v>
      </c>
      <c r="U341" s="535">
        <f t="shared" ca="1" si="123"/>
        <v>2050.3266249997541</v>
      </c>
      <c r="V341" s="535">
        <f t="shared" ca="1" si="123"/>
        <v>2050.3266250002198</v>
      </c>
      <c r="W341" s="535">
        <f t="shared" ca="1" si="123"/>
        <v>2050.3266250002198</v>
      </c>
      <c r="X341" s="535">
        <f t="shared" ca="1" si="123"/>
        <v>2050.3266249997541</v>
      </c>
      <c r="Y341" s="535">
        <f t="shared" ca="1" si="123"/>
        <v>2050.3266249997541</v>
      </c>
      <c r="Z341" s="535">
        <f t="shared" ca="1" si="123"/>
        <v>2050.3266250002198</v>
      </c>
      <c r="AA341" s="535">
        <f t="shared" ca="1" si="123"/>
        <v>2050.3266250002198</v>
      </c>
      <c r="AB341" s="535">
        <f t="shared" ca="1" si="123"/>
        <v>2050.3266250002198</v>
      </c>
      <c r="AC341" s="535">
        <f t="shared" ca="1" si="123"/>
        <v>2050.3266250002198</v>
      </c>
      <c r="AD341" s="535">
        <f t="shared" ca="1" si="123"/>
        <v>2050.3266249997541</v>
      </c>
      <c r="AE341" s="535">
        <f t="shared" ca="1" si="123"/>
        <v>2050.3266250002198</v>
      </c>
      <c r="AF341" s="535">
        <f t="shared" ca="1" si="123"/>
        <v>2050.3266250002198</v>
      </c>
      <c r="AG341" s="535">
        <f t="shared" ca="1" si="123"/>
        <v>2050.3266250002198</v>
      </c>
      <c r="AH341" s="535">
        <f t="shared" ca="1" si="123"/>
        <v>2050.3266249997541</v>
      </c>
      <c r="AI341" s="535"/>
      <c r="AJ341" s="535"/>
      <c r="AK341" s="535"/>
      <c r="AO341" s="283"/>
      <c r="AP341" s="71"/>
      <c r="AQ341" s="283"/>
      <c r="AR341" s="71"/>
      <c r="AS341" s="283"/>
    </row>
    <row r="342" spans="1:49" s="62" customFormat="1" hidden="1" outlineLevel="1" x14ac:dyDescent="0.2">
      <c r="C342" s="535">
        <f ca="1">C341-B341</f>
        <v>288951.94962500012</v>
      </c>
      <c r="D342" s="535">
        <f t="shared" ref="D342:AG342" ca="1" si="124">D341-C341</f>
        <v>283737.09999999986</v>
      </c>
      <c r="E342" s="535">
        <f ca="1">E341-D341</f>
        <v>-573149.62000000011</v>
      </c>
      <c r="F342" s="448">
        <f t="shared" ca="1" si="124"/>
        <v>-1.8999999999068677</v>
      </c>
      <c r="G342" s="535">
        <f t="shared" ca="1" si="124"/>
        <v>1.1000000000931323</v>
      </c>
      <c r="H342" s="535">
        <f ca="1">H341-G341</f>
        <v>295.9797499999404</v>
      </c>
      <c r="I342" s="535">
        <f t="shared" ca="1" si="124"/>
        <v>276.77199999988079</v>
      </c>
      <c r="J342" s="535">
        <f t="shared" ca="1" si="124"/>
        <v>288.36434999993071</v>
      </c>
      <c r="K342" s="535">
        <f t="shared" ca="1" si="124"/>
        <v>1.1000000005587935</v>
      </c>
      <c r="L342" s="535">
        <f t="shared" ca="1" si="124"/>
        <v>-1.8999999999068677</v>
      </c>
      <c r="M342" s="535">
        <f t="shared" ca="1" si="124"/>
        <v>1.099999999627471</v>
      </c>
      <c r="N342" s="535">
        <f t="shared" ca="1" si="124"/>
        <v>0.10000000009313226</v>
      </c>
      <c r="O342" s="535">
        <f t="shared" ca="1" si="124"/>
        <v>0.10000000009313226</v>
      </c>
      <c r="P342" s="535">
        <f t="shared" ca="1" si="124"/>
        <v>535.96539999963716</v>
      </c>
      <c r="Q342" s="535">
        <f t="shared" ca="1" si="124"/>
        <v>556.9616000005044</v>
      </c>
      <c r="R342" s="535">
        <f t="shared" ca="1" si="124"/>
        <v>556.15389999980107</v>
      </c>
      <c r="S342" s="535">
        <f t="shared" ca="1" si="124"/>
        <v>1</v>
      </c>
      <c r="T342" s="535">
        <f t="shared" ca="1" si="124"/>
        <v>0</v>
      </c>
      <c r="U342" s="535">
        <f t="shared" ca="1" si="124"/>
        <v>-4.6566128730773926E-10</v>
      </c>
      <c r="V342" s="535">
        <f t="shared" ca="1" si="124"/>
        <v>4.6566128730773926E-10</v>
      </c>
      <c r="W342" s="535">
        <f t="shared" ca="1" si="124"/>
        <v>0</v>
      </c>
      <c r="X342" s="535">
        <f t="shared" ca="1" si="124"/>
        <v>-4.6566128730773926E-10</v>
      </c>
      <c r="Y342" s="535">
        <f t="shared" ca="1" si="124"/>
        <v>0</v>
      </c>
      <c r="Z342" s="535">
        <f t="shared" ca="1" si="124"/>
        <v>4.6566128730773926E-10</v>
      </c>
      <c r="AA342" s="535">
        <f t="shared" ca="1" si="124"/>
        <v>0</v>
      </c>
      <c r="AB342" s="535">
        <f t="shared" ca="1" si="124"/>
        <v>0</v>
      </c>
      <c r="AC342" s="535">
        <f t="shared" ca="1" si="124"/>
        <v>0</v>
      </c>
      <c r="AD342" s="535">
        <f t="shared" ca="1" si="124"/>
        <v>-4.6566128730773926E-10</v>
      </c>
      <c r="AE342" s="535">
        <f t="shared" ca="1" si="124"/>
        <v>4.6566128730773926E-10</v>
      </c>
      <c r="AF342" s="535">
        <f t="shared" ca="1" si="124"/>
        <v>0</v>
      </c>
      <c r="AG342" s="535">
        <f t="shared" ca="1" si="124"/>
        <v>0</v>
      </c>
      <c r="AH342" s="535">
        <f ca="1">AH341-AG341</f>
        <v>-4.6566128730773926E-10</v>
      </c>
      <c r="AI342" s="535"/>
      <c r="AJ342" s="535"/>
      <c r="AK342" s="535"/>
      <c r="AO342" s="283"/>
      <c r="AP342" s="71"/>
      <c r="AQ342" s="283"/>
      <c r="AR342" s="71"/>
      <c r="AS342" s="283"/>
    </row>
    <row r="343" spans="1:49" s="62" customFormat="1" hidden="1" outlineLevel="1" x14ac:dyDescent="0.2">
      <c r="F343" s="419"/>
      <c r="AO343" s="283"/>
      <c r="AP343" s="71"/>
      <c r="AQ343" s="283"/>
      <c r="AR343" s="71"/>
      <c r="AS343" s="283"/>
    </row>
    <row r="344" spans="1:49" s="62" customFormat="1" hidden="1" outlineLevel="1" x14ac:dyDescent="0.2">
      <c r="F344" s="419"/>
      <c r="AO344" s="283"/>
      <c r="AP344" s="71"/>
      <c r="AQ344" s="283"/>
      <c r="AR344" s="71"/>
      <c r="AS344" s="283"/>
    </row>
    <row r="345" spans="1:49" s="62" customFormat="1" hidden="1" outlineLevel="1" x14ac:dyDescent="0.2">
      <c r="A345" s="62" t="s">
        <v>274</v>
      </c>
      <c r="B345" s="535">
        <f ca="1">SUM(Aprekini!B149,Aprekini!B153)</f>
        <v>0</v>
      </c>
      <c r="C345" s="535">
        <f ca="1">SUM(Aprekini!C149,Aprekini!C153)</f>
        <v>0</v>
      </c>
      <c r="D345" s="535">
        <f ca="1">SUM(Aprekini!D149,Aprekini!D153)</f>
        <v>250873.37754615597</v>
      </c>
      <c r="E345" s="535">
        <f ca="1">SUM(Aprekini!E149,Aprekini!E153)</f>
        <v>515221.47612242959</v>
      </c>
      <c r="F345" s="448">
        <f ca="1">SUM(Aprekini!F149,Aprekini!F153)</f>
        <v>0</v>
      </c>
      <c r="G345" s="535">
        <f ca="1">SUM(Aprekini!G149,Aprekini!G153)</f>
        <v>0</v>
      </c>
      <c r="H345" s="535">
        <f>SUM(Aprekini!H149,Aprekini!H153)</f>
        <v>0</v>
      </c>
      <c r="I345" s="535">
        <f>SUM(Aprekini!I149,Aprekini!I153)</f>
        <v>0</v>
      </c>
      <c r="J345" s="535">
        <f>SUM(Aprekini!J149,Aprekini!J153)</f>
        <v>0</v>
      </c>
      <c r="K345" s="535">
        <f>SUM(Aprekini!K149,Aprekini!K153)</f>
        <v>0</v>
      </c>
      <c r="L345" s="535">
        <f>SUM(Aprekini!L149,Aprekini!L153)</f>
        <v>0</v>
      </c>
      <c r="M345" s="535">
        <f>SUM(Aprekini!M149,Aprekini!M153)</f>
        <v>0</v>
      </c>
      <c r="N345" s="535">
        <f>SUM(Aprekini!N149,Aprekini!N153)</f>
        <v>0</v>
      </c>
      <c r="O345" s="535">
        <f>SUM(Aprekini!O149,Aprekini!O153)</f>
        <v>0</v>
      </c>
      <c r="P345" s="535">
        <f>SUM(Aprekini!P149,Aprekini!P153)</f>
        <v>0</v>
      </c>
      <c r="Q345" s="535">
        <f>SUM(Aprekini!Q149,Aprekini!Q153)</f>
        <v>0</v>
      </c>
      <c r="R345" s="535">
        <f>SUM(Aprekini!R149,Aprekini!R153)</f>
        <v>0</v>
      </c>
      <c r="S345" s="535">
        <f>SUM(Aprekini!S149,Aprekini!S153)</f>
        <v>0</v>
      </c>
      <c r="T345" s="535">
        <f>SUM(Aprekini!T149,Aprekini!T153)</f>
        <v>0</v>
      </c>
      <c r="U345" s="535">
        <f>SUM(Aprekini!U149,Aprekini!U153)</f>
        <v>0</v>
      </c>
      <c r="V345" s="535">
        <f>SUM(Aprekini!V149,Aprekini!V153)</f>
        <v>0</v>
      </c>
      <c r="W345" s="535">
        <f>SUM(Aprekini!W149,Aprekini!W153)</f>
        <v>0</v>
      </c>
      <c r="X345" s="535">
        <f>SUM(Aprekini!X149,Aprekini!X153)</f>
        <v>0</v>
      </c>
      <c r="Y345" s="535">
        <f>SUM(Aprekini!Y149,Aprekini!Y153)</f>
        <v>0</v>
      </c>
      <c r="Z345" s="535">
        <f>SUM(Aprekini!Z149,Aprekini!Z153)</f>
        <v>0</v>
      </c>
      <c r="AA345" s="535">
        <f>SUM(Aprekini!AA149,Aprekini!AA153)</f>
        <v>0</v>
      </c>
      <c r="AB345" s="535">
        <f>SUM(Aprekini!AB149,Aprekini!AB153)</f>
        <v>0</v>
      </c>
      <c r="AC345" s="535">
        <f>SUM(Aprekini!AC149,Aprekini!AC153)</f>
        <v>0</v>
      </c>
      <c r="AD345" s="535">
        <f>SUM(Aprekini!AD149,Aprekini!AD153)</f>
        <v>0</v>
      </c>
      <c r="AE345" s="535">
        <f>SUM(Aprekini!AE149,Aprekini!AE153)</f>
        <v>0</v>
      </c>
      <c r="AF345" s="535">
        <f>SUM(Aprekini!AF149,Aprekini!AF153)</f>
        <v>0</v>
      </c>
      <c r="AG345" s="535">
        <f>SUM(Aprekini!AG149,Aprekini!AG153)</f>
        <v>0</v>
      </c>
      <c r="AH345" s="535">
        <f>SUM(Aprekini!AH149,Aprekini!AH153)</f>
        <v>0</v>
      </c>
      <c r="AI345" s="535"/>
      <c r="AJ345" s="535"/>
      <c r="AK345" s="535"/>
      <c r="AO345" s="283"/>
      <c r="AP345" s="71"/>
      <c r="AQ345" s="283"/>
      <c r="AR345" s="71"/>
      <c r="AS345" s="283"/>
    </row>
    <row r="346" spans="1:49" s="62" customFormat="1" hidden="1" outlineLevel="1" x14ac:dyDescent="0.2">
      <c r="A346" s="62" t="s">
        <v>275</v>
      </c>
      <c r="B346" s="535">
        <f ca="1">B345-B347</f>
        <v>0</v>
      </c>
      <c r="C346" s="535">
        <f t="shared" ref="C346:AG346" ca="1" si="125">B346+C345-C347</f>
        <v>0</v>
      </c>
      <c r="D346" s="535">
        <f t="shared" ca="1" si="125"/>
        <v>250873.37754615597</v>
      </c>
      <c r="E346" s="535">
        <f t="shared" ca="1" si="125"/>
        <v>766094.85366858554</v>
      </c>
      <c r="F346" s="448">
        <f t="shared" ca="1" si="125"/>
        <v>725221.36826496222</v>
      </c>
      <c r="G346" s="535">
        <f t="shared" ca="1" si="125"/>
        <v>684347.88286133891</v>
      </c>
      <c r="H346" s="535">
        <f t="shared" ca="1" si="125"/>
        <v>643474.39745771559</v>
      </c>
      <c r="I346" s="535">
        <f t="shared" ca="1" si="125"/>
        <v>602600.91205409227</v>
      </c>
      <c r="J346" s="535">
        <f t="shared" ca="1" si="125"/>
        <v>561727.42665046896</v>
      </c>
      <c r="K346" s="535">
        <f t="shared" ca="1" si="125"/>
        <v>520853.9412468457</v>
      </c>
      <c r="L346" s="535">
        <f t="shared" ca="1" si="125"/>
        <v>479980.45584322244</v>
      </c>
      <c r="M346" s="535">
        <f t="shared" ca="1" si="125"/>
        <v>439106.97043959919</v>
      </c>
      <c r="N346" s="535">
        <f t="shared" ca="1" si="125"/>
        <v>398233.48503597593</v>
      </c>
      <c r="O346" s="535">
        <f t="shared" ca="1" si="125"/>
        <v>357359.99963235267</v>
      </c>
      <c r="P346" s="535">
        <f t="shared" ca="1" si="125"/>
        <v>348425.99956708896</v>
      </c>
      <c r="Q346" s="535">
        <f t="shared" ca="1" si="125"/>
        <v>339491.99950182525</v>
      </c>
      <c r="R346" s="535">
        <f t="shared" ca="1" si="125"/>
        <v>330557.99943656154</v>
      </c>
      <c r="S346" s="535">
        <f t="shared" ca="1" si="125"/>
        <v>321623.99937129783</v>
      </c>
      <c r="T346" s="535">
        <f t="shared" ca="1" si="125"/>
        <v>312689.99930603412</v>
      </c>
      <c r="U346" s="535">
        <f t="shared" ca="1" si="125"/>
        <v>303755.99924077041</v>
      </c>
      <c r="V346" s="535">
        <f t="shared" ca="1" si="125"/>
        <v>294821.9991755067</v>
      </c>
      <c r="W346" s="535">
        <f t="shared" ca="1" si="125"/>
        <v>285887.99911024299</v>
      </c>
      <c r="X346" s="535">
        <f t="shared" ca="1" si="125"/>
        <v>276953.99904497928</v>
      </c>
      <c r="Y346" s="535">
        <f t="shared" ca="1" si="125"/>
        <v>268019.99897971557</v>
      </c>
      <c r="Z346" s="535">
        <f t="shared" ca="1" si="125"/>
        <v>259085.99891445186</v>
      </c>
      <c r="AA346" s="535">
        <f t="shared" ca="1" si="125"/>
        <v>250151.99884918815</v>
      </c>
      <c r="AB346" s="535">
        <f t="shared" ca="1" si="125"/>
        <v>241217.99878392444</v>
      </c>
      <c r="AC346" s="535">
        <f t="shared" ca="1" si="125"/>
        <v>232283.99871866073</v>
      </c>
      <c r="AD346" s="535">
        <f t="shared" ca="1" si="125"/>
        <v>223349.99865339702</v>
      </c>
      <c r="AE346" s="535">
        <f t="shared" ca="1" si="125"/>
        <v>214415.99858813331</v>
      </c>
      <c r="AF346" s="535">
        <f t="shared" ca="1" si="125"/>
        <v>205481.9985228696</v>
      </c>
      <c r="AG346" s="535">
        <f t="shared" ca="1" si="125"/>
        <v>196547.99845760589</v>
      </c>
      <c r="AH346" s="535">
        <f ca="1">AG346+AH345-AH347</f>
        <v>187613.99839234218</v>
      </c>
      <c r="AI346" s="535"/>
      <c r="AJ346" s="535"/>
      <c r="AK346" s="535"/>
      <c r="AO346" s="283"/>
      <c r="AP346" s="71"/>
      <c r="AQ346" s="283"/>
      <c r="AR346" s="71"/>
      <c r="AS346" s="283"/>
    </row>
    <row r="347" spans="1:49" s="62" customFormat="1" hidden="1" outlineLevel="1" x14ac:dyDescent="0.2">
      <c r="A347" s="62" t="s">
        <v>276</v>
      </c>
      <c r="B347" s="535">
        <f ca="1">Aprekini!B298+Aprekini!B293</f>
        <v>0</v>
      </c>
      <c r="C347" s="535">
        <f ca="1">Aprekini!C298+Aprekini!C293</f>
        <v>0</v>
      </c>
      <c r="D347" s="535">
        <f ca="1">Aprekini!D298+Aprekini!D293</f>
        <v>0</v>
      </c>
      <c r="E347" s="535">
        <f ca="1">Aprekini!E298+Aprekini!E293</f>
        <v>0</v>
      </c>
      <c r="F347" s="448">
        <f ca="1">Aprekini!F298+Aprekini!F293</f>
        <v>40873.485403623279</v>
      </c>
      <c r="G347" s="535">
        <f ca="1">Aprekini!G298+Aprekini!G293</f>
        <v>40873.485403623279</v>
      </c>
      <c r="H347" s="535">
        <f ca="1">Aprekini!H298+Aprekini!H293</f>
        <v>40873.485403623279</v>
      </c>
      <c r="I347" s="535">
        <f ca="1">Aprekini!I298+Aprekini!I293</f>
        <v>40873.485403623279</v>
      </c>
      <c r="J347" s="535">
        <f ca="1">Aprekini!J298+Aprekini!J293</f>
        <v>40873.485403623279</v>
      </c>
      <c r="K347" s="535">
        <f ca="1">Aprekini!K298+Aprekini!K293</f>
        <v>40873.485403623279</v>
      </c>
      <c r="L347" s="535">
        <f ca="1">Aprekini!L298+Aprekini!L293</f>
        <v>40873.485403623279</v>
      </c>
      <c r="M347" s="535">
        <f ca="1">Aprekini!M298+Aprekini!M293</f>
        <v>40873.485403623279</v>
      </c>
      <c r="N347" s="535">
        <f ca="1">Aprekini!N298+Aprekini!N293</f>
        <v>40873.485403623279</v>
      </c>
      <c r="O347" s="535">
        <f ca="1">Aprekini!O298+Aprekini!O293</f>
        <v>40873.485403623279</v>
      </c>
      <c r="P347" s="535">
        <f ca="1">Aprekini!P298+Aprekini!P293</f>
        <v>8934.0000652636954</v>
      </c>
      <c r="Q347" s="535">
        <f ca="1">Aprekini!Q298+Aprekini!Q293</f>
        <v>8934.0000652636954</v>
      </c>
      <c r="R347" s="535">
        <f ca="1">Aprekini!R298+Aprekini!R293</f>
        <v>8934.0000652636954</v>
      </c>
      <c r="S347" s="535">
        <f ca="1">Aprekini!S298+Aprekini!S293</f>
        <v>8934.0000652636954</v>
      </c>
      <c r="T347" s="535">
        <f ca="1">Aprekini!T298+Aprekini!T293</f>
        <v>8934.0000652636954</v>
      </c>
      <c r="U347" s="535">
        <f ca="1">Aprekini!U298+Aprekini!U293</f>
        <v>8934.0000652636954</v>
      </c>
      <c r="V347" s="535">
        <f ca="1">Aprekini!V298+Aprekini!V293</f>
        <v>8934.0000652636954</v>
      </c>
      <c r="W347" s="535">
        <f ca="1">Aprekini!W298+Aprekini!W293</f>
        <v>8934.0000652636954</v>
      </c>
      <c r="X347" s="535">
        <f ca="1">Aprekini!X298+Aprekini!X293</f>
        <v>8934.0000652636954</v>
      </c>
      <c r="Y347" s="535">
        <f ca="1">Aprekini!Y298+Aprekini!Y293</f>
        <v>8934.0000652636954</v>
      </c>
      <c r="Z347" s="535">
        <f ca="1">Aprekini!Z298+Aprekini!Z293</f>
        <v>8934.0000652636954</v>
      </c>
      <c r="AA347" s="535">
        <f ca="1">Aprekini!AA298+Aprekini!AA293</f>
        <v>8934.0000652636954</v>
      </c>
      <c r="AB347" s="535">
        <f ca="1">Aprekini!AB298+Aprekini!AB293</f>
        <v>8934.0000652636954</v>
      </c>
      <c r="AC347" s="535">
        <f ca="1">Aprekini!AC298+Aprekini!AC293</f>
        <v>8934.0000652636954</v>
      </c>
      <c r="AD347" s="535">
        <f ca="1">Aprekini!AD298+Aprekini!AD293</f>
        <v>8934.0000652636954</v>
      </c>
      <c r="AE347" s="535">
        <f ca="1">Aprekini!AE298+Aprekini!AE293</f>
        <v>8934.0000652636954</v>
      </c>
      <c r="AF347" s="535">
        <f ca="1">Aprekini!AF298+Aprekini!AF293</f>
        <v>8934.0000652636954</v>
      </c>
      <c r="AG347" s="535">
        <f ca="1">Aprekini!AG298+Aprekini!AG293</f>
        <v>8934.0000652636954</v>
      </c>
      <c r="AH347" s="535">
        <f ca="1">Aprekini!AH298+Aprekini!AH293</f>
        <v>8934.0000652636954</v>
      </c>
      <c r="AI347" s="535"/>
      <c r="AJ347" s="535"/>
      <c r="AK347" s="535"/>
      <c r="AO347" s="283"/>
      <c r="AP347" s="71"/>
      <c r="AQ347" s="283"/>
      <c r="AR347" s="71"/>
      <c r="AS347" s="283"/>
    </row>
    <row r="348" spans="1:49" s="62" customFormat="1" hidden="1" outlineLevel="1" x14ac:dyDescent="0.2">
      <c r="C348" s="535">
        <f t="shared" ref="C348:AG348" si="126">C321+C322+C323-B321-B322-B323</f>
        <v>-28432</v>
      </c>
      <c r="D348" s="535">
        <f t="shared" si="126"/>
        <v>518027</v>
      </c>
      <c r="E348" s="535">
        <f t="shared" si="126"/>
        <v>1053768</v>
      </c>
      <c r="F348" s="448">
        <f t="shared" si="126"/>
        <v>-115325</v>
      </c>
      <c r="G348" s="535">
        <f t="shared" si="126"/>
        <v>-115327</v>
      </c>
      <c r="H348" s="535">
        <f t="shared" si="126"/>
        <v>-115325</v>
      </c>
      <c r="I348" s="535">
        <f t="shared" si="126"/>
        <v>-115327</v>
      </c>
      <c r="J348" s="535">
        <f t="shared" si="126"/>
        <v>-115325</v>
      </c>
      <c r="K348" s="535">
        <f t="shared" si="126"/>
        <v>-115326</v>
      </c>
      <c r="L348" s="535">
        <f t="shared" si="126"/>
        <v>-115326</v>
      </c>
      <c r="M348" s="535">
        <f t="shared" si="126"/>
        <v>-115326</v>
      </c>
      <c r="N348" s="535">
        <f t="shared" si="126"/>
        <v>-115326</v>
      </c>
      <c r="O348" s="535">
        <f t="shared" si="126"/>
        <v>-115326</v>
      </c>
      <c r="P348" s="535">
        <f t="shared" si="126"/>
        <v>-47425</v>
      </c>
      <c r="Q348" s="535">
        <f t="shared" si="126"/>
        <v>-39313</v>
      </c>
      <c r="R348" s="535">
        <f t="shared" si="126"/>
        <v>-39293</v>
      </c>
      <c r="S348" s="535">
        <f t="shared" si="126"/>
        <v>-39293</v>
      </c>
      <c r="T348" s="535">
        <f t="shared" si="126"/>
        <v>-39293</v>
      </c>
      <c r="U348" s="535">
        <f t="shared" si="126"/>
        <v>-39293</v>
      </c>
      <c r="V348" s="535">
        <f t="shared" si="126"/>
        <v>-39293</v>
      </c>
      <c r="W348" s="535">
        <f t="shared" si="126"/>
        <v>-39293</v>
      </c>
      <c r="X348" s="535">
        <f t="shared" si="126"/>
        <v>-39293</v>
      </c>
      <c r="Y348" s="535">
        <f t="shared" si="126"/>
        <v>-39293</v>
      </c>
      <c r="Z348" s="535">
        <f t="shared" si="126"/>
        <v>-39293</v>
      </c>
      <c r="AA348" s="535">
        <f t="shared" si="126"/>
        <v>-39293</v>
      </c>
      <c r="AB348" s="535">
        <f t="shared" si="126"/>
        <v>-39293</v>
      </c>
      <c r="AC348" s="535">
        <f t="shared" si="126"/>
        <v>-39293</v>
      </c>
      <c r="AD348" s="535">
        <f t="shared" si="126"/>
        <v>-39293</v>
      </c>
      <c r="AE348" s="535">
        <f t="shared" si="126"/>
        <v>-39293</v>
      </c>
      <c r="AF348" s="535">
        <f t="shared" si="126"/>
        <v>-39293</v>
      </c>
      <c r="AG348" s="535">
        <f t="shared" si="126"/>
        <v>-39293</v>
      </c>
      <c r="AH348" s="535">
        <f>AH321+AH322+AH323-AG321-AG322-AG323</f>
        <v>-39293</v>
      </c>
      <c r="AI348" s="535"/>
      <c r="AJ348" s="535"/>
      <c r="AK348" s="535"/>
      <c r="AO348" s="283"/>
      <c r="AP348" s="71"/>
      <c r="AQ348" s="283"/>
      <c r="AR348" s="71"/>
      <c r="AS348" s="283"/>
    </row>
    <row r="349" spans="1:49" s="62" customFormat="1" hidden="1" outlineLevel="1" x14ac:dyDescent="0.2">
      <c r="C349" s="535">
        <f t="shared" ref="C349:AG349" ca="1" si="127">C334+C336-B336-B334</f>
        <v>0</v>
      </c>
      <c r="D349" s="535">
        <f t="shared" ca="1" si="127"/>
        <v>250873.37754615597</v>
      </c>
      <c r="E349" s="535">
        <f t="shared" ca="1" si="127"/>
        <v>515221.47612242959</v>
      </c>
      <c r="F349" s="448">
        <f t="shared" ca="1" si="127"/>
        <v>-40873.485403623316</v>
      </c>
      <c r="G349" s="535">
        <f t="shared" ca="1" si="127"/>
        <v>-40873.485403623316</v>
      </c>
      <c r="H349" s="535">
        <f t="shared" ca="1" si="127"/>
        <v>-40873.485403623316</v>
      </c>
      <c r="I349" s="535">
        <f t="shared" ca="1" si="127"/>
        <v>-40873.485403623316</v>
      </c>
      <c r="J349" s="535">
        <f t="shared" ca="1" si="127"/>
        <v>-40873.485403623257</v>
      </c>
      <c r="K349" s="535">
        <f t="shared" ca="1" si="127"/>
        <v>-40873.485403623257</v>
      </c>
      <c r="L349" s="535">
        <f t="shared" ca="1" si="127"/>
        <v>-40873.485403623257</v>
      </c>
      <c r="M349" s="535">
        <f t="shared" ca="1" si="127"/>
        <v>-40873.485403623257</v>
      </c>
      <c r="N349" s="535">
        <f t="shared" ca="1" si="127"/>
        <v>-40873.485403623257</v>
      </c>
      <c r="O349" s="535">
        <f t="shared" ca="1" si="127"/>
        <v>-40873.485403623257</v>
      </c>
      <c r="P349" s="535">
        <f t="shared" ca="1" si="127"/>
        <v>-8934.00006526371</v>
      </c>
      <c r="Q349" s="535">
        <f t="shared" ca="1" si="127"/>
        <v>-8934.00006526371</v>
      </c>
      <c r="R349" s="535">
        <f t="shared" ca="1" si="127"/>
        <v>-8934.00006526371</v>
      </c>
      <c r="S349" s="535">
        <f t="shared" ca="1" si="127"/>
        <v>-8934.00006526371</v>
      </c>
      <c r="T349" s="535">
        <f t="shared" ca="1" si="127"/>
        <v>-8934.00006526371</v>
      </c>
      <c r="U349" s="535">
        <f t="shared" ca="1" si="127"/>
        <v>-8934.00006526371</v>
      </c>
      <c r="V349" s="535">
        <f t="shared" ca="1" si="127"/>
        <v>-8934.00006526371</v>
      </c>
      <c r="W349" s="535">
        <f t="shared" ca="1" si="127"/>
        <v>-8934.00006526371</v>
      </c>
      <c r="X349" s="535">
        <f t="shared" ca="1" si="127"/>
        <v>-8934.00006526371</v>
      </c>
      <c r="Y349" s="535">
        <f t="shared" ca="1" si="127"/>
        <v>-8934.00006526371</v>
      </c>
      <c r="Z349" s="535">
        <f t="shared" ca="1" si="127"/>
        <v>-8934.00006526371</v>
      </c>
      <c r="AA349" s="535">
        <f t="shared" ca="1" si="127"/>
        <v>-8934.00006526371</v>
      </c>
      <c r="AB349" s="535">
        <f t="shared" ca="1" si="127"/>
        <v>-8934.00006526371</v>
      </c>
      <c r="AC349" s="535">
        <f t="shared" ca="1" si="127"/>
        <v>-8934.00006526371</v>
      </c>
      <c r="AD349" s="535">
        <f t="shared" ca="1" si="127"/>
        <v>-8934.00006526371</v>
      </c>
      <c r="AE349" s="535">
        <f t="shared" ca="1" si="127"/>
        <v>-8934.00006526371</v>
      </c>
      <c r="AF349" s="535">
        <f t="shared" ca="1" si="127"/>
        <v>-8934.00006526371</v>
      </c>
      <c r="AG349" s="535">
        <f t="shared" ca="1" si="127"/>
        <v>-8934.00006526371</v>
      </c>
      <c r="AH349" s="535">
        <f ca="1">AH334+AH336-AG336-AG334</f>
        <v>-8934.00006526371</v>
      </c>
      <c r="AI349" s="535"/>
      <c r="AJ349" s="535"/>
      <c r="AK349" s="535"/>
      <c r="AO349" s="283"/>
      <c r="AP349" s="71"/>
      <c r="AQ349" s="283"/>
      <c r="AR349" s="71"/>
      <c r="AS349" s="283"/>
    </row>
    <row r="350" spans="1:49" collapsed="1" x14ac:dyDescent="0.2">
      <c r="B350" s="61"/>
      <c r="AO350" s="283"/>
      <c r="AP350" s="71"/>
      <c r="AQ350" s="283"/>
      <c r="AR350" s="71"/>
      <c r="AS350" s="283"/>
    </row>
    <row r="351" spans="1:49" ht="12.4" customHeight="1" x14ac:dyDescent="0.2">
      <c r="B351" s="727"/>
      <c r="C351" s="727"/>
      <c r="D351" s="727"/>
      <c r="E351" s="727"/>
      <c r="F351" s="727"/>
      <c r="G351" s="727"/>
      <c r="H351" s="727"/>
      <c r="I351" s="727"/>
      <c r="J351" s="727"/>
      <c r="K351" s="727"/>
      <c r="L351" s="727"/>
      <c r="M351" s="727"/>
      <c r="N351" s="727"/>
      <c r="O351" s="727"/>
      <c r="P351" s="727"/>
      <c r="Q351" s="727"/>
      <c r="R351" s="727"/>
      <c r="S351" s="727"/>
      <c r="T351" s="727"/>
      <c r="U351" s="727"/>
      <c r="V351" s="727"/>
      <c r="W351" s="727"/>
      <c r="X351" s="727"/>
      <c r="Y351" s="727"/>
      <c r="Z351" s="727"/>
      <c r="AA351" s="727"/>
      <c r="AB351" s="727"/>
      <c r="AC351" s="727"/>
      <c r="AD351" s="727"/>
      <c r="AE351" s="727"/>
      <c r="AF351" s="727"/>
      <c r="AG351" s="727"/>
      <c r="AH351" s="727"/>
    </row>
    <row r="352" spans="1:49" x14ac:dyDescent="0.2">
      <c r="B352" s="728"/>
      <c r="C352" s="728"/>
      <c r="D352" s="728"/>
      <c r="E352" s="728"/>
      <c r="F352" s="728"/>
      <c r="G352" s="728"/>
      <c r="H352" s="728"/>
      <c r="I352" s="728"/>
      <c r="J352" s="728"/>
      <c r="K352" s="728"/>
      <c r="L352" s="728"/>
      <c r="M352" s="728"/>
      <c r="N352" s="728"/>
      <c r="O352" s="728"/>
      <c r="P352" s="728"/>
      <c r="Q352" s="728"/>
      <c r="R352" s="728"/>
      <c r="S352" s="728"/>
      <c r="T352" s="728"/>
      <c r="U352" s="728"/>
      <c r="V352" s="728"/>
      <c r="W352" s="728"/>
      <c r="X352" s="728"/>
      <c r="Y352" s="728"/>
      <c r="Z352" s="728"/>
      <c r="AA352" s="728"/>
      <c r="AB352" s="728"/>
      <c r="AC352" s="728"/>
      <c r="AD352" s="728"/>
      <c r="AE352" s="728"/>
      <c r="AF352" s="728"/>
      <c r="AG352" s="728"/>
      <c r="AH352" s="728"/>
    </row>
    <row r="353" spans="1:35" x14ac:dyDescent="0.2">
      <c r="B353" s="729"/>
      <c r="C353" s="729"/>
      <c r="D353" s="729"/>
      <c r="E353" s="729"/>
      <c r="F353" s="729"/>
      <c r="G353" s="729"/>
      <c r="H353" s="729"/>
      <c r="I353" s="729"/>
      <c r="J353" s="729"/>
      <c r="K353" s="729"/>
      <c r="L353" s="729"/>
      <c r="M353" s="729"/>
      <c r="N353" s="729"/>
      <c r="O353" s="729"/>
      <c r="P353" s="729"/>
      <c r="Q353" s="729"/>
      <c r="R353" s="729"/>
      <c r="S353" s="729"/>
      <c r="T353" s="729"/>
      <c r="U353" s="729"/>
      <c r="V353" s="729"/>
      <c r="W353" s="729"/>
      <c r="X353" s="729"/>
      <c r="Y353" s="729"/>
      <c r="Z353" s="729"/>
      <c r="AA353" s="729"/>
      <c r="AB353" s="729"/>
      <c r="AC353" s="729"/>
      <c r="AD353" s="729"/>
      <c r="AE353" s="729"/>
      <c r="AF353" s="729"/>
      <c r="AG353" s="729"/>
      <c r="AH353" s="729"/>
    </row>
    <row r="355" spans="1:35" x14ac:dyDescent="0.2">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row>
    <row r="357" spans="1:35" x14ac:dyDescent="0.2">
      <c r="J357" s="725"/>
      <c r="K357" s="725"/>
      <c r="L357" s="725"/>
      <c r="M357" s="725"/>
      <c r="N357" s="725"/>
      <c r="O357" s="725"/>
      <c r="P357" s="725"/>
      <c r="Q357" s="725"/>
      <c r="R357" s="725"/>
      <c r="S357" s="725"/>
      <c r="T357" s="725"/>
      <c r="U357" s="725"/>
      <c r="V357" s="725"/>
      <c r="W357" s="725"/>
      <c r="X357" s="725"/>
      <c r="Y357" s="725"/>
      <c r="Z357" s="725"/>
      <c r="AA357" s="725"/>
      <c r="AB357" s="725"/>
      <c r="AC357" s="725"/>
      <c r="AD357" s="725"/>
      <c r="AE357" s="725"/>
      <c r="AF357" s="725"/>
      <c r="AG357" s="725"/>
      <c r="AH357" s="725"/>
    </row>
    <row r="359" spans="1:35" x14ac:dyDescent="0.2">
      <c r="I359" s="725"/>
      <c r="J359" s="725"/>
      <c r="K359" s="725"/>
      <c r="L359" s="725"/>
      <c r="M359" s="725"/>
      <c r="N359" s="725"/>
      <c r="O359" s="725"/>
      <c r="P359" s="725"/>
      <c r="Q359" s="725"/>
      <c r="R359" s="725"/>
      <c r="S359" s="725"/>
      <c r="T359" s="725"/>
      <c r="U359" s="725"/>
      <c r="V359" s="725"/>
      <c r="W359" s="725"/>
      <c r="X359" s="725"/>
      <c r="Y359" s="725"/>
      <c r="Z359" s="725"/>
      <c r="AA359" s="725"/>
      <c r="AB359" s="725"/>
      <c r="AC359" s="725"/>
      <c r="AD359" s="725"/>
      <c r="AE359" s="725"/>
      <c r="AF359" s="725"/>
      <c r="AG359" s="725"/>
      <c r="AH359" s="725"/>
    </row>
    <row r="360" spans="1:35" x14ac:dyDescent="0.2">
      <c r="AI360" s="725">
        <v>-2.3283064365386963E-10</v>
      </c>
    </row>
    <row r="361" spans="1:35" x14ac:dyDescent="0.2">
      <c r="AI361" s="61" t="e">
        <f>AI355-#REF!</f>
        <v>#REF!</v>
      </c>
    </row>
    <row r="368" spans="1:35" x14ac:dyDescent="0.2">
      <c r="A368" s="75"/>
      <c r="B368" s="75"/>
      <c r="C368" s="75"/>
      <c r="D368" s="75"/>
      <c r="E368" s="75"/>
      <c r="F368" s="260"/>
      <c r="G368" s="75"/>
    </row>
    <row r="369" spans="1:7" x14ac:dyDescent="0.2">
      <c r="A369" s="75"/>
      <c r="B369" s="75"/>
      <c r="C369" s="75"/>
      <c r="D369" s="75"/>
      <c r="E369" s="75"/>
      <c r="F369" s="260"/>
      <c r="G369" s="75"/>
    </row>
    <row r="370" spans="1:7" x14ac:dyDescent="0.2">
      <c r="A370" s="75"/>
      <c r="B370" s="75"/>
      <c r="C370" s="75"/>
      <c r="D370" s="75"/>
      <c r="E370" s="75"/>
      <c r="F370" s="260"/>
      <c r="G370" s="75"/>
    </row>
    <row r="371" spans="1:7" x14ac:dyDescent="0.2">
      <c r="A371" s="75"/>
      <c r="B371" s="75"/>
      <c r="C371" s="75"/>
      <c r="D371" s="75"/>
      <c r="E371" s="75"/>
      <c r="F371" s="260"/>
      <c r="G371" s="75"/>
    </row>
    <row r="372" spans="1:7" x14ac:dyDescent="0.2">
      <c r="A372" s="75"/>
      <c r="B372" s="75"/>
      <c r="C372" s="75"/>
      <c r="D372" s="75"/>
      <c r="E372" s="75"/>
      <c r="F372" s="260"/>
      <c r="G372" s="75"/>
    </row>
    <row r="373" spans="1:7" x14ac:dyDescent="0.2">
      <c r="A373" s="75"/>
      <c r="B373" s="75"/>
      <c r="C373" s="75"/>
      <c r="D373" s="75"/>
      <c r="E373" s="75"/>
      <c r="F373" s="260"/>
      <c r="G373" s="75"/>
    </row>
    <row r="374" spans="1:7" x14ac:dyDescent="0.2">
      <c r="A374" s="75"/>
      <c r="B374" s="75"/>
      <c r="C374" s="75"/>
      <c r="D374" s="75"/>
      <c r="E374" s="75"/>
      <c r="F374" s="260"/>
      <c r="G374" s="75"/>
    </row>
    <row r="375" spans="1:7" x14ac:dyDescent="0.2">
      <c r="A375" s="75"/>
      <c r="B375" s="75"/>
      <c r="C375" s="75"/>
      <c r="D375" s="75"/>
      <c r="E375" s="75"/>
      <c r="F375" s="260"/>
      <c r="G375" s="75"/>
    </row>
    <row r="376" spans="1:7" x14ac:dyDescent="0.2">
      <c r="A376" s="75"/>
      <c r="B376" s="75"/>
      <c r="C376" s="75"/>
      <c r="D376" s="75"/>
      <c r="E376" s="75"/>
      <c r="F376" s="260"/>
      <c r="G376" s="75"/>
    </row>
    <row r="377" spans="1:7" x14ac:dyDescent="0.2">
      <c r="A377" s="75"/>
      <c r="B377" s="75"/>
      <c r="C377" s="75"/>
      <c r="D377" s="75"/>
      <c r="E377" s="75"/>
      <c r="F377" s="260"/>
      <c r="G377" s="75"/>
    </row>
    <row r="378" spans="1:7" x14ac:dyDescent="0.2">
      <c r="A378" s="75"/>
      <c r="B378" s="75"/>
      <c r="C378" s="75"/>
      <c r="D378" s="75"/>
      <c r="E378" s="75"/>
      <c r="F378" s="260"/>
      <c r="G378" s="75"/>
    </row>
    <row r="379" spans="1:7" x14ac:dyDescent="0.2">
      <c r="A379" s="75"/>
      <c r="B379" s="75"/>
      <c r="C379" s="75"/>
      <c r="D379" s="75"/>
      <c r="E379" s="75"/>
      <c r="F379" s="260"/>
      <c r="G379" s="75"/>
    </row>
    <row r="380" spans="1:7" x14ac:dyDescent="0.2">
      <c r="A380" s="75"/>
      <c r="B380" s="75"/>
      <c r="C380" s="75"/>
      <c r="D380" s="75"/>
      <c r="E380" s="75"/>
      <c r="F380" s="260"/>
      <c r="G380" s="75"/>
    </row>
    <row r="381" spans="1:7" x14ac:dyDescent="0.2">
      <c r="A381" s="75"/>
      <c r="B381" s="75"/>
      <c r="C381" s="75"/>
      <c r="D381" s="75"/>
      <c r="E381" s="75"/>
      <c r="F381" s="260"/>
      <c r="G381" s="75"/>
    </row>
    <row r="382" spans="1:7" x14ac:dyDescent="0.2">
      <c r="A382" s="75"/>
      <c r="B382" s="75"/>
      <c r="C382" s="75"/>
      <c r="D382" s="75"/>
      <c r="E382" s="75"/>
      <c r="F382" s="260"/>
      <c r="G382" s="75"/>
    </row>
    <row r="383" spans="1:7" x14ac:dyDescent="0.2">
      <c r="A383" s="75"/>
      <c r="B383" s="75"/>
      <c r="C383" s="75"/>
      <c r="D383" s="75"/>
      <c r="E383" s="75"/>
      <c r="F383" s="260"/>
      <c r="G383" s="75"/>
    </row>
    <row r="384" spans="1:7" x14ac:dyDescent="0.2">
      <c r="A384" s="75"/>
      <c r="B384" s="75"/>
      <c r="C384" s="75"/>
      <c r="D384" s="75"/>
      <c r="E384" s="75"/>
      <c r="F384" s="260"/>
      <c r="G384" s="75"/>
    </row>
    <row r="385" spans="1:7" x14ac:dyDescent="0.2">
      <c r="A385" s="75"/>
      <c r="B385" s="75"/>
      <c r="C385" s="75"/>
      <c r="D385" s="75"/>
      <c r="E385" s="75"/>
      <c r="F385" s="260"/>
      <c r="G385" s="75"/>
    </row>
  </sheetData>
  <phoneticPr fontId="2" type="noConversion"/>
  <dataValidations disablePrompts="1" count="2">
    <dataValidation operator="equal" allowBlank="1" showErrorMessage="1" errorTitle="Jāievada pozitīvs skaitlis" error="Jāievada pozitīvs skaitlis" sqref="C19:AI27 C8:AI16 B17:AI18">
      <formula1>0</formula1>
      <formula2>0</formula2>
    </dataValidation>
    <dataValidation type="decimal" operator="greaterThanOrEqual" allowBlank="1" showErrorMessage="1" errorTitle="Jāievada pozitīvs skaitlis" error="Jāievada pozitīvs skaitlis" sqref="B19:B27 B8:B16">
      <formula1>0</formula1>
      <formula2>0</formula2>
    </dataValidation>
  </dataValidations>
  <printOptions horizontalCentered="1"/>
  <pageMargins left="0.59027777777777779" right="0.59027777777777779" top="1" bottom="1.1388888888888888" header="0.51180555555555551" footer="1"/>
  <pageSetup paperSize="9" scale="59" firstPageNumber="0" pageOrder="overThenDown" orientation="landscape" horizontalDpi="300" verticalDpi="300"/>
  <headerFooter alignWithMargins="0">
    <oddFooter>&amp;L&amp;A&amp;R&amp;P</oddFooter>
  </headerFooter>
  <rowBreaks count="4" manualBreakCount="4">
    <brk id="74" max="16383" man="1"/>
    <brk id="112" max="16383" man="1"/>
    <brk id="229" max="16383" man="1"/>
    <brk id="284" max="16383" man="1"/>
  </rowBreaks>
  <colBreaks count="1" manualBreakCount="1">
    <brk id="19" max="1048575" man="1"/>
  </colBreak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59"/>
  <sheetViews>
    <sheetView topLeftCell="A26" zoomScaleNormal="100" workbookViewId="0">
      <selection activeCell="G38" sqref="G38"/>
    </sheetView>
  </sheetViews>
  <sheetFormatPr defaultRowHeight="11.25" x14ac:dyDescent="0.2"/>
  <cols>
    <col min="1" max="1" width="5.140625" style="75" customWidth="1"/>
    <col min="2" max="2" width="54.85546875" style="75" customWidth="1"/>
    <col min="3" max="3" width="18.5703125" style="75" customWidth="1"/>
    <col min="4" max="4" width="24.85546875" style="75" customWidth="1"/>
    <col min="5" max="5" width="13.85546875" style="75" customWidth="1"/>
    <col min="6" max="6" width="11.140625" style="75" customWidth="1"/>
    <col min="7" max="7" width="13" style="75" customWidth="1"/>
    <col min="8" max="16384" width="9.140625" style="75"/>
  </cols>
  <sheetData>
    <row r="1" spans="1:5" ht="18" customHeight="1" x14ac:dyDescent="0.2">
      <c r="B1" s="536" t="str">
        <f>'Datu ievade'!B6</f>
        <v>A pašvaldība</v>
      </c>
      <c r="C1" s="838" t="str">
        <f>'Datu ievade'!B8</f>
        <v>Ūdenssaimniecības attīstība A pašvaldībā</v>
      </c>
      <c r="D1" s="838"/>
      <c r="E1" s="838"/>
    </row>
    <row r="2" spans="1:5" ht="12.75" x14ac:dyDescent="0.2">
      <c r="A2" s="537"/>
      <c r="B2" s="538"/>
      <c r="C2" s="537"/>
      <c r="D2" s="537"/>
    </row>
    <row r="3" spans="1:5" ht="12.75" x14ac:dyDescent="0.2">
      <c r="A3" s="668" t="s">
        <v>360</v>
      </c>
      <c r="B3" s="537"/>
      <c r="C3" s="537"/>
      <c r="D3" s="537"/>
    </row>
    <row r="4" spans="1:5" ht="12.75" x14ac:dyDescent="0.2">
      <c r="A4" s="539"/>
      <c r="B4" s="537"/>
      <c r="C4" s="537"/>
      <c r="D4" s="537"/>
    </row>
    <row r="5" spans="1:5" ht="13.5" customHeight="1" x14ac:dyDescent="0.25">
      <c r="A5" s="540"/>
      <c r="B5" s="540" t="s">
        <v>361</v>
      </c>
      <c r="C5" s="541" t="s">
        <v>362</v>
      </c>
      <c r="D5" s="541" t="s">
        <v>363</v>
      </c>
    </row>
    <row r="6" spans="1:5" ht="13.5" customHeight="1" x14ac:dyDescent="0.2">
      <c r="A6" s="542">
        <v>1</v>
      </c>
      <c r="B6" s="543" t="s">
        <v>421</v>
      </c>
      <c r="C6" s="542"/>
      <c r="D6" s="542"/>
    </row>
    <row r="7" spans="1:5" ht="13.5" customHeight="1" x14ac:dyDescent="0.2">
      <c r="A7" s="542">
        <v>2</v>
      </c>
      <c r="B7" s="543" t="s">
        <v>451</v>
      </c>
      <c r="C7" s="542"/>
      <c r="D7" s="542"/>
    </row>
    <row r="8" spans="1:5" ht="13.5" customHeight="1" x14ac:dyDescent="0.2">
      <c r="A8" s="542">
        <v>3</v>
      </c>
      <c r="B8" s="543" t="s">
        <v>435</v>
      </c>
      <c r="C8" s="544">
        <f>Aprekini!B95</f>
        <v>1628659</v>
      </c>
      <c r="D8" s="542"/>
    </row>
    <row r="9" spans="1:5" ht="13.5" customHeight="1" x14ac:dyDescent="0.2">
      <c r="A9" s="542">
        <v>4</v>
      </c>
      <c r="B9" s="543" t="s">
        <v>436</v>
      </c>
      <c r="C9" s="542"/>
      <c r="D9" s="544">
        <f>Aprekini!B96</f>
        <v>1435982.1213992639</v>
      </c>
    </row>
    <row r="10" spans="1:5" ht="13.5" customHeight="1" x14ac:dyDescent="0.2">
      <c r="A10" s="542">
        <v>5</v>
      </c>
      <c r="B10" s="543" t="s">
        <v>437</v>
      </c>
      <c r="C10" s="544">
        <f>Aprekini!B97</f>
        <v>1060503.75</v>
      </c>
      <c r="D10" s="542"/>
    </row>
    <row r="11" spans="1:5" ht="13.5" customHeight="1" x14ac:dyDescent="0.2">
      <c r="A11" s="542">
        <v>6</v>
      </c>
      <c r="B11" s="543" t="s">
        <v>438</v>
      </c>
      <c r="C11" s="542"/>
      <c r="D11" s="544">
        <f>Aprekini!B98</f>
        <v>934462.15365050628</v>
      </c>
    </row>
    <row r="12" spans="1:5" ht="13.5" customHeight="1" x14ac:dyDescent="0.2">
      <c r="A12" s="542">
        <v>7</v>
      </c>
      <c r="B12" s="543" t="s">
        <v>439</v>
      </c>
      <c r="C12" s="544">
        <f>Aprekini!B105</f>
        <v>417846</v>
      </c>
      <c r="D12" s="542"/>
    </row>
    <row r="13" spans="1:5" ht="13.5" customHeight="1" x14ac:dyDescent="0.2">
      <c r="A13" s="542">
        <v>8</v>
      </c>
      <c r="B13" s="543" t="s">
        <v>440</v>
      </c>
      <c r="C13" s="542"/>
      <c r="D13" s="544">
        <f>Aprekini!B106</f>
        <v>42694.596019640318</v>
      </c>
    </row>
    <row r="14" spans="1:5" ht="13.5" customHeight="1" x14ac:dyDescent="0.2">
      <c r="A14" s="542">
        <v>9</v>
      </c>
      <c r="B14" s="543" t="s">
        <v>441</v>
      </c>
      <c r="C14" s="542"/>
      <c r="D14" s="718">
        <f ca="1">Aprekini!B100</f>
        <v>907836.33924713626</v>
      </c>
    </row>
    <row r="15" spans="1:5" ht="13.5" customHeight="1" x14ac:dyDescent="0.2">
      <c r="A15" s="542">
        <v>10</v>
      </c>
      <c r="B15" s="543" t="s">
        <v>442</v>
      </c>
      <c r="C15" s="542"/>
      <c r="D15" s="544">
        <f>Aprekini!B101</f>
        <v>734943.88564201538</v>
      </c>
    </row>
    <row r="16" spans="1:5" ht="87" customHeight="1" x14ac:dyDescent="0.2">
      <c r="A16" s="542">
        <v>11</v>
      </c>
      <c r="B16" s="543" t="s">
        <v>474</v>
      </c>
      <c r="C16" s="542"/>
      <c r="D16" s="544">
        <f ca="1">(D14-D15+D13)*(D11/D9)</f>
        <v>140292.79034143288</v>
      </c>
    </row>
    <row r="17" spans="1:7" ht="31.5" customHeight="1" x14ac:dyDescent="0.2">
      <c r="A17" s="542">
        <v>12</v>
      </c>
      <c r="B17" s="543" t="s">
        <v>475</v>
      </c>
      <c r="C17" s="542"/>
      <c r="D17" s="544">
        <f ca="1">D11-D16</f>
        <v>794169.36330907338</v>
      </c>
    </row>
    <row r="18" spans="1:7" ht="15" x14ac:dyDescent="0.25">
      <c r="A18" s="542">
        <v>13</v>
      </c>
      <c r="B18" s="543" t="s">
        <v>476</v>
      </c>
      <c r="C18" s="542"/>
      <c r="D18" s="678">
        <f ca="1">ROUND(D17/D11,8)</f>
        <v>0.84986786999999997</v>
      </c>
    </row>
    <row r="21" spans="1:7" ht="12.75" x14ac:dyDescent="0.2">
      <c r="A21" s="669" t="s">
        <v>345</v>
      </c>
      <c r="B21" s="546"/>
      <c r="C21" s="546"/>
      <c r="D21" s="546"/>
      <c r="E21" s="546"/>
      <c r="F21" s="546"/>
      <c r="G21" s="260"/>
    </row>
    <row r="22" spans="1:7" ht="12.75" x14ac:dyDescent="0.2">
      <c r="A22" s="546"/>
      <c r="B22" s="546"/>
      <c r="C22" s="546"/>
      <c r="D22" s="546"/>
      <c r="E22" s="546"/>
      <c r="F22" s="546"/>
      <c r="G22" s="260"/>
    </row>
    <row r="23" spans="1:7" ht="60" x14ac:dyDescent="0.2">
      <c r="A23" s="260"/>
      <c r="B23" s="547"/>
      <c r="C23" s="548" t="s">
        <v>346</v>
      </c>
      <c r="D23" s="548" t="s">
        <v>347</v>
      </c>
      <c r="E23" s="546"/>
      <c r="F23" s="546"/>
      <c r="G23" s="546"/>
    </row>
    <row r="24" spans="1:7" ht="14.25" x14ac:dyDescent="0.2">
      <c r="A24" s="260"/>
      <c r="B24" s="547" t="s">
        <v>348</v>
      </c>
      <c r="C24" s="549">
        <f ca="1">Aprekini!$M$189</f>
        <v>-2.3994371642728662E-2</v>
      </c>
      <c r="D24" s="549">
        <f ca="1">Aprekini!$M$242</f>
        <v>4.6692058548403192E-3</v>
      </c>
      <c r="E24" s="546"/>
      <c r="F24" s="546"/>
      <c r="G24" s="546"/>
    </row>
    <row r="25" spans="1:7" ht="14.25" x14ac:dyDescent="0.2">
      <c r="A25" s="260"/>
      <c r="B25" s="547" t="s">
        <v>443</v>
      </c>
      <c r="C25" s="734">
        <f ca="1">Aprekini!$M$190</f>
        <v>-1220395.0717745028</v>
      </c>
      <c r="D25" s="734">
        <f ca="1">Aprekini!$M$243</f>
        <v>-544932.29996007599</v>
      </c>
      <c r="E25" s="546"/>
      <c r="F25" s="546"/>
      <c r="G25" s="546"/>
    </row>
    <row r="26" spans="1:7" ht="12.75" x14ac:dyDescent="0.2">
      <c r="A26" s="260"/>
      <c r="B26" s="546"/>
      <c r="C26" s="546"/>
      <c r="D26" s="546"/>
      <c r="E26" s="546"/>
      <c r="F26" s="546"/>
      <c r="G26" s="546"/>
    </row>
    <row r="27" spans="1:7" ht="12.75" x14ac:dyDescent="0.2">
      <c r="A27" s="260"/>
      <c r="B27" s="546"/>
      <c r="C27" s="546"/>
      <c r="D27" s="546"/>
      <c r="E27" s="546"/>
      <c r="F27" s="546"/>
      <c r="G27" s="546"/>
    </row>
    <row r="28" spans="1:7" ht="12.75" x14ac:dyDescent="0.2">
      <c r="A28" s="669" t="s">
        <v>510</v>
      </c>
      <c r="B28" s="545"/>
      <c r="C28" s="546"/>
      <c r="D28" s="546"/>
      <c r="E28" s="546"/>
      <c r="F28" s="546"/>
      <c r="G28" s="546"/>
    </row>
    <row r="29" spans="1:7" ht="12.75" x14ac:dyDescent="0.2">
      <c r="A29" s="260"/>
      <c r="B29" s="546"/>
      <c r="C29" s="546"/>
      <c r="D29" s="546"/>
      <c r="E29" s="546"/>
      <c r="F29" s="546"/>
      <c r="G29" s="546"/>
    </row>
    <row r="30" spans="1:7" ht="12.75" x14ac:dyDescent="0.2">
      <c r="A30" s="260"/>
      <c r="B30" s="546" t="s">
        <v>349</v>
      </c>
      <c r="C30" s="546"/>
      <c r="D30" s="546"/>
      <c r="E30" s="546"/>
      <c r="F30" s="546"/>
      <c r="G30" s="546"/>
    </row>
    <row r="31" spans="1:7" ht="12.75" x14ac:dyDescent="0.2">
      <c r="A31" s="260"/>
      <c r="B31" s="546" t="s">
        <v>350</v>
      </c>
      <c r="C31" s="550">
        <f ca="1">C10*D18</f>
        <v>901288.06313951244</v>
      </c>
      <c r="D31" s="546"/>
      <c r="E31" s="546"/>
      <c r="F31" s="546"/>
      <c r="G31" s="546"/>
    </row>
    <row r="32" spans="1:7" ht="12.75" x14ac:dyDescent="0.2">
      <c r="A32" s="260"/>
      <c r="B32" s="546"/>
      <c r="C32" s="546"/>
      <c r="D32" s="546"/>
      <c r="E32" s="546"/>
      <c r="F32" s="546"/>
      <c r="G32" s="546"/>
    </row>
    <row r="33" spans="1:7" ht="12.75" x14ac:dyDescent="0.2">
      <c r="A33" s="260"/>
      <c r="B33" s="546" t="s">
        <v>351</v>
      </c>
      <c r="C33" s="551">
        <f>B38*D38</f>
        <v>901428.1875</v>
      </c>
      <c r="D33" s="546"/>
      <c r="E33" s="546"/>
      <c r="F33" s="546"/>
      <c r="G33" s="546"/>
    </row>
    <row r="34" spans="1:7" ht="12.75" x14ac:dyDescent="0.2">
      <c r="A34" s="260"/>
      <c r="B34" s="552" t="s">
        <v>352</v>
      </c>
      <c r="C34" s="550">
        <f ca="1">IF((C31*D38)&gt;C33,C33,C31*D38)</f>
        <v>766094.85366858554</v>
      </c>
      <c r="D34" s="546"/>
      <c r="E34" s="546"/>
      <c r="F34" s="546"/>
      <c r="G34" s="546"/>
    </row>
    <row r="35" spans="1:7" ht="12.75" x14ac:dyDescent="0.2">
      <c r="B35" s="553" t="s">
        <v>353</v>
      </c>
      <c r="C35" s="551">
        <f ca="1">C31*D38</f>
        <v>766094.85366858554</v>
      </c>
      <c r="D35" s="546"/>
      <c r="E35" s="546"/>
      <c r="F35" s="546"/>
      <c r="G35" s="546"/>
    </row>
    <row r="36" spans="1:7" ht="89.25" x14ac:dyDescent="0.2">
      <c r="B36" s="554" t="s">
        <v>444</v>
      </c>
      <c r="C36" s="554" t="s">
        <v>354</v>
      </c>
      <c r="D36" s="554" t="s">
        <v>355</v>
      </c>
      <c r="E36" s="554" t="s">
        <v>445</v>
      </c>
      <c r="F36" s="554" t="s">
        <v>356</v>
      </c>
      <c r="G36" s="554" t="s">
        <v>446</v>
      </c>
    </row>
    <row r="37" spans="1:7" ht="12.75" x14ac:dyDescent="0.2">
      <c r="B37" s="555">
        <v>1</v>
      </c>
      <c r="C37" s="555">
        <v>2</v>
      </c>
      <c r="D37" s="555">
        <v>3</v>
      </c>
      <c r="E37" s="555" t="s">
        <v>357</v>
      </c>
      <c r="F37" s="555" t="s">
        <v>358</v>
      </c>
      <c r="G37" s="555" t="s">
        <v>359</v>
      </c>
    </row>
    <row r="38" spans="1:7" ht="12.75" x14ac:dyDescent="0.2">
      <c r="B38" s="556">
        <f>C10</f>
        <v>1060503.75</v>
      </c>
      <c r="C38" s="671">
        <f ca="1">Līdzfinansējums!D18</f>
        <v>0.84986786999999997</v>
      </c>
      <c r="D38" s="672">
        <f>'Datu ievade'!B91</f>
        <v>0.85</v>
      </c>
      <c r="E38" s="557">
        <f ca="1">B38*C38</f>
        <v>901288.06313951244</v>
      </c>
      <c r="F38" s="673">
        <f ca="1">ROUND(IF(C33&lt;C34,D38,G38/B38),8)</f>
        <v>0.72238769000000003</v>
      </c>
      <c r="G38" s="557">
        <f ca="1">IF((E38*D38)&gt;C34,C34,E38*D38)</f>
        <v>766094.85366858554</v>
      </c>
    </row>
    <row r="39" spans="1:7" ht="12.75" x14ac:dyDescent="0.2">
      <c r="B39" s="813"/>
      <c r="C39" s="814"/>
      <c r="D39" s="815"/>
      <c r="E39" s="816"/>
      <c r="F39" s="817"/>
      <c r="G39" s="816"/>
    </row>
    <row r="40" spans="1:7" ht="12.75" x14ac:dyDescent="0.2">
      <c r="B40" s="812">
        <f>'Datu ievade'!C92</f>
        <v>1628659</v>
      </c>
      <c r="C40" s="546" t="s">
        <v>582</v>
      </c>
      <c r="D40" s="546"/>
      <c r="E40" s="546"/>
      <c r="F40" s="674">
        <f ca="1">G38/B40</f>
        <v>0.47038382722754457</v>
      </c>
      <c r="G40" s="551">
        <f ca="1">E38*D38</f>
        <v>766094.85366858554</v>
      </c>
    </row>
    <row r="42" spans="1:7" x14ac:dyDescent="0.2">
      <c r="B42" s="670" t="s">
        <v>574</v>
      </c>
    </row>
    <row r="43" spans="1:7" ht="89.25" x14ac:dyDescent="0.2">
      <c r="B43" s="554" t="s">
        <v>444</v>
      </c>
      <c r="C43" s="554" t="s">
        <v>354</v>
      </c>
      <c r="D43" s="554" t="s">
        <v>355</v>
      </c>
      <c r="E43" s="554" t="s">
        <v>445</v>
      </c>
      <c r="F43" s="554" t="s">
        <v>356</v>
      </c>
      <c r="G43" s="554" t="s">
        <v>446</v>
      </c>
    </row>
    <row r="44" spans="1:7" ht="13.5" thickBot="1" x14ac:dyDescent="0.25">
      <c r="B44" s="555">
        <v>1</v>
      </c>
      <c r="C44" s="555">
        <v>2</v>
      </c>
      <c r="D44" s="555">
        <v>3</v>
      </c>
      <c r="E44" s="555" t="s">
        <v>357</v>
      </c>
      <c r="F44" s="558" t="s">
        <v>358</v>
      </c>
      <c r="G44" s="555" t="s">
        <v>359</v>
      </c>
    </row>
    <row r="45" spans="1:7" ht="13.5" thickBot="1" x14ac:dyDescent="0.25">
      <c r="B45" s="556">
        <f>B38</f>
        <v>1060503.75</v>
      </c>
      <c r="C45" s="671">
        <f ca="1">D18</f>
        <v>0.84986786999999997</v>
      </c>
      <c r="D45" s="672">
        <v>0.85</v>
      </c>
      <c r="E45" s="559">
        <f ca="1">B45*C45</f>
        <v>901288.06313951244</v>
      </c>
      <c r="F45" s="677">
        <f ca="1">ROUND(IF(C33&lt;C34,D45,G45/B45),8)</f>
        <v>0.72238769000000003</v>
      </c>
      <c r="G45" s="560">
        <f ca="1">E45*D45</f>
        <v>766094.85366858554</v>
      </c>
    </row>
    <row r="46" spans="1:7" x14ac:dyDescent="0.2">
      <c r="F46" s="735"/>
      <c r="G46" s="561"/>
    </row>
    <row r="47" spans="1:7" x14ac:dyDescent="0.2">
      <c r="B47" s="389"/>
      <c r="C47" s="389"/>
      <c r="D47" s="389"/>
      <c r="E47" s="389"/>
      <c r="F47" s="389"/>
      <c r="G47" s="389"/>
    </row>
    <row r="48" spans="1:7" ht="12.75" x14ac:dyDescent="0.2">
      <c r="A48" s="669" t="s">
        <v>511</v>
      </c>
      <c r="B48" s="562" t="s">
        <v>509</v>
      </c>
      <c r="C48" s="56"/>
      <c r="D48" s="56"/>
      <c r="E48" s="56"/>
      <c r="F48" s="56"/>
      <c r="G48" s="56"/>
    </row>
    <row r="49" spans="1:7" ht="12.75" x14ac:dyDescent="0.2">
      <c r="B49" s="563"/>
      <c r="C49" s="563"/>
      <c r="D49" s="563"/>
      <c r="E49" s="563"/>
      <c r="F49" s="563"/>
      <c r="G49" s="564"/>
    </row>
    <row r="50" spans="1:7" ht="102.75" thickBot="1" x14ac:dyDescent="0.25">
      <c r="B50" s="565" t="s">
        <v>444</v>
      </c>
      <c r="C50" s="565" t="s">
        <v>414</v>
      </c>
      <c r="D50" s="565" t="s">
        <v>575</v>
      </c>
      <c r="E50" s="566" t="s">
        <v>447</v>
      </c>
      <c r="F50" s="566" t="s">
        <v>416</v>
      </c>
      <c r="G50" s="567"/>
    </row>
    <row r="51" spans="1:7" ht="13.5" thickBot="1" x14ac:dyDescent="0.25">
      <c r="B51" s="568">
        <f>B38</f>
        <v>1060503.75</v>
      </c>
      <c r="C51" s="676">
        <f ca="1">D18</f>
        <v>0.84986786999999997</v>
      </c>
      <c r="D51" s="717">
        <v>0</v>
      </c>
      <c r="E51" s="569">
        <f ca="1">$E$38*$D$51</f>
        <v>0</v>
      </c>
      <c r="F51" s="675">
        <f ca="1">E51/B51</f>
        <v>0</v>
      </c>
      <c r="G51" s="570"/>
    </row>
    <row r="52" spans="1:7" ht="12.75" x14ac:dyDescent="0.2">
      <c r="B52" s="563"/>
      <c r="C52" s="563"/>
      <c r="D52" s="563"/>
      <c r="E52" s="563"/>
      <c r="F52" s="563"/>
      <c r="G52" s="564"/>
    </row>
    <row r="53" spans="1:7" ht="12.75" x14ac:dyDescent="0.2">
      <c r="B53" s="563"/>
      <c r="C53" s="563"/>
      <c r="D53" s="563"/>
      <c r="E53" s="563"/>
      <c r="F53" s="563"/>
      <c r="G53" s="563"/>
    </row>
    <row r="54" spans="1:7" ht="12.75" x14ac:dyDescent="0.2">
      <c r="A54" s="669" t="s">
        <v>512</v>
      </c>
      <c r="B54" s="562"/>
      <c r="C54" s="563"/>
      <c r="D54" s="563"/>
      <c r="E54" s="563"/>
      <c r="F54" s="564"/>
      <c r="G54" s="564"/>
    </row>
    <row r="55" spans="1:7" ht="12.75" x14ac:dyDescent="0.2">
      <c r="B55" s="562"/>
      <c r="C55" s="563"/>
      <c r="D55" s="563"/>
      <c r="E55" s="563"/>
      <c r="F55" s="564"/>
      <c r="G55" s="564"/>
    </row>
    <row r="56" spans="1:7" ht="77.25" thickBot="1" x14ac:dyDescent="0.25">
      <c r="B56" s="565" t="s">
        <v>444</v>
      </c>
      <c r="C56" s="565" t="s">
        <v>414</v>
      </c>
      <c r="D56" s="565" t="s">
        <v>448</v>
      </c>
      <c r="E56" s="566" t="s">
        <v>415</v>
      </c>
      <c r="F56" s="565" t="s">
        <v>449</v>
      </c>
      <c r="G56" s="565" t="s">
        <v>450</v>
      </c>
    </row>
    <row r="57" spans="1:7" ht="13.5" thickBot="1" x14ac:dyDescent="0.25">
      <c r="B57" s="568">
        <f>B38</f>
        <v>1060503.75</v>
      </c>
      <c r="C57" s="676">
        <f ca="1">D18</f>
        <v>0.84986786999999997</v>
      </c>
      <c r="D57" s="571">
        <f ca="1">B57*(1-C57)</f>
        <v>159215.68686048753</v>
      </c>
      <c r="E57" s="675">
        <f ca="1">G57/B57</f>
        <v>0.27761231050000007</v>
      </c>
      <c r="F57" s="572">
        <f ca="1">E45-G45-E51</f>
        <v>135193.2094709269</v>
      </c>
      <c r="G57" s="573">
        <f ca="1">D57+F57</f>
        <v>294408.89633141446</v>
      </c>
    </row>
    <row r="59" spans="1:7" x14ac:dyDescent="0.2">
      <c r="D59" s="738"/>
    </row>
  </sheetData>
  <mergeCells count="1">
    <mergeCell ref="C1:E1"/>
  </mergeCells>
  <phoneticPr fontId="2"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S124"/>
  <sheetViews>
    <sheetView showGridLines="0" topLeftCell="A97" zoomScaleNormal="100" zoomScaleSheetLayoutView="90" workbookViewId="0">
      <pane xSplit="1" topLeftCell="B1" activePane="topRight" state="frozen"/>
      <selection pane="topRight" activeCell="F113" sqref="F113"/>
    </sheetView>
  </sheetViews>
  <sheetFormatPr defaultRowHeight="11.25" x14ac:dyDescent="0.2"/>
  <cols>
    <col min="1" max="1" width="40.7109375" style="5" customWidth="1"/>
    <col min="2" max="2" width="8.85546875" style="5" customWidth="1"/>
    <col min="3" max="3" width="9.42578125" style="5" customWidth="1"/>
    <col min="4" max="4" width="9.28515625" style="5" customWidth="1"/>
    <col min="5" max="5" width="9.140625" style="5"/>
    <col min="6" max="6" width="9.28515625" style="5" customWidth="1"/>
    <col min="7" max="7" width="9.42578125" style="5" customWidth="1"/>
    <col min="8" max="8" width="8.7109375" style="5" customWidth="1"/>
    <col min="9" max="9" width="9.28515625" style="5" customWidth="1"/>
    <col min="10" max="10" width="10" style="5" customWidth="1"/>
    <col min="11" max="11" width="9.140625" style="5"/>
    <col min="12" max="12" width="10" style="5" customWidth="1"/>
    <col min="13" max="13" width="11.140625" style="5" customWidth="1"/>
    <col min="14" max="14" width="10" style="5" customWidth="1"/>
    <col min="15" max="15" width="8.5703125" style="5" customWidth="1"/>
    <col min="16" max="17" width="9.42578125" style="5" customWidth="1"/>
    <col min="18" max="18" width="9.28515625" style="5" customWidth="1"/>
    <col min="19" max="19" width="8.85546875" style="5" customWidth="1"/>
    <col min="20" max="20" width="9.140625" style="5"/>
    <col min="21" max="21" width="9.42578125" style="5" customWidth="1"/>
    <col min="22" max="22" width="10.140625" style="5" customWidth="1"/>
    <col min="23" max="23" width="9.42578125" style="5" customWidth="1"/>
    <col min="24" max="24" width="10.140625" style="5" customWidth="1"/>
    <col min="25" max="25" width="10" style="5" customWidth="1"/>
    <col min="26" max="26" width="10.42578125" style="5" customWidth="1"/>
    <col min="27" max="27" width="9.42578125" style="5" customWidth="1"/>
    <col min="28" max="28" width="8.5703125" style="5" customWidth="1"/>
    <col min="29" max="29" width="9.5703125" style="5" customWidth="1"/>
    <col min="30" max="30" width="8.85546875" style="5" customWidth="1"/>
    <col min="31" max="31" width="9" style="5" customWidth="1"/>
    <col min="32" max="32" width="9.140625" style="5"/>
    <col min="33" max="33" width="9" style="5" customWidth="1"/>
    <col min="34" max="34" width="9.140625" style="5"/>
    <col min="35" max="35" width="0" style="5" hidden="1" customWidth="1"/>
    <col min="36" max="16384" width="9.140625" style="5"/>
  </cols>
  <sheetData>
    <row r="1" spans="1:35" s="260" customFormat="1" ht="16.5" x14ac:dyDescent="0.2">
      <c r="A1" s="601" t="str">
        <f>'Datu ievade'!$B$6</f>
        <v>A pašvaldība</v>
      </c>
      <c r="B1" s="602" t="str">
        <f>'Datu ievade'!$B$8</f>
        <v>Ūdenssaimniecības attīstība A pašvaldībā</v>
      </c>
    </row>
    <row r="3" spans="1:35" ht="31.5" x14ac:dyDescent="0.2">
      <c r="A3" s="453" t="s">
        <v>324</v>
      </c>
      <c r="B3" s="454"/>
      <c r="C3" s="454"/>
      <c r="D3" s="679"/>
      <c r="E3" s="455"/>
      <c r="F3" s="455"/>
      <c r="G3" s="455"/>
      <c r="H3" s="455"/>
      <c r="I3" s="455"/>
      <c r="J3" s="455"/>
      <c r="K3" s="455"/>
      <c r="L3" s="455"/>
      <c r="M3" s="455"/>
      <c r="N3" s="455"/>
      <c r="O3" s="455"/>
      <c r="P3" s="455"/>
      <c r="Q3" s="455"/>
      <c r="R3" s="455"/>
      <c r="S3" s="456"/>
      <c r="T3" s="456"/>
      <c r="U3" s="456"/>
      <c r="V3" s="456"/>
      <c r="W3" s="456"/>
      <c r="X3" s="456"/>
      <c r="Y3" s="456"/>
      <c r="Z3" s="456"/>
      <c r="AA3" s="456"/>
      <c r="AB3" s="456"/>
      <c r="AC3" s="456"/>
      <c r="AD3" s="456"/>
      <c r="AE3" s="456"/>
      <c r="AF3" s="456"/>
      <c r="AG3" s="456"/>
      <c r="AH3" s="456"/>
      <c r="AI3" s="9"/>
    </row>
    <row r="4" spans="1:35" ht="12.75" x14ac:dyDescent="0.2">
      <c r="A4" s="574"/>
      <c r="B4" s="575"/>
      <c r="C4" s="575"/>
      <c r="D4" s="575"/>
      <c r="E4" s="437"/>
      <c r="F4" s="437"/>
      <c r="G4" s="437"/>
      <c r="H4" s="437"/>
      <c r="I4" s="437"/>
      <c r="J4" s="437"/>
      <c r="K4" s="437" t="s">
        <v>21</v>
      </c>
      <c r="L4" s="437"/>
      <c r="M4" s="437"/>
      <c r="N4" s="437"/>
      <c r="O4" s="437"/>
      <c r="P4" s="437"/>
      <c r="Q4" s="437"/>
      <c r="R4" s="437"/>
      <c r="S4" s="575"/>
      <c r="T4" s="575"/>
      <c r="U4" s="423"/>
      <c r="V4" s="423"/>
      <c r="W4" s="423"/>
      <c r="X4" s="423"/>
      <c r="Y4" s="423"/>
      <c r="Z4" s="423"/>
      <c r="AA4" s="423"/>
      <c r="AB4" s="423"/>
      <c r="AC4" s="423"/>
      <c r="AD4" s="423"/>
      <c r="AE4" s="423"/>
      <c r="AF4" s="423"/>
      <c r="AG4" s="423"/>
      <c r="AH4" s="423"/>
      <c r="AI4" s="7"/>
    </row>
    <row r="5" spans="1:35" s="13" customFormat="1" ht="12.75" x14ac:dyDescent="0.2">
      <c r="A5" s="417"/>
      <c r="B5" s="460">
        <f>Aprekini!B5</f>
        <v>2014</v>
      </c>
      <c r="C5" s="460">
        <f t="shared" ref="C5:AG5" si="0">B5+1</f>
        <v>2015</v>
      </c>
      <c r="D5" s="460">
        <f t="shared" si="0"/>
        <v>2016</v>
      </c>
      <c r="E5" s="460">
        <f t="shared" si="0"/>
        <v>2017</v>
      </c>
      <c r="F5" s="460">
        <f t="shared" si="0"/>
        <v>2018</v>
      </c>
      <c r="G5" s="460">
        <f t="shared" si="0"/>
        <v>2019</v>
      </c>
      <c r="H5" s="460">
        <f t="shared" si="0"/>
        <v>2020</v>
      </c>
      <c r="I5" s="460">
        <f t="shared" si="0"/>
        <v>2021</v>
      </c>
      <c r="J5" s="460">
        <f t="shared" si="0"/>
        <v>2022</v>
      </c>
      <c r="K5" s="460">
        <f t="shared" si="0"/>
        <v>2023</v>
      </c>
      <c r="L5" s="460">
        <f t="shared" si="0"/>
        <v>2024</v>
      </c>
      <c r="M5" s="460">
        <f t="shared" si="0"/>
        <v>2025</v>
      </c>
      <c r="N5" s="460">
        <f t="shared" si="0"/>
        <v>2026</v>
      </c>
      <c r="O5" s="460">
        <f t="shared" si="0"/>
        <v>2027</v>
      </c>
      <c r="P5" s="460">
        <f t="shared" si="0"/>
        <v>2028</v>
      </c>
      <c r="Q5" s="460">
        <f t="shared" si="0"/>
        <v>2029</v>
      </c>
      <c r="R5" s="460">
        <f t="shared" si="0"/>
        <v>2030</v>
      </c>
      <c r="S5" s="460">
        <f t="shared" si="0"/>
        <v>2031</v>
      </c>
      <c r="T5" s="460">
        <f t="shared" si="0"/>
        <v>2032</v>
      </c>
      <c r="U5" s="460">
        <f t="shared" si="0"/>
        <v>2033</v>
      </c>
      <c r="V5" s="460">
        <f t="shared" si="0"/>
        <v>2034</v>
      </c>
      <c r="W5" s="460">
        <f t="shared" si="0"/>
        <v>2035</v>
      </c>
      <c r="X5" s="460">
        <f t="shared" si="0"/>
        <v>2036</v>
      </c>
      <c r="Y5" s="460">
        <f t="shared" si="0"/>
        <v>2037</v>
      </c>
      <c r="Z5" s="460">
        <f t="shared" si="0"/>
        <v>2038</v>
      </c>
      <c r="AA5" s="460">
        <f t="shared" si="0"/>
        <v>2039</v>
      </c>
      <c r="AB5" s="460">
        <f t="shared" si="0"/>
        <v>2040</v>
      </c>
      <c r="AC5" s="460">
        <f t="shared" si="0"/>
        <v>2041</v>
      </c>
      <c r="AD5" s="460">
        <f t="shared" si="0"/>
        <v>2042</v>
      </c>
      <c r="AE5" s="460">
        <f t="shared" si="0"/>
        <v>2043</v>
      </c>
      <c r="AF5" s="460">
        <f t="shared" si="0"/>
        <v>2044</v>
      </c>
      <c r="AG5" s="460">
        <f t="shared" si="0"/>
        <v>2045</v>
      </c>
      <c r="AH5" s="460">
        <f>AG5+1</f>
        <v>2046</v>
      </c>
      <c r="AI5" s="10"/>
    </row>
    <row r="6" spans="1:35" s="13" customFormat="1" ht="12.75" x14ac:dyDescent="0.2">
      <c r="A6" s="576" t="s">
        <v>104</v>
      </c>
      <c r="B6" s="577"/>
      <c r="C6" s="577"/>
      <c r="D6" s="577"/>
      <c r="E6" s="577"/>
      <c r="F6" s="577"/>
      <c r="G6" s="577"/>
      <c r="H6" s="577"/>
      <c r="I6" s="577"/>
      <c r="J6" s="577"/>
      <c r="K6" s="577"/>
      <c r="L6" s="577"/>
      <c r="M6" s="577"/>
      <c r="N6" s="577"/>
      <c r="O6" s="577"/>
      <c r="P6" s="577"/>
      <c r="Q6" s="577"/>
      <c r="R6" s="577"/>
      <c r="S6" s="577"/>
      <c r="T6" s="577"/>
      <c r="U6" s="467"/>
      <c r="V6" s="467"/>
      <c r="W6" s="467"/>
      <c r="X6" s="467"/>
      <c r="Y6" s="467"/>
      <c r="Z6" s="461"/>
      <c r="AA6" s="461"/>
      <c r="AB6" s="461"/>
      <c r="AC6" s="461"/>
      <c r="AD6" s="461"/>
      <c r="AE6" s="461"/>
      <c r="AF6" s="461"/>
      <c r="AG6" s="461"/>
      <c r="AH6" s="461"/>
      <c r="AI6" s="11"/>
    </row>
    <row r="7" spans="1:35" s="13" customFormat="1" ht="12.75" x14ac:dyDescent="0.2">
      <c r="A7" s="578" t="s">
        <v>105</v>
      </c>
      <c r="B7" s="482">
        <f>'Datu ievade'!B181</f>
        <v>38650</v>
      </c>
      <c r="C7" s="482">
        <f>'Datu ievade'!C181</f>
        <v>40196</v>
      </c>
      <c r="D7" s="482">
        <f>'Datu ievade'!D181</f>
        <v>41355.5</v>
      </c>
      <c r="E7" s="482">
        <f>'Datu ievade'!E181</f>
        <v>42515</v>
      </c>
      <c r="F7" s="482">
        <f>'Datu ievade'!F181</f>
        <v>43288.000000000007</v>
      </c>
      <c r="G7" s="482">
        <f>'Datu ievade'!G181</f>
        <v>44060.999999999993</v>
      </c>
      <c r="H7" s="482">
        <f>'Datu ievade'!H181</f>
        <v>44834</v>
      </c>
      <c r="I7" s="482">
        <f>'Datu ievade'!I181</f>
        <v>45607</v>
      </c>
      <c r="J7" s="482">
        <f>'Datu ievade'!J181</f>
        <v>46380</v>
      </c>
      <c r="K7" s="482">
        <f>'Datu ievade'!K181</f>
        <v>47153</v>
      </c>
      <c r="L7" s="482">
        <f>'Datu ievade'!L181</f>
        <v>47926</v>
      </c>
      <c r="M7" s="482">
        <f>'Datu ievade'!M181</f>
        <v>48699</v>
      </c>
      <c r="N7" s="482">
        <f>'Datu ievade'!N181</f>
        <v>49858.5</v>
      </c>
      <c r="O7" s="482">
        <f>'Datu ievade'!O181</f>
        <v>51018</v>
      </c>
      <c r="P7" s="482">
        <f>'Datu ievade'!P181</f>
        <v>52177.5</v>
      </c>
      <c r="Q7" s="482">
        <f>'Datu ievade'!Q181</f>
        <v>53336.999999999993</v>
      </c>
      <c r="R7" s="482">
        <f>'Datu ievade'!R181</f>
        <v>54496.5</v>
      </c>
      <c r="S7" s="482">
        <f>'Datu ievade'!S181</f>
        <v>55656</v>
      </c>
      <c r="T7" s="482">
        <f>'Datu ievade'!T181</f>
        <v>56815.5</v>
      </c>
      <c r="U7" s="482">
        <f>'Datu ievade'!U181</f>
        <v>57975</v>
      </c>
      <c r="V7" s="482">
        <f>'Datu ievade'!V181</f>
        <v>59134.5</v>
      </c>
      <c r="W7" s="482">
        <f>'Datu ievade'!W181</f>
        <v>60294</v>
      </c>
      <c r="X7" s="482">
        <f>'Datu ievade'!X181</f>
        <v>61453.5</v>
      </c>
      <c r="Y7" s="482">
        <f>'Datu ievade'!Y181</f>
        <v>62613.000000000007</v>
      </c>
      <c r="Z7" s="482">
        <f>'Datu ievade'!Z181</f>
        <v>63772.5</v>
      </c>
      <c r="AA7" s="482">
        <f>'Datu ievade'!AA181</f>
        <v>64932</v>
      </c>
      <c r="AB7" s="482">
        <f>'Datu ievade'!AB181</f>
        <v>66091.5</v>
      </c>
      <c r="AC7" s="482">
        <f>'Datu ievade'!AC181</f>
        <v>67251</v>
      </c>
      <c r="AD7" s="482">
        <f>'Datu ievade'!AD181</f>
        <v>68410.5</v>
      </c>
      <c r="AE7" s="482">
        <f>'Datu ievade'!AE181</f>
        <v>69956.5</v>
      </c>
      <c r="AF7" s="482">
        <f>'Datu ievade'!AF181</f>
        <v>71502.5</v>
      </c>
      <c r="AG7" s="482">
        <f>'Datu ievade'!AG181</f>
        <v>71503.5</v>
      </c>
      <c r="AH7" s="482">
        <f>'Datu ievade'!AH181</f>
        <v>71504.5</v>
      </c>
      <c r="AI7" s="17"/>
    </row>
    <row r="8" spans="1:35" s="13" customFormat="1" ht="12.75" x14ac:dyDescent="0.2">
      <c r="A8" s="579" t="s">
        <v>106</v>
      </c>
      <c r="B8" s="482">
        <f>'Datu ievade'!B182</f>
        <v>52650</v>
      </c>
      <c r="C8" s="482">
        <f>'Datu ievade'!C182</f>
        <v>54756</v>
      </c>
      <c r="D8" s="482">
        <f>'Datu ievade'!D182</f>
        <v>56335.5</v>
      </c>
      <c r="E8" s="482">
        <f>'Datu ievade'!E182</f>
        <v>57915.000000000007</v>
      </c>
      <c r="F8" s="482">
        <f>'Datu ievade'!F182</f>
        <v>58968.000000000007</v>
      </c>
      <c r="G8" s="482">
        <f>'Datu ievade'!G182</f>
        <v>60020.999999999993</v>
      </c>
      <c r="H8" s="482">
        <f>'Datu ievade'!H182</f>
        <v>61073.999999999993</v>
      </c>
      <c r="I8" s="482">
        <f>'Datu ievade'!I182</f>
        <v>62127</v>
      </c>
      <c r="J8" s="482">
        <f>'Datu ievade'!J182</f>
        <v>63180</v>
      </c>
      <c r="K8" s="482">
        <f>'Datu ievade'!K182</f>
        <v>64233</v>
      </c>
      <c r="L8" s="482">
        <f>'Datu ievade'!L182</f>
        <v>65286</v>
      </c>
      <c r="M8" s="482">
        <f>'Datu ievade'!M182</f>
        <v>66339</v>
      </c>
      <c r="N8" s="482">
        <f>'Datu ievade'!N182</f>
        <v>67918.5</v>
      </c>
      <c r="O8" s="482">
        <f>'Datu ievade'!O182</f>
        <v>69498</v>
      </c>
      <c r="P8" s="482">
        <f>'Datu ievade'!P182</f>
        <v>71077.5</v>
      </c>
      <c r="Q8" s="482">
        <f>'Datu ievade'!Q182</f>
        <v>72657</v>
      </c>
      <c r="R8" s="482">
        <f>'Datu ievade'!R182</f>
        <v>74236.5</v>
      </c>
      <c r="S8" s="482">
        <f>'Datu ievade'!S182</f>
        <v>75816</v>
      </c>
      <c r="T8" s="482">
        <f>'Datu ievade'!T182</f>
        <v>77395.5</v>
      </c>
      <c r="U8" s="482">
        <f>'Datu ievade'!U182</f>
        <v>78975</v>
      </c>
      <c r="V8" s="482">
        <f>'Datu ievade'!V182</f>
        <v>80554.5</v>
      </c>
      <c r="W8" s="482">
        <f>'Datu ievade'!W182</f>
        <v>82134</v>
      </c>
      <c r="X8" s="482">
        <f>'Datu ievade'!X182</f>
        <v>83713.5</v>
      </c>
      <c r="Y8" s="482">
        <f>'Datu ievade'!Y182</f>
        <v>85293</v>
      </c>
      <c r="Z8" s="482">
        <f>'Datu ievade'!Z182</f>
        <v>86872.5</v>
      </c>
      <c r="AA8" s="482">
        <f>'Datu ievade'!AA182</f>
        <v>88452</v>
      </c>
      <c r="AB8" s="482">
        <f>'Datu ievade'!AB182</f>
        <v>90031.5</v>
      </c>
      <c r="AC8" s="482">
        <f>'Datu ievade'!AC182</f>
        <v>91611</v>
      </c>
      <c r="AD8" s="482">
        <f>'Datu ievade'!AD182</f>
        <v>93190.5</v>
      </c>
      <c r="AE8" s="482">
        <f>'Datu ievade'!AE182</f>
        <v>95296.5</v>
      </c>
      <c r="AF8" s="482">
        <f>'Datu ievade'!AF182</f>
        <v>97402.5</v>
      </c>
      <c r="AG8" s="482">
        <f>'Datu ievade'!AG182</f>
        <v>97403.5</v>
      </c>
      <c r="AH8" s="482">
        <f>'Datu ievade'!AH182</f>
        <v>97404.5</v>
      </c>
      <c r="AI8" s="17"/>
    </row>
    <row r="9" spans="1:35" s="13" customFormat="1" ht="12.75" x14ac:dyDescent="0.2">
      <c r="A9" s="579" t="s">
        <v>107</v>
      </c>
      <c r="B9" s="482">
        <f>'Datu ievade'!B183</f>
        <v>10155</v>
      </c>
      <c r="C9" s="482">
        <f>'Datu ievade'!C183</f>
        <v>10561.2</v>
      </c>
      <c r="D9" s="482">
        <f>'Datu ievade'!D183</f>
        <v>10865.85</v>
      </c>
      <c r="E9" s="482">
        <f>'Datu ievade'!E183</f>
        <v>11170.5</v>
      </c>
      <c r="F9" s="482">
        <f>'Datu ievade'!F183</f>
        <v>11373.6</v>
      </c>
      <c r="G9" s="482">
        <f>'Datu ievade'!G183</f>
        <v>11576.699999999999</v>
      </c>
      <c r="H9" s="482">
        <f>'Datu ievade'!H183</f>
        <v>11779.8</v>
      </c>
      <c r="I9" s="482">
        <f>'Datu ievade'!I183</f>
        <v>11982.9</v>
      </c>
      <c r="J9" s="482">
        <f>'Datu ievade'!J183</f>
        <v>12186</v>
      </c>
      <c r="K9" s="482">
        <f>'Datu ievade'!K183</f>
        <v>12389.1</v>
      </c>
      <c r="L9" s="482">
        <f>'Datu ievade'!L183</f>
        <v>12592.2</v>
      </c>
      <c r="M9" s="482">
        <f>'Datu ievade'!M183</f>
        <v>12795.3</v>
      </c>
      <c r="N9" s="482">
        <f>'Datu ievade'!N183</f>
        <v>13099.95</v>
      </c>
      <c r="O9" s="482">
        <f>'Datu ievade'!O183</f>
        <v>13404.6</v>
      </c>
      <c r="P9" s="482">
        <f>'Datu ievade'!P183</f>
        <v>13709.25</v>
      </c>
      <c r="Q9" s="482">
        <f>'Datu ievade'!Q183</f>
        <v>14013.9</v>
      </c>
      <c r="R9" s="482">
        <f>'Datu ievade'!R183</f>
        <v>14318.55</v>
      </c>
      <c r="S9" s="482">
        <f>'Datu ievade'!S183</f>
        <v>14623.199999999999</v>
      </c>
      <c r="T9" s="482">
        <f>'Datu ievade'!T183</f>
        <v>14927.85</v>
      </c>
      <c r="U9" s="482">
        <f>'Datu ievade'!U183</f>
        <v>15232.5</v>
      </c>
      <c r="V9" s="482">
        <f>'Datu ievade'!V183</f>
        <v>15537.15</v>
      </c>
      <c r="W9" s="482">
        <f>'Datu ievade'!W183</f>
        <v>15841.800000000001</v>
      </c>
      <c r="X9" s="482">
        <f>'Datu ievade'!X183</f>
        <v>16146.45</v>
      </c>
      <c r="Y9" s="482">
        <f>'Datu ievade'!Y183</f>
        <v>16451.100000000002</v>
      </c>
      <c r="Z9" s="482">
        <f>'Datu ievade'!Z183</f>
        <v>16755.75</v>
      </c>
      <c r="AA9" s="482">
        <f>'Datu ievade'!AA183</f>
        <v>17060.399999999998</v>
      </c>
      <c r="AB9" s="482">
        <f>'Datu ievade'!AB183</f>
        <v>17365.05</v>
      </c>
      <c r="AC9" s="482">
        <f>'Datu ievade'!AC183</f>
        <v>17669.7</v>
      </c>
      <c r="AD9" s="482">
        <f>'Datu ievade'!AD183</f>
        <v>17974.349999999999</v>
      </c>
      <c r="AE9" s="482">
        <f>'Datu ievade'!AE183</f>
        <v>18380.55</v>
      </c>
      <c r="AF9" s="482">
        <f>'Datu ievade'!AF183</f>
        <v>18786.75</v>
      </c>
      <c r="AG9" s="482">
        <f>'Datu ievade'!AG183</f>
        <v>18787.75</v>
      </c>
      <c r="AH9" s="482">
        <f>'Datu ievade'!AH183</f>
        <v>18788.75</v>
      </c>
      <c r="AI9" s="17"/>
    </row>
    <row r="10" spans="1:35" s="13" customFormat="1" ht="12.75" x14ac:dyDescent="0.2">
      <c r="A10" s="579" t="s">
        <v>108</v>
      </c>
      <c r="B10" s="482">
        <f>'Datu ievade'!B184</f>
        <v>32758</v>
      </c>
      <c r="C10" s="482">
        <f>'Datu ievade'!C184</f>
        <v>34068.32</v>
      </c>
      <c r="D10" s="482">
        <f>'Datu ievade'!D184</f>
        <v>35051.060000000005</v>
      </c>
      <c r="E10" s="482">
        <f>'Datu ievade'!E184</f>
        <v>36033.800000000003</v>
      </c>
      <c r="F10" s="482">
        <f>'Datu ievade'!F184</f>
        <v>36688.960000000006</v>
      </c>
      <c r="G10" s="482">
        <f>'Datu ievade'!G184</f>
        <v>37344.119999999995</v>
      </c>
      <c r="H10" s="482">
        <f>'Datu ievade'!H184</f>
        <v>37999.279999999999</v>
      </c>
      <c r="I10" s="482">
        <f>'Datu ievade'!I184</f>
        <v>38654.439999999995</v>
      </c>
      <c r="J10" s="482">
        <f>'Datu ievade'!J184</f>
        <v>39309.599999999999</v>
      </c>
      <c r="K10" s="482">
        <f>'Datu ievade'!K184</f>
        <v>39964.76</v>
      </c>
      <c r="L10" s="482">
        <f>'Datu ievade'!L184</f>
        <v>40619.919999999998</v>
      </c>
      <c r="M10" s="482">
        <f>'Datu ievade'!M184</f>
        <v>41275.08</v>
      </c>
      <c r="N10" s="482">
        <f>'Datu ievade'!N184</f>
        <v>42257.82</v>
      </c>
      <c r="O10" s="482">
        <f>'Datu ievade'!O184</f>
        <v>43240.560000000005</v>
      </c>
      <c r="P10" s="482">
        <f>'Datu ievade'!P184</f>
        <v>44223.3</v>
      </c>
      <c r="Q10" s="482">
        <f>'Datu ievade'!Q184</f>
        <v>45206.039999999994</v>
      </c>
      <c r="R10" s="482">
        <f>'Datu ievade'!R184</f>
        <v>46188.78</v>
      </c>
      <c r="S10" s="482">
        <f>'Datu ievade'!S184</f>
        <v>47171.519999999997</v>
      </c>
      <c r="T10" s="482">
        <f>'Datu ievade'!T184</f>
        <v>48154.26</v>
      </c>
      <c r="U10" s="482">
        <f>'Datu ievade'!U184</f>
        <v>49137</v>
      </c>
      <c r="V10" s="482">
        <f>'Datu ievade'!V184</f>
        <v>50119.74</v>
      </c>
      <c r="W10" s="482">
        <f>'Datu ievade'!W184</f>
        <v>51102.48</v>
      </c>
      <c r="X10" s="482">
        <f>'Datu ievade'!X184</f>
        <v>52085.22</v>
      </c>
      <c r="Y10" s="482">
        <f>'Datu ievade'!Y184</f>
        <v>53067.960000000006</v>
      </c>
      <c r="Z10" s="482">
        <f>'Datu ievade'!Z184</f>
        <v>54050.7</v>
      </c>
      <c r="AA10" s="482">
        <f>'Datu ievade'!AA184</f>
        <v>55033.439999999995</v>
      </c>
      <c r="AB10" s="482">
        <f>'Datu ievade'!AB184</f>
        <v>56016.18</v>
      </c>
      <c r="AC10" s="482">
        <f>'Datu ievade'!AC184</f>
        <v>56998.92</v>
      </c>
      <c r="AD10" s="482">
        <f>'Datu ievade'!AD184</f>
        <v>57981.66</v>
      </c>
      <c r="AE10" s="482">
        <f>'Datu ievade'!AE184</f>
        <v>59291.98</v>
      </c>
      <c r="AF10" s="482">
        <f>'Datu ievade'!AF184</f>
        <v>60602.3</v>
      </c>
      <c r="AG10" s="482">
        <f>'Datu ievade'!AG184</f>
        <v>60603.3</v>
      </c>
      <c r="AH10" s="482">
        <f>'Datu ievade'!AH184</f>
        <v>60604.3</v>
      </c>
      <c r="AI10" s="17"/>
    </row>
    <row r="11" spans="1:35" s="13" customFormat="1" ht="25.5" x14ac:dyDescent="0.2">
      <c r="A11" s="579" t="s">
        <v>561</v>
      </c>
      <c r="B11" s="482">
        <f>'Datu ievade'!B185</f>
        <v>0</v>
      </c>
      <c r="C11" s="482">
        <f>'Datu ievade'!C185</f>
        <v>0</v>
      </c>
      <c r="D11" s="482">
        <f>'Datu ievade'!D185</f>
        <v>0</v>
      </c>
      <c r="E11" s="482">
        <f>'Datu ievade'!E185</f>
        <v>0</v>
      </c>
      <c r="F11" s="482">
        <f>'Datu ievade'!F185</f>
        <v>0</v>
      </c>
      <c r="G11" s="482">
        <f>'Datu ievade'!G185</f>
        <v>0</v>
      </c>
      <c r="H11" s="482">
        <f>'Datu ievade'!H185</f>
        <v>0</v>
      </c>
      <c r="I11" s="482">
        <f>'Datu ievade'!I185</f>
        <v>0</v>
      </c>
      <c r="J11" s="482">
        <f>'Datu ievade'!J185</f>
        <v>0</v>
      </c>
      <c r="K11" s="482">
        <f>'Datu ievade'!K185</f>
        <v>0</v>
      </c>
      <c r="L11" s="482">
        <f>'Datu ievade'!L185</f>
        <v>0</v>
      </c>
      <c r="M11" s="482">
        <f>'Datu ievade'!M185</f>
        <v>0</v>
      </c>
      <c r="N11" s="482">
        <f>'Datu ievade'!N185</f>
        <v>0</v>
      </c>
      <c r="O11" s="482">
        <f>'Datu ievade'!O185</f>
        <v>0</v>
      </c>
      <c r="P11" s="482">
        <f>'Datu ievade'!P185</f>
        <v>0</v>
      </c>
      <c r="Q11" s="482">
        <f>'Datu ievade'!Q185</f>
        <v>0</v>
      </c>
      <c r="R11" s="482">
        <f>'Datu ievade'!R185</f>
        <v>0</v>
      </c>
      <c r="S11" s="482">
        <f>'Datu ievade'!S185</f>
        <v>0</v>
      </c>
      <c r="T11" s="482">
        <f>'Datu ievade'!T185</f>
        <v>0</v>
      </c>
      <c r="U11" s="482">
        <f>'Datu ievade'!U185</f>
        <v>0</v>
      </c>
      <c r="V11" s="482">
        <f>'Datu ievade'!V185</f>
        <v>0</v>
      </c>
      <c r="W11" s="482">
        <f>'Datu ievade'!W185</f>
        <v>0</v>
      </c>
      <c r="X11" s="482">
        <f>'Datu ievade'!X185</f>
        <v>0</v>
      </c>
      <c r="Y11" s="482">
        <f>'Datu ievade'!Y185</f>
        <v>0</v>
      </c>
      <c r="Z11" s="482">
        <f>'Datu ievade'!Z185</f>
        <v>0</v>
      </c>
      <c r="AA11" s="482">
        <f>'Datu ievade'!AA185</f>
        <v>0</v>
      </c>
      <c r="AB11" s="482">
        <f>'Datu ievade'!AB185</f>
        <v>0</v>
      </c>
      <c r="AC11" s="482">
        <f>'Datu ievade'!AC185</f>
        <v>0</v>
      </c>
      <c r="AD11" s="482">
        <f>'Datu ievade'!AD185</f>
        <v>0</v>
      </c>
      <c r="AE11" s="482">
        <f>'Datu ievade'!AE185</f>
        <v>0</v>
      </c>
      <c r="AF11" s="482">
        <f>'Datu ievade'!AF185</f>
        <v>0</v>
      </c>
      <c r="AG11" s="482">
        <f>'Datu ievade'!AG185</f>
        <v>0</v>
      </c>
      <c r="AH11" s="482">
        <f>'Datu ievade'!AH185</f>
        <v>0</v>
      </c>
      <c r="AI11" s="17"/>
    </row>
    <row r="12" spans="1:35" s="13" customFormat="1" ht="12.75" x14ac:dyDescent="0.2">
      <c r="A12" s="580" t="s">
        <v>109</v>
      </c>
      <c r="B12" s="482">
        <f>'Datu ievade'!B186</f>
        <v>0</v>
      </c>
      <c r="C12" s="482">
        <f>'Datu ievade'!C186</f>
        <v>0</v>
      </c>
      <c r="D12" s="482">
        <f>'Datu ievade'!D186</f>
        <v>0</v>
      </c>
      <c r="E12" s="482">
        <f>'Datu ievade'!E186</f>
        <v>0</v>
      </c>
      <c r="F12" s="482">
        <f>'Datu ievade'!F186</f>
        <v>0</v>
      </c>
      <c r="G12" s="482">
        <f>'Datu ievade'!G186</f>
        <v>0</v>
      </c>
      <c r="H12" s="482">
        <f>'Datu ievade'!H186</f>
        <v>0</v>
      </c>
      <c r="I12" s="482">
        <f>'Datu ievade'!I186</f>
        <v>0</v>
      </c>
      <c r="J12" s="482">
        <f>'Datu ievade'!J186</f>
        <v>0</v>
      </c>
      <c r="K12" s="482">
        <f>'Datu ievade'!K186</f>
        <v>0</v>
      </c>
      <c r="L12" s="482">
        <f>'Datu ievade'!L186</f>
        <v>0</v>
      </c>
      <c r="M12" s="482">
        <f>'Datu ievade'!M186</f>
        <v>0</v>
      </c>
      <c r="N12" s="482">
        <f>'Datu ievade'!N186</f>
        <v>0</v>
      </c>
      <c r="O12" s="482">
        <f>'Datu ievade'!O186</f>
        <v>0</v>
      </c>
      <c r="P12" s="482">
        <f>'Datu ievade'!P186</f>
        <v>0</v>
      </c>
      <c r="Q12" s="482">
        <f>'Datu ievade'!Q186</f>
        <v>0</v>
      </c>
      <c r="R12" s="482">
        <f>'Datu ievade'!R186</f>
        <v>0</v>
      </c>
      <c r="S12" s="482">
        <f>'Datu ievade'!S186</f>
        <v>0</v>
      </c>
      <c r="T12" s="482">
        <f>'Datu ievade'!T186</f>
        <v>0</v>
      </c>
      <c r="U12" s="482">
        <f>'Datu ievade'!U186</f>
        <v>0</v>
      </c>
      <c r="V12" s="482">
        <f>'Datu ievade'!V186</f>
        <v>0</v>
      </c>
      <c r="W12" s="482">
        <f>'Datu ievade'!W186</f>
        <v>0</v>
      </c>
      <c r="X12" s="482">
        <f>'Datu ievade'!X186</f>
        <v>0</v>
      </c>
      <c r="Y12" s="482">
        <f>'Datu ievade'!Y186</f>
        <v>0</v>
      </c>
      <c r="Z12" s="482">
        <f>'Datu ievade'!Z186</f>
        <v>0</v>
      </c>
      <c r="AA12" s="482">
        <f>'Datu ievade'!AA186</f>
        <v>0</v>
      </c>
      <c r="AB12" s="482">
        <f>'Datu ievade'!AB186</f>
        <v>0</v>
      </c>
      <c r="AC12" s="482">
        <f>'Datu ievade'!AC186</f>
        <v>0</v>
      </c>
      <c r="AD12" s="482">
        <f>'Datu ievade'!AD186</f>
        <v>0</v>
      </c>
      <c r="AE12" s="482">
        <f>'Datu ievade'!AE186</f>
        <v>0</v>
      </c>
      <c r="AF12" s="482">
        <f>'Datu ievade'!AF186</f>
        <v>0</v>
      </c>
      <c r="AG12" s="482">
        <f>'Datu ievade'!AG186</f>
        <v>0</v>
      </c>
      <c r="AH12" s="482">
        <f>'Datu ievade'!AH186</f>
        <v>0</v>
      </c>
      <c r="AI12" s="17"/>
    </row>
    <row r="13" spans="1:35" s="13" customFormat="1" ht="12.75" x14ac:dyDescent="0.2">
      <c r="A13" s="578" t="s">
        <v>110</v>
      </c>
      <c r="B13" s="482">
        <f>'Datu ievade'!B192</f>
        <v>26000</v>
      </c>
      <c r="C13" s="482">
        <f>'Datu ievade'!C192</f>
        <v>27040</v>
      </c>
      <c r="D13" s="482">
        <f>'Datu ievade'!D192</f>
        <v>27820</v>
      </c>
      <c r="E13" s="482">
        <f>'Datu ievade'!E192</f>
        <v>28600.000000000004</v>
      </c>
      <c r="F13" s="482">
        <f>'Datu ievade'!F192</f>
        <v>29120.000000000004</v>
      </c>
      <c r="G13" s="482">
        <f>'Datu ievade'!G192</f>
        <v>29639.999999999996</v>
      </c>
      <c r="H13" s="482">
        <f>'Datu ievade'!H192</f>
        <v>30159.999999999996</v>
      </c>
      <c r="I13" s="482">
        <f>'Datu ievade'!I192</f>
        <v>30680</v>
      </c>
      <c r="J13" s="482">
        <f>'Datu ievade'!J192</f>
        <v>31200</v>
      </c>
      <c r="K13" s="482">
        <f>'Datu ievade'!K192</f>
        <v>31720</v>
      </c>
      <c r="L13" s="482">
        <f>'Datu ievade'!L192</f>
        <v>32240</v>
      </c>
      <c r="M13" s="482">
        <f>'Datu ievade'!M192</f>
        <v>32760</v>
      </c>
      <c r="N13" s="482">
        <f>'Datu ievade'!N192</f>
        <v>33540</v>
      </c>
      <c r="O13" s="482">
        <f>'Datu ievade'!O192</f>
        <v>34320</v>
      </c>
      <c r="P13" s="482">
        <f>'Datu ievade'!P192</f>
        <v>35100</v>
      </c>
      <c r="Q13" s="482">
        <f>'Datu ievade'!Q192</f>
        <v>35880</v>
      </c>
      <c r="R13" s="482">
        <f>'Datu ievade'!R192</f>
        <v>36660</v>
      </c>
      <c r="S13" s="482">
        <f>'Datu ievade'!S192</f>
        <v>37440</v>
      </c>
      <c r="T13" s="482">
        <f>'Datu ievade'!T192</f>
        <v>38220</v>
      </c>
      <c r="U13" s="482">
        <f>'Datu ievade'!U192</f>
        <v>39000</v>
      </c>
      <c r="V13" s="482">
        <f>'Datu ievade'!V192</f>
        <v>39780</v>
      </c>
      <c r="W13" s="482">
        <f>'Datu ievade'!W192</f>
        <v>40560</v>
      </c>
      <c r="X13" s="482">
        <f>'Datu ievade'!X192</f>
        <v>41340</v>
      </c>
      <c r="Y13" s="482">
        <f>'Datu ievade'!Y192</f>
        <v>42120</v>
      </c>
      <c r="Z13" s="482">
        <f>'Datu ievade'!Z192</f>
        <v>42900</v>
      </c>
      <c r="AA13" s="482">
        <f>'Datu ievade'!AA192</f>
        <v>43680</v>
      </c>
      <c r="AB13" s="482">
        <f>'Datu ievade'!AB192</f>
        <v>44460</v>
      </c>
      <c r="AC13" s="482">
        <f>'Datu ievade'!AC192</f>
        <v>45240</v>
      </c>
      <c r="AD13" s="482">
        <f>'Datu ievade'!AD192</f>
        <v>46020</v>
      </c>
      <c r="AE13" s="482">
        <f>'Datu ievade'!AE192</f>
        <v>47060</v>
      </c>
      <c r="AF13" s="482">
        <f>'Datu ievade'!AF192</f>
        <v>48100</v>
      </c>
      <c r="AG13" s="482">
        <f>'Datu ievade'!AG192</f>
        <v>48101</v>
      </c>
      <c r="AH13" s="482">
        <f>'Datu ievade'!AH192</f>
        <v>48102</v>
      </c>
      <c r="AI13" s="17"/>
    </row>
    <row r="14" spans="1:35" s="13" customFormat="1" ht="12.75" x14ac:dyDescent="0.2">
      <c r="A14" s="579" t="s">
        <v>111</v>
      </c>
      <c r="B14" s="482">
        <f>'Datu ievade'!B193</f>
        <v>42486</v>
      </c>
      <c r="C14" s="482">
        <f>'Datu ievade'!C193</f>
        <v>44185.440000000002</v>
      </c>
      <c r="D14" s="482">
        <f>'Datu ievade'!D193</f>
        <v>45460.020000000004</v>
      </c>
      <c r="E14" s="482">
        <f>'Datu ievade'!E193</f>
        <v>46734.600000000006</v>
      </c>
      <c r="F14" s="482">
        <f>'Datu ievade'!F193</f>
        <v>47584.320000000007</v>
      </c>
      <c r="G14" s="482">
        <f>'Datu ievade'!G193</f>
        <v>48434.039999999994</v>
      </c>
      <c r="H14" s="482">
        <f>'Datu ievade'!H193</f>
        <v>49283.759999999995</v>
      </c>
      <c r="I14" s="482">
        <f>'Datu ievade'!I193</f>
        <v>50133.479999999996</v>
      </c>
      <c r="J14" s="482">
        <f>'Datu ievade'!J193</f>
        <v>50983.199999999997</v>
      </c>
      <c r="K14" s="482">
        <f>'Datu ievade'!K193</f>
        <v>51832.92</v>
      </c>
      <c r="L14" s="482">
        <f>'Datu ievade'!L193</f>
        <v>52682.64</v>
      </c>
      <c r="M14" s="482">
        <f>'Datu ievade'!M193</f>
        <v>53532.36</v>
      </c>
      <c r="N14" s="482">
        <f>'Datu ievade'!N193</f>
        <v>54806.94</v>
      </c>
      <c r="O14" s="482">
        <f>'Datu ievade'!O193</f>
        <v>56081.520000000004</v>
      </c>
      <c r="P14" s="482">
        <f>'Datu ievade'!P193</f>
        <v>57356.100000000006</v>
      </c>
      <c r="Q14" s="482">
        <f>'Datu ievade'!Q193</f>
        <v>58630.679999999993</v>
      </c>
      <c r="R14" s="482">
        <f>'Datu ievade'!R193</f>
        <v>59905.259999999995</v>
      </c>
      <c r="S14" s="482">
        <f>'Datu ievade'!S193</f>
        <v>61179.839999999997</v>
      </c>
      <c r="T14" s="482">
        <f>'Datu ievade'!T193</f>
        <v>62454.42</v>
      </c>
      <c r="U14" s="482">
        <f>'Datu ievade'!U193</f>
        <v>63729</v>
      </c>
      <c r="V14" s="482">
        <f>'Datu ievade'!V193</f>
        <v>65003.58</v>
      </c>
      <c r="W14" s="482">
        <f>'Datu ievade'!W193</f>
        <v>66278.16</v>
      </c>
      <c r="X14" s="482">
        <f>'Datu ievade'!X193</f>
        <v>67552.740000000005</v>
      </c>
      <c r="Y14" s="482">
        <f>'Datu ievade'!Y193</f>
        <v>68827.320000000007</v>
      </c>
      <c r="Z14" s="482">
        <f>'Datu ievade'!Z193</f>
        <v>70101.899999999994</v>
      </c>
      <c r="AA14" s="482">
        <f>'Datu ievade'!AA193</f>
        <v>71376.479999999996</v>
      </c>
      <c r="AB14" s="482">
        <f>'Datu ievade'!AB193</f>
        <v>72651.06</v>
      </c>
      <c r="AC14" s="482">
        <f>'Datu ievade'!AC193</f>
        <v>73925.64</v>
      </c>
      <c r="AD14" s="482">
        <f>'Datu ievade'!AD193</f>
        <v>75200.22</v>
      </c>
      <c r="AE14" s="482">
        <f>'Datu ievade'!AE193</f>
        <v>76899.66</v>
      </c>
      <c r="AF14" s="482">
        <f>'Datu ievade'!AF193</f>
        <v>78599.100000000006</v>
      </c>
      <c r="AG14" s="482">
        <f>'Datu ievade'!AG193</f>
        <v>78600.100000000006</v>
      </c>
      <c r="AH14" s="482">
        <f>'Datu ievade'!AH193</f>
        <v>78601.100000000006</v>
      </c>
      <c r="AI14" s="17"/>
    </row>
    <row r="15" spans="1:35" s="13" customFormat="1" ht="12.75" x14ac:dyDescent="0.2">
      <c r="A15" s="579" t="s">
        <v>112</v>
      </c>
      <c r="B15" s="482">
        <f>'Datu ievade'!B194</f>
        <v>9750</v>
      </c>
      <c r="C15" s="482">
        <f>'Datu ievade'!C194</f>
        <v>10140</v>
      </c>
      <c r="D15" s="482">
        <f>'Datu ievade'!D194</f>
        <v>10432.5</v>
      </c>
      <c r="E15" s="482">
        <f>'Datu ievade'!E194</f>
        <v>10725</v>
      </c>
      <c r="F15" s="482">
        <f>'Datu ievade'!F194</f>
        <v>10920.000000000002</v>
      </c>
      <c r="G15" s="482">
        <f>'Datu ievade'!G194</f>
        <v>11114.999999999998</v>
      </c>
      <c r="H15" s="482">
        <f>'Datu ievade'!H194</f>
        <v>11310</v>
      </c>
      <c r="I15" s="482">
        <f>'Datu ievade'!I194</f>
        <v>11505</v>
      </c>
      <c r="J15" s="482">
        <f>'Datu ievade'!J194</f>
        <v>11700</v>
      </c>
      <c r="K15" s="482">
        <f>'Datu ievade'!K194</f>
        <v>11895</v>
      </c>
      <c r="L15" s="482">
        <f>'Datu ievade'!L194</f>
        <v>12090</v>
      </c>
      <c r="M15" s="482">
        <f>'Datu ievade'!M194</f>
        <v>12285</v>
      </c>
      <c r="N15" s="482">
        <f>'Datu ievade'!N194</f>
        <v>12577.5</v>
      </c>
      <c r="O15" s="482">
        <f>'Datu ievade'!O194</f>
        <v>12870</v>
      </c>
      <c r="P15" s="482">
        <f>'Datu ievade'!P194</f>
        <v>13162.5</v>
      </c>
      <c r="Q15" s="482">
        <f>'Datu ievade'!Q194</f>
        <v>13454.999999999998</v>
      </c>
      <c r="R15" s="482">
        <f>'Datu ievade'!R194</f>
        <v>13747.5</v>
      </c>
      <c r="S15" s="482">
        <f>'Datu ievade'!S194</f>
        <v>14040</v>
      </c>
      <c r="T15" s="482">
        <f>'Datu ievade'!T194</f>
        <v>14332.5</v>
      </c>
      <c r="U15" s="482">
        <f>'Datu ievade'!U194</f>
        <v>14625</v>
      </c>
      <c r="V15" s="482">
        <f>'Datu ievade'!V194</f>
        <v>14917.5</v>
      </c>
      <c r="W15" s="482">
        <f>'Datu ievade'!W194</f>
        <v>15210</v>
      </c>
      <c r="X15" s="482">
        <f>'Datu ievade'!X194</f>
        <v>15502.5</v>
      </c>
      <c r="Y15" s="482">
        <f>'Datu ievade'!Y194</f>
        <v>15795.000000000002</v>
      </c>
      <c r="Z15" s="482">
        <f>'Datu ievade'!Z194</f>
        <v>16087.5</v>
      </c>
      <c r="AA15" s="482">
        <f>'Datu ievade'!AA194</f>
        <v>16380</v>
      </c>
      <c r="AB15" s="482">
        <f>'Datu ievade'!AB194</f>
        <v>16672.5</v>
      </c>
      <c r="AC15" s="482">
        <f>'Datu ievade'!AC194</f>
        <v>16965</v>
      </c>
      <c r="AD15" s="482">
        <f>'Datu ievade'!AD194</f>
        <v>17257.5</v>
      </c>
      <c r="AE15" s="482">
        <f>'Datu ievade'!AE194</f>
        <v>17647.5</v>
      </c>
      <c r="AF15" s="482">
        <f>'Datu ievade'!AF194</f>
        <v>18037.5</v>
      </c>
      <c r="AG15" s="482">
        <f>'Datu ievade'!AG194</f>
        <v>18038.5</v>
      </c>
      <c r="AH15" s="482">
        <f>'Datu ievade'!AH194</f>
        <v>18039.5</v>
      </c>
      <c r="AI15" s="17"/>
    </row>
    <row r="16" spans="1:35" s="13" customFormat="1" ht="12.75" x14ac:dyDescent="0.2">
      <c r="A16" s="579" t="s">
        <v>113</v>
      </c>
      <c r="B16" s="482">
        <f>'Datu ievade'!B195</f>
        <v>12526</v>
      </c>
      <c r="C16" s="482">
        <f>'Datu ievade'!C195</f>
        <v>13027.04</v>
      </c>
      <c r="D16" s="482">
        <f>'Datu ievade'!D195</f>
        <v>13402.820000000002</v>
      </c>
      <c r="E16" s="482">
        <f>'Datu ievade'!E195</f>
        <v>13778.6</v>
      </c>
      <c r="F16" s="482">
        <f>'Datu ievade'!F195</f>
        <v>14029.12</v>
      </c>
      <c r="G16" s="482">
        <f>'Datu ievade'!G195</f>
        <v>14279.64</v>
      </c>
      <c r="H16" s="482">
        <f>'Datu ievade'!H195</f>
        <v>14530.16</v>
      </c>
      <c r="I16" s="482">
        <f>'Datu ievade'!I195</f>
        <v>14780.679999999998</v>
      </c>
      <c r="J16" s="482">
        <f>'Datu ievade'!J195</f>
        <v>15031.199999999999</v>
      </c>
      <c r="K16" s="482">
        <f>'Datu ievade'!K195</f>
        <v>15281.72</v>
      </c>
      <c r="L16" s="482">
        <f>'Datu ievade'!L195</f>
        <v>15532.24</v>
      </c>
      <c r="M16" s="482">
        <f>'Datu ievade'!M195</f>
        <v>15782.76</v>
      </c>
      <c r="N16" s="482">
        <f>'Datu ievade'!N195</f>
        <v>16158.54</v>
      </c>
      <c r="O16" s="482">
        <f>'Datu ievade'!O195</f>
        <v>16534.32</v>
      </c>
      <c r="P16" s="482">
        <f>'Datu ievade'!P195</f>
        <v>16910.100000000002</v>
      </c>
      <c r="Q16" s="482">
        <f>'Datu ievade'!Q195</f>
        <v>17285.879999999997</v>
      </c>
      <c r="R16" s="482">
        <f>'Datu ievade'!R195</f>
        <v>17661.66</v>
      </c>
      <c r="S16" s="482">
        <f>'Datu ievade'!S195</f>
        <v>18037.439999999999</v>
      </c>
      <c r="T16" s="482">
        <f>'Datu ievade'!T195</f>
        <v>18413.22</v>
      </c>
      <c r="U16" s="482">
        <f>'Datu ievade'!U195</f>
        <v>18789</v>
      </c>
      <c r="V16" s="482">
        <f>'Datu ievade'!V195</f>
        <v>19164.78</v>
      </c>
      <c r="W16" s="482">
        <f>'Datu ievade'!W195</f>
        <v>19540.560000000001</v>
      </c>
      <c r="X16" s="482">
        <f>'Datu ievade'!X195</f>
        <v>19916.34</v>
      </c>
      <c r="Y16" s="482">
        <f>'Datu ievade'!Y195</f>
        <v>20292.120000000003</v>
      </c>
      <c r="Z16" s="482">
        <f>'Datu ievade'!Z195</f>
        <v>20667.899999999998</v>
      </c>
      <c r="AA16" s="482">
        <f>'Datu ievade'!AA195</f>
        <v>21043.68</v>
      </c>
      <c r="AB16" s="482">
        <f>'Datu ievade'!AB195</f>
        <v>21419.46</v>
      </c>
      <c r="AC16" s="482">
        <f>'Datu ievade'!AC195</f>
        <v>21795.24</v>
      </c>
      <c r="AD16" s="482">
        <f>'Datu ievade'!AD195</f>
        <v>22171.02</v>
      </c>
      <c r="AE16" s="482">
        <f>'Datu ievade'!AE195</f>
        <v>22672.06</v>
      </c>
      <c r="AF16" s="482">
        <f>'Datu ievade'!AF195</f>
        <v>23173.100000000002</v>
      </c>
      <c r="AG16" s="482">
        <f>'Datu ievade'!AG195</f>
        <v>23174.100000000002</v>
      </c>
      <c r="AH16" s="482">
        <f>'Datu ievade'!AH195</f>
        <v>23175.100000000002</v>
      </c>
      <c r="AI16" s="17"/>
    </row>
    <row r="17" spans="1:35" s="13" customFormat="1" ht="25.5" x14ac:dyDescent="0.2">
      <c r="A17" s="579" t="s">
        <v>562</v>
      </c>
      <c r="B17" s="482">
        <f>'Datu ievade'!B196</f>
        <v>9450</v>
      </c>
      <c r="C17" s="482">
        <f>'Datu ievade'!C196</f>
        <v>9828</v>
      </c>
      <c r="D17" s="482">
        <f>'Datu ievade'!D196</f>
        <v>10111.5</v>
      </c>
      <c r="E17" s="482">
        <f>'Datu ievade'!E196</f>
        <v>10395</v>
      </c>
      <c r="F17" s="482">
        <f>'Datu ievade'!F196</f>
        <v>10584.000000000002</v>
      </c>
      <c r="G17" s="482">
        <f>'Datu ievade'!G196</f>
        <v>10772.999999999998</v>
      </c>
      <c r="H17" s="482">
        <f>'Datu ievade'!H196</f>
        <v>10962</v>
      </c>
      <c r="I17" s="482">
        <f>'Datu ievade'!I196</f>
        <v>11151</v>
      </c>
      <c r="J17" s="482">
        <f>'Datu ievade'!J196</f>
        <v>11340</v>
      </c>
      <c r="K17" s="482">
        <f>'Datu ievade'!K196</f>
        <v>11529</v>
      </c>
      <c r="L17" s="482">
        <f>'Datu ievade'!L196</f>
        <v>11718</v>
      </c>
      <c r="M17" s="482">
        <f>'Datu ievade'!M196</f>
        <v>11907</v>
      </c>
      <c r="N17" s="482">
        <f>'Datu ievade'!N196</f>
        <v>12190.5</v>
      </c>
      <c r="O17" s="482">
        <f>'Datu ievade'!O196</f>
        <v>12474</v>
      </c>
      <c r="P17" s="482">
        <f>'Datu ievade'!P196</f>
        <v>12757.5</v>
      </c>
      <c r="Q17" s="482">
        <f>'Datu ievade'!Q196</f>
        <v>13040.999999999998</v>
      </c>
      <c r="R17" s="482">
        <f>'Datu ievade'!R196</f>
        <v>13324.5</v>
      </c>
      <c r="S17" s="482">
        <f>'Datu ievade'!S196</f>
        <v>13608</v>
      </c>
      <c r="T17" s="482">
        <f>'Datu ievade'!T196</f>
        <v>13891.5</v>
      </c>
      <c r="U17" s="482">
        <f>'Datu ievade'!U196</f>
        <v>14175</v>
      </c>
      <c r="V17" s="482">
        <f>'Datu ievade'!V196</f>
        <v>14458.5</v>
      </c>
      <c r="W17" s="482">
        <f>'Datu ievade'!W196</f>
        <v>14742</v>
      </c>
      <c r="X17" s="482">
        <f>'Datu ievade'!X196</f>
        <v>15025.5</v>
      </c>
      <c r="Y17" s="482">
        <f>'Datu ievade'!Y196</f>
        <v>15309.000000000002</v>
      </c>
      <c r="Z17" s="482">
        <f>'Datu ievade'!Z196</f>
        <v>15592.5</v>
      </c>
      <c r="AA17" s="482">
        <f>'Datu ievade'!AA196</f>
        <v>15876</v>
      </c>
      <c r="AB17" s="482">
        <f>'Datu ievade'!AB196</f>
        <v>16159.5</v>
      </c>
      <c r="AC17" s="482">
        <f>'Datu ievade'!AC196</f>
        <v>16443</v>
      </c>
      <c r="AD17" s="482">
        <f>'Datu ievade'!AD196</f>
        <v>16726.5</v>
      </c>
      <c r="AE17" s="482">
        <f>'Datu ievade'!AE196</f>
        <v>17104.5</v>
      </c>
      <c r="AF17" s="482">
        <f>'Datu ievade'!AF196</f>
        <v>17482.5</v>
      </c>
      <c r="AG17" s="482">
        <f>'Datu ievade'!AG196</f>
        <v>17482.5</v>
      </c>
      <c r="AH17" s="482">
        <f>'Datu ievade'!AH196</f>
        <v>17482.5</v>
      </c>
      <c r="AI17" s="17"/>
    </row>
    <row r="18" spans="1:35" s="13" customFormat="1" ht="12.75" x14ac:dyDescent="0.2">
      <c r="A18" s="580" t="s">
        <v>114</v>
      </c>
      <c r="B18" s="465">
        <f t="shared" ref="B18:AG18" si="1">SUM(B7:B17)</f>
        <v>234425</v>
      </c>
      <c r="C18" s="465">
        <f t="shared" si="1"/>
        <v>243802</v>
      </c>
      <c r="D18" s="465">
        <f t="shared" si="1"/>
        <v>250834.75</v>
      </c>
      <c r="E18" s="465">
        <f t="shared" si="1"/>
        <v>257867.5</v>
      </c>
      <c r="F18" s="465">
        <f t="shared" si="1"/>
        <v>262556.00000000006</v>
      </c>
      <c r="G18" s="465">
        <f t="shared" si="1"/>
        <v>267244.5</v>
      </c>
      <c r="H18" s="465">
        <f t="shared" si="1"/>
        <v>271933</v>
      </c>
      <c r="I18" s="465">
        <f t="shared" si="1"/>
        <v>276621.5</v>
      </c>
      <c r="J18" s="465">
        <f t="shared" si="1"/>
        <v>281310</v>
      </c>
      <c r="K18" s="465">
        <f t="shared" si="1"/>
        <v>285998.5</v>
      </c>
      <c r="L18" s="465">
        <f t="shared" si="1"/>
        <v>290687</v>
      </c>
      <c r="M18" s="465">
        <f t="shared" si="1"/>
        <v>295375.5</v>
      </c>
      <c r="N18" s="465">
        <f t="shared" si="1"/>
        <v>302408.24999999994</v>
      </c>
      <c r="O18" s="465">
        <f t="shared" si="1"/>
        <v>309441</v>
      </c>
      <c r="P18" s="465">
        <f t="shared" si="1"/>
        <v>316473.75</v>
      </c>
      <c r="Q18" s="465">
        <f t="shared" si="1"/>
        <v>323506.5</v>
      </c>
      <c r="R18" s="465">
        <f t="shared" si="1"/>
        <v>330539.24999999994</v>
      </c>
      <c r="S18" s="465">
        <f t="shared" si="1"/>
        <v>337572</v>
      </c>
      <c r="T18" s="465">
        <f t="shared" si="1"/>
        <v>344604.75</v>
      </c>
      <c r="U18" s="465">
        <f t="shared" si="1"/>
        <v>351637.5</v>
      </c>
      <c r="V18" s="465">
        <f t="shared" si="1"/>
        <v>358670.25</v>
      </c>
      <c r="W18" s="465">
        <f t="shared" si="1"/>
        <v>365703</v>
      </c>
      <c r="X18" s="465">
        <f t="shared" si="1"/>
        <v>372735.75000000006</v>
      </c>
      <c r="Y18" s="465">
        <f t="shared" si="1"/>
        <v>379768.5</v>
      </c>
      <c r="Z18" s="465">
        <f t="shared" si="1"/>
        <v>386801.25</v>
      </c>
      <c r="AA18" s="465">
        <f t="shared" si="1"/>
        <v>393833.99999999994</v>
      </c>
      <c r="AB18" s="465">
        <f t="shared" si="1"/>
        <v>400866.75</v>
      </c>
      <c r="AC18" s="465">
        <f t="shared" si="1"/>
        <v>407899.5</v>
      </c>
      <c r="AD18" s="465">
        <f t="shared" si="1"/>
        <v>414932.25</v>
      </c>
      <c r="AE18" s="465">
        <f t="shared" si="1"/>
        <v>424309.25000000006</v>
      </c>
      <c r="AF18" s="465">
        <f t="shared" si="1"/>
        <v>433686.25</v>
      </c>
      <c r="AG18" s="465">
        <f t="shared" si="1"/>
        <v>433694.25</v>
      </c>
      <c r="AH18" s="465">
        <f>SUM(AH7:AH17)</f>
        <v>433702.25</v>
      </c>
      <c r="AI18" s="12"/>
    </row>
    <row r="19" spans="1:35" s="13" customFormat="1" ht="12.75" x14ac:dyDescent="0.2">
      <c r="A19" s="581" t="s">
        <v>115</v>
      </c>
      <c r="B19" s="518"/>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19"/>
    </row>
    <row r="20" spans="1:35" s="13" customFormat="1" ht="12.75" x14ac:dyDescent="0.2">
      <c r="A20" s="579" t="s">
        <v>116</v>
      </c>
      <c r="B20" s="482">
        <f>'Datu ievade'!B187</f>
        <v>53400</v>
      </c>
      <c r="C20" s="482">
        <f>'Datu ievade'!C187</f>
        <v>57138</v>
      </c>
      <c r="D20" s="482">
        <f>'Datu ievade'!D187</f>
        <v>58740.000000000007</v>
      </c>
      <c r="E20" s="482">
        <f>'Datu ievade'!E187</f>
        <v>60341.999999999993</v>
      </c>
      <c r="F20" s="482">
        <f>'Datu ievade'!F187</f>
        <v>61409.999999999993</v>
      </c>
      <c r="G20" s="482">
        <f>'Datu ievade'!G187</f>
        <v>62477.999999999993</v>
      </c>
      <c r="H20" s="482">
        <f>'Datu ievade'!H187</f>
        <v>63546</v>
      </c>
      <c r="I20" s="482">
        <f>'Datu ievade'!I187</f>
        <v>64614</v>
      </c>
      <c r="J20" s="482">
        <f>'Datu ievade'!J187</f>
        <v>65682</v>
      </c>
      <c r="K20" s="482">
        <f>'Datu ievade'!K187</f>
        <v>66750</v>
      </c>
      <c r="L20" s="482">
        <f>'Datu ievade'!L187</f>
        <v>67818</v>
      </c>
      <c r="M20" s="482">
        <f>'Datu ievade'!M187</f>
        <v>68886</v>
      </c>
      <c r="N20" s="482">
        <f>'Datu ievade'!N187</f>
        <v>69954</v>
      </c>
      <c r="O20" s="482">
        <f>'Datu ievade'!O187</f>
        <v>71022</v>
      </c>
      <c r="P20" s="482">
        <f>'Datu ievade'!P187</f>
        <v>72624</v>
      </c>
      <c r="Q20" s="482">
        <f>'Datu ievade'!Q187</f>
        <v>74226</v>
      </c>
      <c r="R20" s="482">
        <f>'Datu ievade'!R187</f>
        <v>75828</v>
      </c>
      <c r="S20" s="482">
        <f>'Datu ievade'!S187</f>
        <v>77430</v>
      </c>
      <c r="T20" s="482">
        <f>'Datu ievade'!T187</f>
        <v>79032</v>
      </c>
      <c r="U20" s="482">
        <f>'Datu ievade'!U187</f>
        <v>80634</v>
      </c>
      <c r="V20" s="482">
        <f>'Datu ievade'!V187</f>
        <v>82236</v>
      </c>
      <c r="W20" s="482">
        <f>'Datu ievade'!W187</f>
        <v>83838</v>
      </c>
      <c r="X20" s="482">
        <f>'Datu ievade'!X187</f>
        <v>85440</v>
      </c>
      <c r="Y20" s="482">
        <f>'Datu ievade'!Y187</f>
        <v>87042</v>
      </c>
      <c r="Z20" s="482">
        <f>'Datu ievade'!Z187</f>
        <v>88644</v>
      </c>
      <c r="AA20" s="482">
        <f>'Datu ievade'!AA187</f>
        <v>90246</v>
      </c>
      <c r="AB20" s="482">
        <f>'Datu ievade'!AB187</f>
        <v>91848</v>
      </c>
      <c r="AC20" s="482">
        <f>'Datu ievade'!AC187</f>
        <v>93450</v>
      </c>
      <c r="AD20" s="482">
        <f>'Datu ievade'!AD187</f>
        <v>95052</v>
      </c>
      <c r="AE20" s="482">
        <f>'Datu ievade'!AE187</f>
        <v>96654</v>
      </c>
      <c r="AF20" s="482">
        <f>'Datu ievade'!AF187</f>
        <v>98256</v>
      </c>
      <c r="AG20" s="482">
        <f>'Datu ievade'!AG187</f>
        <v>98257</v>
      </c>
      <c r="AH20" s="482">
        <f>'Datu ievade'!AH187</f>
        <v>98258</v>
      </c>
      <c r="AI20" s="17"/>
    </row>
    <row r="21" spans="1:35" s="13" customFormat="1" ht="12.75" x14ac:dyDescent="0.2">
      <c r="A21" s="579" t="s">
        <v>117</v>
      </c>
      <c r="B21" s="482">
        <f>'Datu ievade'!B188</f>
        <v>12597.06</v>
      </c>
      <c r="C21" s="482">
        <f>'Datu ievade'!C188</f>
        <v>13478.8542</v>
      </c>
      <c r="D21" s="482">
        <f>'Datu ievade'!D188</f>
        <v>13856.766000000001</v>
      </c>
      <c r="E21" s="482">
        <f>'Datu ievade'!E188</f>
        <v>14234.677799999998</v>
      </c>
      <c r="F21" s="482">
        <f>'Datu ievade'!F188</f>
        <v>14486.618999999999</v>
      </c>
      <c r="G21" s="482">
        <f>'Datu ievade'!G188</f>
        <v>14738.560199999998</v>
      </c>
      <c r="H21" s="482">
        <f>'Datu ievade'!H188</f>
        <v>14990.501399999999</v>
      </c>
      <c r="I21" s="482">
        <f>'Datu ievade'!I188</f>
        <v>15242.4426</v>
      </c>
      <c r="J21" s="482">
        <f>'Datu ievade'!J188</f>
        <v>15494.3838</v>
      </c>
      <c r="K21" s="482">
        <f>'Datu ievade'!K188</f>
        <v>15746.325000000001</v>
      </c>
      <c r="L21" s="482">
        <f>'Datu ievade'!L188</f>
        <v>15998.2662</v>
      </c>
      <c r="M21" s="482">
        <f>'Datu ievade'!M188</f>
        <v>16250.207399999999</v>
      </c>
      <c r="N21" s="482">
        <f>'Datu ievade'!N188</f>
        <v>16502.1486</v>
      </c>
      <c r="O21" s="482">
        <f>'Datu ievade'!O188</f>
        <v>16754.089800000002</v>
      </c>
      <c r="P21" s="482">
        <f>'Datu ievade'!P188</f>
        <v>17132.0016</v>
      </c>
      <c r="Q21" s="482">
        <f>'Datu ievade'!Q188</f>
        <v>17509.913400000001</v>
      </c>
      <c r="R21" s="482">
        <f>'Datu ievade'!R188</f>
        <v>17887.825199999999</v>
      </c>
      <c r="S21" s="482">
        <f>'Datu ievade'!S188</f>
        <v>18265.737000000001</v>
      </c>
      <c r="T21" s="482">
        <f>'Datu ievade'!T188</f>
        <v>18643.648799999999</v>
      </c>
      <c r="U21" s="482">
        <f>'Datu ievade'!U188</f>
        <v>19021.560600000001</v>
      </c>
      <c r="V21" s="482">
        <f>'Datu ievade'!V188</f>
        <v>19399.472399999999</v>
      </c>
      <c r="W21" s="482">
        <f>'Datu ievade'!W188</f>
        <v>19777.3842</v>
      </c>
      <c r="X21" s="482">
        <f>'Datu ievade'!X188</f>
        <v>20155.295999999998</v>
      </c>
      <c r="Y21" s="482">
        <f>'Datu ievade'!Y188</f>
        <v>20533.2078</v>
      </c>
      <c r="Z21" s="482">
        <f>'Datu ievade'!Z188</f>
        <v>20911.119599999998</v>
      </c>
      <c r="AA21" s="482">
        <f>'Datu ievade'!AA188</f>
        <v>21289.0314</v>
      </c>
      <c r="AB21" s="482">
        <f>'Datu ievade'!AB188</f>
        <v>21666.943200000002</v>
      </c>
      <c r="AC21" s="482">
        <f>'Datu ievade'!AC188</f>
        <v>22044.855</v>
      </c>
      <c r="AD21" s="482">
        <f>'Datu ievade'!AD188</f>
        <v>22422.766800000001</v>
      </c>
      <c r="AE21" s="482">
        <f>'Datu ievade'!AE188</f>
        <v>22800.678599999999</v>
      </c>
      <c r="AF21" s="482">
        <f>'Datu ievade'!AF188</f>
        <v>23178.590400000001</v>
      </c>
      <c r="AG21" s="482">
        <f>'Datu ievade'!AG188</f>
        <v>23179.590400000001</v>
      </c>
      <c r="AH21" s="482">
        <f>'Datu ievade'!AH188</f>
        <v>23180.590400000001</v>
      </c>
      <c r="AI21" s="17"/>
    </row>
    <row r="22" spans="1:35" s="13" customFormat="1" ht="12.75" x14ac:dyDescent="0.2">
      <c r="A22" s="579" t="s">
        <v>118</v>
      </c>
      <c r="B22" s="482">
        <f>'Datu ievade'!B189</f>
        <v>0</v>
      </c>
      <c r="C22" s="482">
        <f>'Datu ievade'!C189</f>
        <v>0</v>
      </c>
      <c r="D22" s="482">
        <f>'Datu ievade'!D189</f>
        <v>0</v>
      </c>
      <c r="E22" s="482">
        <f>'Datu ievade'!E189</f>
        <v>0</v>
      </c>
      <c r="F22" s="482">
        <f>'Datu ievade'!F189</f>
        <v>0</v>
      </c>
      <c r="G22" s="482">
        <f>'Datu ievade'!G189</f>
        <v>0</v>
      </c>
      <c r="H22" s="482">
        <f>'Datu ievade'!H189</f>
        <v>0</v>
      </c>
      <c r="I22" s="482">
        <f>'Datu ievade'!I189</f>
        <v>0</v>
      </c>
      <c r="J22" s="482">
        <f>'Datu ievade'!J189</f>
        <v>0</v>
      </c>
      <c r="K22" s="482">
        <f>'Datu ievade'!K189</f>
        <v>0</v>
      </c>
      <c r="L22" s="482">
        <f>'Datu ievade'!L189</f>
        <v>0</v>
      </c>
      <c r="M22" s="482">
        <f>'Datu ievade'!M189</f>
        <v>0</v>
      </c>
      <c r="N22" s="482">
        <f>'Datu ievade'!N189</f>
        <v>0</v>
      </c>
      <c r="O22" s="482">
        <f>'Datu ievade'!O189</f>
        <v>0</v>
      </c>
      <c r="P22" s="482">
        <f>'Datu ievade'!P189</f>
        <v>0</v>
      </c>
      <c r="Q22" s="482">
        <f>'Datu ievade'!Q189</f>
        <v>0</v>
      </c>
      <c r="R22" s="482">
        <f>'Datu ievade'!R189</f>
        <v>0</v>
      </c>
      <c r="S22" s="482">
        <f>'Datu ievade'!S189</f>
        <v>0</v>
      </c>
      <c r="T22" s="482">
        <f>'Datu ievade'!T189</f>
        <v>0</v>
      </c>
      <c r="U22" s="482">
        <f>'Datu ievade'!U189</f>
        <v>0</v>
      </c>
      <c r="V22" s="482">
        <f>'Datu ievade'!V189</f>
        <v>0</v>
      </c>
      <c r="W22" s="482">
        <f>'Datu ievade'!W189</f>
        <v>0</v>
      </c>
      <c r="X22" s="482">
        <f>'Datu ievade'!X189</f>
        <v>0</v>
      </c>
      <c r="Y22" s="482">
        <f>'Datu ievade'!Y189</f>
        <v>0</v>
      </c>
      <c r="Z22" s="482">
        <f>'Datu ievade'!Z189</f>
        <v>0</v>
      </c>
      <c r="AA22" s="482">
        <f>'Datu ievade'!AA189</f>
        <v>0</v>
      </c>
      <c r="AB22" s="482">
        <f>'Datu ievade'!AB189</f>
        <v>0</v>
      </c>
      <c r="AC22" s="482">
        <f>'Datu ievade'!AC189</f>
        <v>0</v>
      </c>
      <c r="AD22" s="482">
        <f>'Datu ievade'!AD189</f>
        <v>0</v>
      </c>
      <c r="AE22" s="482">
        <f>'Datu ievade'!AE189</f>
        <v>0</v>
      </c>
      <c r="AF22" s="482">
        <f>'Datu ievade'!AF189</f>
        <v>0</v>
      </c>
      <c r="AG22" s="482">
        <f>'Datu ievade'!AG189</f>
        <v>0</v>
      </c>
      <c r="AH22" s="482">
        <f>'Datu ievade'!AH189</f>
        <v>0</v>
      </c>
      <c r="AI22" s="17"/>
    </row>
    <row r="23" spans="1:35" s="13" customFormat="1" ht="12.75" x14ac:dyDescent="0.2">
      <c r="A23" s="580" t="s">
        <v>119</v>
      </c>
      <c r="B23" s="482"/>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17"/>
    </row>
    <row r="24" spans="1:35" s="13" customFormat="1" ht="12.75" x14ac:dyDescent="0.2">
      <c r="A24" s="579" t="s">
        <v>120</v>
      </c>
      <c r="B24" s="482">
        <f>'Datu ievade'!B198</f>
        <v>45569</v>
      </c>
      <c r="C24" s="482">
        <f>'Datu ievade'!C198</f>
        <v>48758.83</v>
      </c>
      <c r="D24" s="482">
        <f>'Datu ievade'!D198</f>
        <v>50125.9</v>
      </c>
      <c r="E24" s="482">
        <f>'Datu ievade'!E198</f>
        <v>51492.969999999994</v>
      </c>
      <c r="F24" s="482">
        <f>'Datu ievade'!F198</f>
        <v>52404.35</v>
      </c>
      <c r="G24" s="482">
        <f>'Datu ievade'!G198</f>
        <v>53315.729999999996</v>
      </c>
      <c r="H24" s="482">
        <f>'Datu ievade'!H198</f>
        <v>54227.11</v>
      </c>
      <c r="I24" s="482">
        <f>'Datu ievade'!I198</f>
        <v>55138.49</v>
      </c>
      <c r="J24" s="482">
        <f>'Datu ievade'!J198</f>
        <v>56049.87</v>
      </c>
      <c r="K24" s="482">
        <f>'Datu ievade'!K198</f>
        <v>56961.25</v>
      </c>
      <c r="L24" s="482">
        <f>'Datu ievade'!L198</f>
        <v>57872.63</v>
      </c>
      <c r="M24" s="482">
        <f>'Datu ievade'!M198</f>
        <v>58784.01</v>
      </c>
      <c r="N24" s="482">
        <f>'Datu ievade'!N198</f>
        <v>59695.39</v>
      </c>
      <c r="O24" s="482">
        <f>'Datu ievade'!O198</f>
        <v>60606.770000000004</v>
      </c>
      <c r="P24" s="482">
        <f>'Datu ievade'!P198</f>
        <v>61973.840000000004</v>
      </c>
      <c r="Q24" s="482">
        <f>'Datu ievade'!Q198</f>
        <v>63340.909999999996</v>
      </c>
      <c r="R24" s="482">
        <f>'Datu ievade'!R198</f>
        <v>64707.979999999996</v>
      </c>
      <c r="S24" s="482">
        <f>'Datu ievade'!S198</f>
        <v>66075.05</v>
      </c>
      <c r="T24" s="482">
        <f>'Datu ievade'!T198</f>
        <v>67442.12</v>
      </c>
      <c r="U24" s="482">
        <f>'Datu ievade'!U198</f>
        <v>68809.19</v>
      </c>
      <c r="V24" s="482">
        <f>'Datu ievade'!V198</f>
        <v>70176.259999999995</v>
      </c>
      <c r="W24" s="482">
        <f>'Datu ievade'!W198</f>
        <v>71543.33</v>
      </c>
      <c r="X24" s="482">
        <f>'Datu ievade'!X198</f>
        <v>72910.400000000009</v>
      </c>
      <c r="Y24" s="482">
        <f>'Datu ievade'!Y198</f>
        <v>74277.47</v>
      </c>
      <c r="Z24" s="482">
        <f>'Datu ievade'!Z198</f>
        <v>75644.539999999994</v>
      </c>
      <c r="AA24" s="482">
        <f>'Datu ievade'!AA198</f>
        <v>77011.61</v>
      </c>
      <c r="AB24" s="482">
        <f>'Datu ievade'!AB198</f>
        <v>78378.679999999993</v>
      </c>
      <c r="AC24" s="482">
        <f>'Datu ievade'!AC198</f>
        <v>79745.75</v>
      </c>
      <c r="AD24" s="482">
        <f>'Datu ievade'!AD198</f>
        <v>81112.820000000007</v>
      </c>
      <c r="AE24" s="482">
        <f>'Datu ievade'!AE198</f>
        <v>82479.89</v>
      </c>
      <c r="AF24" s="482">
        <f>'Datu ievade'!AF198</f>
        <v>83846.960000000006</v>
      </c>
      <c r="AG24" s="482">
        <f>'Datu ievade'!AG198</f>
        <v>83847.960000000006</v>
      </c>
      <c r="AH24" s="482">
        <f>'Datu ievade'!AH198</f>
        <v>83848.960000000006</v>
      </c>
      <c r="AI24" s="17"/>
    </row>
    <row r="25" spans="1:35" s="13" customFormat="1" ht="12.75" x14ac:dyDescent="0.2">
      <c r="A25" s="579" t="s">
        <v>121</v>
      </c>
      <c r="B25" s="482">
        <f>'Datu ievade'!B199</f>
        <v>10749.7271</v>
      </c>
      <c r="C25" s="482">
        <f>'Datu ievade'!C199</f>
        <v>11502.207997</v>
      </c>
      <c r="D25" s="482">
        <f>'Datu ievade'!D199</f>
        <v>11824.69981</v>
      </c>
      <c r="E25" s="482">
        <f>'Datu ievade'!E199</f>
        <v>12147.191622999999</v>
      </c>
      <c r="F25" s="482">
        <f>'Datu ievade'!F199</f>
        <v>12362.186164999999</v>
      </c>
      <c r="G25" s="482">
        <f>'Datu ievade'!G199</f>
        <v>12577.180707</v>
      </c>
      <c r="H25" s="482">
        <f>'Datu ievade'!H199</f>
        <v>12792.175249</v>
      </c>
      <c r="I25" s="482">
        <f>'Datu ievade'!I199</f>
        <v>13007.169791</v>
      </c>
      <c r="J25" s="482">
        <f>'Datu ievade'!J199</f>
        <v>13222.164333000001</v>
      </c>
      <c r="K25" s="482">
        <f>'Datu ievade'!K199</f>
        <v>13437.158874999999</v>
      </c>
      <c r="L25" s="482">
        <f>'Datu ievade'!L199</f>
        <v>13652.153417</v>
      </c>
      <c r="M25" s="482">
        <f>'Datu ievade'!M199</f>
        <v>13867.147959</v>
      </c>
      <c r="N25" s="482">
        <f>'Datu ievade'!N199</f>
        <v>14082.142501</v>
      </c>
      <c r="O25" s="482">
        <f>'Datu ievade'!O199</f>
        <v>14297.137043000001</v>
      </c>
      <c r="P25" s="482">
        <f>'Datu ievade'!P199</f>
        <v>14619.628856000001</v>
      </c>
      <c r="Q25" s="482">
        <f>'Datu ievade'!Q199</f>
        <v>14942.120669</v>
      </c>
      <c r="R25" s="482">
        <f>'Datu ievade'!R199</f>
        <v>15264.612481999999</v>
      </c>
      <c r="S25" s="482">
        <f>'Datu ievade'!S199</f>
        <v>15587.104295000001</v>
      </c>
      <c r="T25" s="482">
        <f>'Datu ievade'!T199</f>
        <v>15909.596107999998</v>
      </c>
      <c r="U25" s="482">
        <f>'Datu ievade'!U199</f>
        <v>16232.087921</v>
      </c>
      <c r="V25" s="482">
        <f>'Datu ievade'!V199</f>
        <v>16554.579733999999</v>
      </c>
      <c r="W25" s="482">
        <f>'Datu ievade'!W199</f>
        <v>16877.071547</v>
      </c>
      <c r="X25" s="482">
        <f>'Datu ievade'!X199</f>
        <v>17199.563360000004</v>
      </c>
      <c r="Y25" s="482">
        <f>'Datu ievade'!Y199</f>
        <v>17522.055173000001</v>
      </c>
      <c r="Z25" s="482">
        <f>'Datu ievade'!Z199</f>
        <v>17844.546985999998</v>
      </c>
      <c r="AA25" s="482">
        <f>'Datu ievade'!AA199</f>
        <v>18167.038799000002</v>
      </c>
      <c r="AB25" s="482">
        <f>'Datu ievade'!AB199</f>
        <v>18489.530611999999</v>
      </c>
      <c r="AC25" s="482">
        <f>'Datu ievade'!AC199</f>
        <v>18812.022424999999</v>
      </c>
      <c r="AD25" s="482">
        <f>'Datu ievade'!AD199</f>
        <v>19134.514238</v>
      </c>
      <c r="AE25" s="482">
        <f>'Datu ievade'!AE199</f>
        <v>19457.006051</v>
      </c>
      <c r="AF25" s="482">
        <f>'Datu ievade'!AF199</f>
        <v>19779.497864000001</v>
      </c>
      <c r="AG25" s="482">
        <f>'Datu ievade'!AG199</f>
        <v>19780.497864000001</v>
      </c>
      <c r="AH25" s="482">
        <f>'Datu ievade'!AH199</f>
        <v>19781.497864000001</v>
      </c>
      <c r="AI25" s="17"/>
    </row>
    <row r="26" spans="1:35" s="13" customFormat="1" ht="12.75" x14ac:dyDescent="0.2">
      <c r="A26" s="579" t="s">
        <v>122</v>
      </c>
      <c r="B26" s="482">
        <f>'Datu ievade'!B200</f>
        <v>0</v>
      </c>
      <c r="C26" s="482">
        <f>'Datu ievade'!C200</f>
        <v>0</v>
      </c>
      <c r="D26" s="482">
        <f>'Datu ievade'!D200</f>
        <v>0</v>
      </c>
      <c r="E26" s="482">
        <f>'Datu ievade'!E200</f>
        <v>0</v>
      </c>
      <c r="F26" s="482">
        <f>'Datu ievade'!F200</f>
        <v>0</v>
      </c>
      <c r="G26" s="482">
        <f>'Datu ievade'!G200</f>
        <v>0</v>
      </c>
      <c r="H26" s="482">
        <f>'Datu ievade'!H200</f>
        <v>0</v>
      </c>
      <c r="I26" s="482">
        <f>'Datu ievade'!I200</f>
        <v>0</v>
      </c>
      <c r="J26" s="482">
        <f>'Datu ievade'!J200</f>
        <v>0</v>
      </c>
      <c r="K26" s="482">
        <f>'Datu ievade'!K200</f>
        <v>0</v>
      </c>
      <c r="L26" s="482">
        <f>'Datu ievade'!L200</f>
        <v>0</v>
      </c>
      <c r="M26" s="482">
        <f>'Datu ievade'!M200</f>
        <v>0</v>
      </c>
      <c r="N26" s="482">
        <f>'Datu ievade'!N200</f>
        <v>0</v>
      </c>
      <c r="O26" s="482">
        <f>'Datu ievade'!O200</f>
        <v>0</v>
      </c>
      <c r="P26" s="482">
        <f>'Datu ievade'!P200</f>
        <v>0</v>
      </c>
      <c r="Q26" s="482">
        <f>'Datu ievade'!Q200</f>
        <v>0</v>
      </c>
      <c r="R26" s="482">
        <f>'Datu ievade'!R200</f>
        <v>0</v>
      </c>
      <c r="S26" s="482">
        <f>'Datu ievade'!S200</f>
        <v>0</v>
      </c>
      <c r="T26" s="482">
        <f>'Datu ievade'!T200</f>
        <v>0</v>
      </c>
      <c r="U26" s="482">
        <f>'Datu ievade'!U200</f>
        <v>0</v>
      </c>
      <c r="V26" s="482">
        <f>'Datu ievade'!V200</f>
        <v>0</v>
      </c>
      <c r="W26" s="482">
        <f>'Datu ievade'!W200</f>
        <v>0</v>
      </c>
      <c r="X26" s="482">
        <f>'Datu ievade'!X200</f>
        <v>0</v>
      </c>
      <c r="Y26" s="482">
        <f>'Datu ievade'!Y200</f>
        <v>0</v>
      </c>
      <c r="Z26" s="482">
        <f>'Datu ievade'!Z200</f>
        <v>0</v>
      </c>
      <c r="AA26" s="482">
        <f>'Datu ievade'!AA200</f>
        <v>0</v>
      </c>
      <c r="AB26" s="482">
        <f>'Datu ievade'!AB200</f>
        <v>0</v>
      </c>
      <c r="AC26" s="482">
        <f>'Datu ievade'!AC200</f>
        <v>0</v>
      </c>
      <c r="AD26" s="482">
        <f>'Datu ievade'!AD200</f>
        <v>0</v>
      </c>
      <c r="AE26" s="482">
        <f>'Datu ievade'!AE200</f>
        <v>0</v>
      </c>
      <c r="AF26" s="482">
        <f>'Datu ievade'!AF200</f>
        <v>0</v>
      </c>
      <c r="AG26" s="482">
        <f>'Datu ievade'!AG200</f>
        <v>0</v>
      </c>
      <c r="AH26" s="482">
        <f>'Datu ievade'!AH200</f>
        <v>0</v>
      </c>
      <c r="AI26" s="17"/>
    </row>
    <row r="27" spans="1:35" s="13" customFormat="1" ht="12.75" x14ac:dyDescent="0.2">
      <c r="A27" s="580" t="s">
        <v>123</v>
      </c>
      <c r="B27" s="465">
        <f t="shared" ref="B27:AG27" si="2">SUM(B20:B26)</f>
        <v>122315.7871</v>
      </c>
      <c r="C27" s="465">
        <f t="shared" si="2"/>
        <v>130877.89219700001</v>
      </c>
      <c r="D27" s="465">
        <f t="shared" si="2"/>
        <v>134547.36580999999</v>
      </c>
      <c r="E27" s="465">
        <f t="shared" si="2"/>
        <v>138216.83942299997</v>
      </c>
      <c r="F27" s="465">
        <f t="shared" si="2"/>
        <v>140663.15516499997</v>
      </c>
      <c r="G27" s="465">
        <f t="shared" si="2"/>
        <v>143109.47090699998</v>
      </c>
      <c r="H27" s="465">
        <f t="shared" si="2"/>
        <v>145555.78664899999</v>
      </c>
      <c r="I27" s="465">
        <f t="shared" si="2"/>
        <v>148002.10239099999</v>
      </c>
      <c r="J27" s="465">
        <f t="shared" si="2"/>
        <v>150448.418133</v>
      </c>
      <c r="K27" s="465">
        <f t="shared" si="2"/>
        <v>152894.73387500001</v>
      </c>
      <c r="L27" s="465">
        <f t="shared" si="2"/>
        <v>155341.04961699998</v>
      </c>
      <c r="M27" s="465">
        <f t="shared" si="2"/>
        <v>157787.36535899999</v>
      </c>
      <c r="N27" s="465">
        <f t="shared" si="2"/>
        <v>160233.68110099999</v>
      </c>
      <c r="O27" s="465">
        <f t="shared" si="2"/>
        <v>162679.996843</v>
      </c>
      <c r="P27" s="465">
        <f t="shared" si="2"/>
        <v>166349.47045600001</v>
      </c>
      <c r="Q27" s="465">
        <f t="shared" si="2"/>
        <v>170018.94406899999</v>
      </c>
      <c r="R27" s="465">
        <f t="shared" si="2"/>
        <v>173688.417682</v>
      </c>
      <c r="S27" s="465">
        <f t="shared" si="2"/>
        <v>177357.89129500001</v>
      </c>
      <c r="T27" s="465">
        <f t="shared" si="2"/>
        <v>181027.36490799999</v>
      </c>
      <c r="U27" s="465">
        <f t="shared" si="2"/>
        <v>184696.838521</v>
      </c>
      <c r="V27" s="465">
        <f t="shared" si="2"/>
        <v>188366.31213399998</v>
      </c>
      <c r="W27" s="465">
        <f t="shared" si="2"/>
        <v>192035.78574699999</v>
      </c>
      <c r="X27" s="465">
        <f t="shared" si="2"/>
        <v>195705.25936</v>
      </c>
      <c r="Y27" s="465">
        <f t="shared" si="2"/>
        <v>199374.73297300001</v>
      </c>
      <c r="Z27" s="465">
        <f t="shared" si="2"/>
        <v>203044.20658600001</v>
      </c>
      <c r="AA27" s="465">
        <f t="shared" si="2"/>
        <v>206713.68019900002</v>
      </c>
      <c r="AB27" s="465">
        <f t="shared" si="2"/>
        <v>210383.153812</v>
      </c>
      <c r="AC27" s="465">
        <f t="shared" si="2"/>
        <v>214052.62742499998</v>
      </c>
      <c r="AD27" s="465">
        <f t="shared" si="2"/>
        <v>217722.10103799999</v>
      </c>
      <c r="AE27" s="465">
        <f t="shared" si="2"/>
        <v>221391.574651</v>
      </c>
      <c r="AF27" s="465">
        <f t="shared" si="2"/>
        <v>225061.04826400001</v>
      </c>
      <c r="AG27" s="465">
        <f t="shared" si="2"/>
        <v>225065.04826400001</v>
      </c>
      <c r="AH27" s="465">
        <f>SUM(AH20:AH26)</f>
        <v>225069.04826400001</v>
      </c>
      <c r="AI27" s="12"/>
    </row>
    <row r="28" spans="1:35" s="13" customFormat="1" ht="25.5" x14ac:dyDescent="0.2">
      <c r="A28" s="464" t="s">
        <v>124</v>
      </c>
      <c r="B28" s="465">
        <f t="shared" ref="B28:AG28" si="3">SUM(B18,B27)</f>
        <v>356740.78710000002</v>
      </c>
      <c r="C28" s="465">
        <f t="shared" si="3"/>
        <v>374679.89219699998</v>
      </c>
      <c r="D28" s="465">
        <f t="shared" si="3"/>
        <v>385382.11580999999</v>
      </c>
      <c r="E28" s="465">
        <f t="shared" si="3"/>
        <v>396084.339423</v>
      </c>
      <c r="F28" s="465">
        <f t="shared" si="3"/>
        <v>403219.155165</v>
      </c>
      <c r="G28" s="465">
        <f t="shared" si="3"/>
        <v>410353.97090700001</v>
      </c>
      <c r="H28" s="465">
        <f t="shared" si="3"/>
        <v>417488.78664900002</v>
      </c>
      <c r="I28" s="465">
        <f t="shared" si="3"/>
        <v>424623.60239100002</v>
      </c>
      <c r="J28" s="465">
        <f t="shared" si="3"/>
        <v>431758.41813300003</v>
      </c>
      <c r="K28" s="465">
        <f t="shared" si="3"/>
        <v>438893.23387500003</v>
      </c>
      <c r="L28" s="465">
        <f t="shared" si="3"/>
        <v>446028.04961699998</v>
      </c>
      <c r="M28" s="465">
        <f t="shared" si="3"/>
        <v>453162.86535899999</v>
      </c>
      <c r="N28" s="465">
        <f t="shared" si="3"/>
        <v>462641.93110099994</v>
      </c>
      <c r="O28" s="465">
        <f t="shared" si="3"/>
        <v>472120.996843</v>
      </c>
      <c r="P28" s="465">
        <f t="shared" si="3"/>
        <v>482823.22045600001</v>
      </c>
      <c r="Q28" s="465">
        <f t="shared" si="3"/>
        <v>493525.44406899996</v>
      </c>
      <c r="R28" s="465">
        <f t="shared" si="3"/>
        <v>504227.66768199997</v>
      </c>
      <c r="S28" s="465">
        <f t="shared" si="3"/>
        <v>514929.89129499998</v>
      </c>
      <c r="T28" s="465">
        <f t="shared" si="3"/>
        <v>525632.11490799999</v>
      </c>
      <c r="U28" s="465">
        <f t="shared" si="3"/>
        <v>536334.338521</v>
      </c>
      <c r="V28" s="465">
        <f t="shared" si="3"/>
        <v>547036.56213400001</v>
      </c>
      <c r="W28" s="465">
        <f t="shared" si="3"/>
        <v>557738.78574700002</v>
      </c>
      <c r="X28" s="465">
        <f t="shared" si="3"/>
        <v>568441.00936000003</v>
      </c>
      <c r="Y28" s="465">
        <f t="shared" si="3"/>
        <v>579143.23297300003</v>
      </c>
      <c r="Z28" s="465">
        <f t="shared" si="3"/>
        <v>589845.45658600004</v>
      </c>
      <c r="AA28" s="465">
        <f t="shared" si="3"/>
        <v>600547.68019899994</v>
      </c>
      <c r="AB28" s="465">
        <f t="shared" si="3"/>
        <v>611249.90381200006</v>
      </c>
      <c r="AC28" s="465">
        <f t="shared" si="3"/>
        <v>621952.12742499996</v>
      </c>
      <c r="AD28" s="465">
        <f t="shared" si="3"/>
        <v>632654.35103799996</v>
      </c>
      <c r="AE28" s="465">
        <f t="shared" si="3"/>
        <v>645700.82465100009</v>
      </c>
      <c r="AF28" s="465">
        <f t="shared" si="3"/>
        <v>658747.29826399998</v>
      </c>
      <c r="AG28" s="465">
        <f t="shared" si="3"/>
        <v>658759.29826399998</v>
      </c>
      <c r="AH28" s="465">
        <f>SUM(AH18,AH27)</f>
        <v>658771.29826399998</v>
      </c>
      <c r="AI28" s="12"/>
    </row>
    <row r="29" spans="1:35" s="44" customFormat="1" ht="12.75" x14ac:dyDescent="0.2">
      <c r="A29" s="474" t="s">
        <v>125</v>
      </c>
      <c r="B29" s="680">
        <f>'Datu ievade'!E265*'Datu ievade'!B407</f>
        <v>188705</v>
      </c>
      <c r="C29" s="680">
        <f>'Datu ievade'!F265*'Datu ievade'!C407</f>
        <v>183987.375</v>
      </c>
      <c r="D29" s="680">
        <f>'Datu ievade'!G265*'Datu ievade'!D407</f>
        <v>189648.52500000002</v>
      </c>
      <c r="E29" s="680">
        <f>'Datu ievade'!H265*'Datu ievade'!E407</f>
        <v>194366.15</v>
      </c>
      <c r="F29" s="680">
        <f>'Datu ievade'!I265*'Datu ievade'!F407</f>
        <v>197196.72500000001</v>
      </c>
      <c r="G29" s="680">
        <f>'Datu ievade'!J265*'Datu ievade'!G407</f>
        <v>200970.82499999998</v>
      </c>
      <c r="H29" s="680">
        <f>'Datu ievade'!K265*'Datu ievade'!H407</f>
        <v>203801.4</v>
      </c>
      <c r="I29" s="680">
        <f>'Datu ievade'!L265*'Datu ievade'!I407</f>
        <v>207575.5</v>
      </c>
      <c r="J29" s="680">
        <f>'Datu ievade'!M265*'Datu ievade'!J407</f>
        <v>210406.07500000001</v>
      </c>
      <c r="K29" s="680">
        <f>'Datu ievade'!N265*'Datu ievade'!K407</f>
        <v>214180.17500000002</v>
      </c>
      <c r="L29" s="680">
        <f>'Datu ievade'!O265*'Datu ievade'!L407</f>
        <v>217010.75</v>
      </c>
      <c r="M29" s="680">
        <f>'Datu ievade'!P265*'Datu ievade'!M407</f>
        <v>219841.32500000001</v>
      </c>
      <c r="N29" s="680">
        <f>'Datu ievade'!Q265*'Datu ievade'!N407</f>
        <v>224558.94999999998</v>
      </c>
      <c r="O29" s="680">
        <f>'Datu ievade'!R265*'Datu ievade'!O407</f>
        <v>229276.57499999998</v>
      </c>
      <c r="P29" s="680">
        <f>'Datu ievade'!S265*'Datu ievade'!P407</f>
        <v>233994.2</v>
      </c>
      <c r="Q29" s="680">
        <f>'Datu ievade'!T265*'Datu ievade'!Q407</f>
        <v>234937.72500000001</v>
      </c>
      <c r="R29" s="680">
        <f>'Datu ievade'!U265*'Datu ievade'!R407</f>
        <v>239655.35</v>
      </c>
      <c r="S29" s="680">
        <f>'Datu ievade'!V265*'Datu ievade'!S407</f>
        <v>244372.97500000001</v>
      </c>
      <c r="T29" s="680">
        <f>'Datu ievade'!W265*'Datu ievade'!T407</f>
        <v>249090.6</v>
      </c>
      <c r="U29" s="680">
        <f>'Datu ievade'!X265*'Datu ievade'!U407</f>
        <v>253808.22500000001</v>
      </c>
      <c r="V29" s="680">
        <f>'Datu ievade'!Y265*'Datu ievade'!V407</f>
        <v>259469.37500000003</v>
      </c>
      <c r="W29" s="680">
        <f>'Datu ievade'!Z265*'Datu ievade'!W407</f>
        <v>264187</v>
      </c>
      <c r="X29" s="680">
        <f>'Datu ievade'!AA265*'Datu ievade'!X407</f>
        <v>268904.625</v>
      </c>
      <c r="Y29" s="680">
        <f>'Datu ievade'!AB265*'Datu ievade'!Y407</f>
        <v>273622.25</v>
      </c>
      <c r="Z29" s="680">
        <f>'Datu ievade'!AC265*'Datu ievade'!Z407</f>
        <v>278339.875</v>
      </c>
      <c r="AA29" s="680">
        <f>'Datu ievade'!AD265*'Datu ievade'!AA407</f>
        <v>284001.02499999997</v>
      </c>
      <c r="AB29" s="680">
        <f>'Datu ievade'!AE265*'Datu ievade'!AB407</f>
        <v>288718.65000000002</v>
      </c>
      <c r="AC29" s="680">
        <f>'Datu ievade'!AF265*'Datu ievade'!AC407</f>
        <v>293436.27500000002</v>
      </c>
      <c r="AD29" s="680">
        <f>'Datu ievade'!AG265*'Datu ievade'!AD407</f>
        <v>298153.90000000002</v>
      </c>
      <c r="AE29" s="680">
        <f>'Datu ievade'!AH265*'Datu ievade'!AE407</f>
        <v>303815.05</v>
      </c>
      <c r="AF29" s="680">
        <f>'Datu ievade'!AI265*'Datu ievade'!AF407</f>
        <v>310419.72500000003</v>
      </c>
      <c r="AG29" s="680">
        <f>'Datu ievade'!AJ265*'Datu ievade'!AG407</f>
        <v>310419.72500000003</v>
      </c>
      <c r="AH29" s="680">
        <f>'Datu ievade'!AK265*'Datu ievade'!AH407</f>
        <v>310419.72500000003</v>
      </c>
      <c r="AI29" s="43"/>
    </row>
    <row r="30" spans="1:35" s="44" customFormat="1" ht="12.75" x14ac:dyDescent="0.2">
      <c r="A30" s="474" t="s">
        <v>126</v>
      </c>
      <c r="B30" s="680">
        <f>'Datu ievade'!B407*'Datu ievade'!E273</f>
        <v>27000</v>
      </c>
      <c r="C30" s="680">
        <f>'Datu ievade'!C407*'Datu ievade'!F273</f>
        <v>26325</v>
      </c>
      <c r="D30" s="680">
        <f>'Datu ievade'!D407*'Datu ievade'!G273</f>
        <v>27135</v>
      </c>
      <c r="E30" s="680">
        <f>'Datu ievade'!E407*'Datu ievade'!H273</f>
        <v>27810</v>
      </c>
      <c r="F30" s="680">
        <f>'Datu ievade'!F407*'Datu ievade'!I273</f>
        <v>28215</v>
      </c>
      <c r="G30" s="680">
        <f>'Datu ievade'!G407*'Datu ievade'!J273</f>
        <v>28755</v>
      </c>
      <c r="H30" s="680">
        <f>'Datu ievade'!H407*'Datu ievade'!K273</f>
        <v>29160</v>
      </c>
      <c r="I30" s="680">
        <f>'Datu ievade'!I407*'Datu ievade'!L273</f>
        <v>29700</v>
      </c>
      <c r="J30" s="680">
        <f>'Datu ievade'!J407*'Datu ievade'!M273</f>
        <v>30105</v>
      </c>
      <c r="K30" s="680">
        <f>'Datu ievade'!K407*'Datu ievade'!N273</f>
        <v>30645</v>
      </c>
      <c r="L30" s="680">
        <f>'Datu ievade'!L407*'Datu ievade'!O273</f>
        <v>31050</v>
      </c>
      <c r="M30" s="680">
        <f>'Datu ievade'!M407*'Datu ievade'!P273</f>
        <v>31455</v>
      </c>
      <c r="N30" s="680">
        <f>'Datu ievade'!N407*'Datu ievade'!Q273</f>
        <v>32130</v>
      </c>
      <c r="O30" s="680">
        <f>'Datu ievade'!O407*'Datu ievade'!R273</f>
        <v>32805</v>
      </c>
      <c r="P30" s="680">
        <f>'Datu ievade'!P407*'Datu ievade'!S273</f>
        <v>33480</v>
      </c>
      <c r="Q30" s="680">
        <f>'Datu ievade'!Q407*'Datu ievade'!T273</f>
        <v>33615</v>
      </c>
      <c r="R30" s="680">
        <f>'Datu ievade'!R407*'Datu ievade'!U273</f>
        <v>34290</v>
      </c>
      <c r="S30" s="680">
        <f>'Datu ievade'!S407*'Datu ievade'!V273</f>
        <v>34965</v>
      </c>
      <c r="T30" s="680">
        <f>'Datu ievade'!T407*'Datu ievade'!W273</f>
        <v>35640</v>
      </c>
      <c r="U30" s="680">
        <f>'Datu ievade'!U407*'Datu ievade'!X273</f>
        <v>36315</v>
      </c>
      <c r="V30" s="680">
        <f>'Datu ievade'!V407*'Datu ievade'!Y273</f>
        <v>37125</v>
      </c>
      <c r="W30" s="680">
        <f>'Datu ievade'!W407*'Datu ievade'!Z273</f>
        <v>37800</v>
      </c>
      <c r="X30" s="680">
        <f>'Datu ievade'!X407*'Datu ievade'!AA273</f>
        <v>38475</v>
      </c>
      <c r="Y30" s="680">
        <f>'Datu ievade'!Y407*'Datu ievade'!AB273</f>
        <v>39150</v>
      </c>
      <c r="Z30" s="680">
        <f>'Datu ievade'!Z407*'Datu ievade'!AC273</f>
        <v>39825</v>
      </c>
      <c r="AA30" s="680">
        <f>'Datu ievade'!AA407*'Datu ievade'!AD273</f>
        <v>40635</v>
      </c>
      <c r="AB30" s="680">
        <f>'Datu ievade'!AB407*'Datu ievade'!AE273</f>
        <v>41310</v>
      </c>
      <c r="AC30" s="680">
        <f>'Datu ievade'!AC407*'Datu ievade'!AF273</f>
        <v>41985</v>
      </c>
      <c r="AD30" s="680">
        <f>'Datu ievade'!AD407*'Datu ievade'!AG273</f>
        <v>42660</v>
      </c>
      <c r="AE30" s="680">
        <f>'Datu ievade'!AE407*'Datu ievade'!AH273</f>
        <v>43470</v>
      </c>
      <c r="AF30" s="680">
        <f>'Datu ievade'!AF407*'Datu ievade'!AI273</f>
        <v>44415</v>
      </c>
      <c r="AG30" s="680">
        <f>'Datu ievade'!AG407*'Datu ievade'!AJ273</f>
        <v>44415</v>
      </c>
      <c r="AH30" s="680">
        <f>'Datu ievade'!AH407*'Datu ievade'!AK273</f>
        <v>44415</v>
      </c>
      <c r="AI30" s="43"/>
    </row>
    <row r="31" spans="1:35" s="44" customFormat="1" ht="12.75" x14ac:dyDescent="0.2">
      <c r="A31" s="474" t="s">
        <v>127</v>
      </c>
      <c r="B31" s="680">
        <f>'Datu ievade'!E280*'Datu ievade'!B407</f>
        <v>24000</v>
      </c>
      <c r="C31" s="680">
        <f>'Datu ievade'!F280*'Datu ievade'!C407</f>
        <v>23400</v>
      </c>
      <c r="D31" s="680">
        <f>'Datu ievade'!G280*'Datu ievade'!D407</f>
        <v>24120</v>
      </c>
      <c r="E31" s="680">
        <f>'Datu ievade'!H280*'Datu ievade'!E407</f>
        <v>24720</v>
      </c>
      <c r="F31" s="680">
        <f>'Datu ievade'!I280*'Datu ievade'!F407</f>
        <v>25080</v>
      </c>
      <c r="G31" s="680">
        <f>'Datu ievade'!J280*'Datu ievade'!G407</f>
        <v>25560</v>
      </c>
      <c r="H31" s="680">
        <f>'Datu ievade'!K280*'Datu ievade'!H407</f>
        <v>25920</v>
      </c>
      <c r="I31" s="680">
        <f>'Datu ievade'!L280*'Datu ievade'!I407</f>
        <v>26400</v>
      </c>
      <c r="J31" s="680">
        <f>'Datu ievade'!M280*'Datu ievade'!J407</f>
        <v>26760</v>
      </c>
      <c r="K31" s="680">
        <f>'Datu ievade'!N280*'Datu ievade'!K407</f>
        <v>27240</v>
      </c>
      <c r="L31" s="680">
        <f>'Datu ievade'!O280*'Datu ievade'!L407</f>
        <v>27600</v>
      </c>
      <c r="M31" s="680">
        <f>'Datu ievade'!P280*'Datu ievade'!M407</f>
        <v>27960</v>
      </c>
      <c r="N31" s="680">
        <f>'Datu ievade'!Q280*'Datu ievade'!N407</f>
        <v>28560</v>
      </c>
      <c r="O31" s="680">
        <f>'Datu ievade'!R280*'Datu ievade'!O407</f>
        <v>29160</v>
      </c>
      <c r="P31" s="680">
        <f>'Datu ievade'!S280*'Datu ievade'!P407</f>
        <v>29760</v>
      </c>
      <c r="Q31" s="680">
        <f>'Datu ievade'!T280*'Datu ievade'!Q407</f>
        <v>29880</v>
      </c>
      <c r="R31" s="680">
        <f>'Datu ievade'!U280*'Datu ievade'!R407</f>
        <v>30480</v>
      </c>
      <c r="S31" s="680">
        <f>'Datu ievade'!V280*'Datu ievade'!S407</f>
        <v>31080</v>
      </c>
      <c r="T31" s="680">
        <f>'Datu ievade'!W280*'Datu ievade'!T407</f>
        <v>31680</v>
      </c>
      <c r="U31" s="680">
        <f>'Datu ievade'!X280*'Datu ievade'!U407</f>
        <v>32280.000000000004</v>
      </c>
      <c r="V31" s="680">
        <f>'Datu ievade'!Y280*'Datu ievade'!V407</f>
        <v>33000</v>
      </c>
      <c r="W31" s="680">
        <f>'Datu ievade'!Z280*'Datu ievade'!W407</f>
        <v>33600</v>
      </c>
      <c r="X31" s="680">
        <f>'Datu ievade'!AA280*'Datu ievade'!X407</f>
        <v>34200</v>
      </c>
      <c r="Y31" s="680">
        <f>'Datu ievade'!AB280*'Datu ievade'!Y407</f>
        <v>34800</v>
      </c>
      <c r="Z31" s="680">
        <f>'Datu ievade'!AC280*'Datu ievade'!Z407</f>
        <v>35400</v>
      </c>
      <c r="AA31" s="680">
        <f>'Datu ievade'!AD280*'Datu ievade'!AA407</f>
        <v>36120</v>
      </c>
      <c r="AB31" s="680">
        <f>'Datu ievade'!AE280*'Datu ievade'!AB407</f>
        <v>36720</v>
      </c>
      <c r="AC31" s="680">
        <f>'Datu ievade'!AF280*'Datu ievade'!AC407</f>
        <v>37320</v>
      </c>
      <c r="AD31" s="680">
        <f>'Datu ievade'!AG280*'Datu ievade'!AD407</f>
        <v>37920</v>
      </c>
      <c r="AE31" s="680">
        <f>'Datu ievade'!AH280*'Datu ievade'!AE407</f>
        <v>38640</v>
      </c>
      <c r="AF31" s="680">
        <f>'Datu ievade'!AI280*'Datu ievade'!AF407</f>
        <v>39480</v>
      </c>
      <c r="AG31" s="680">
        <f>'Datu ievade'!AJ280*'Datu ievade'!AG407</f>
        <v>39480</v>
      </c>
      <c r="AH31" s="680">
        <f>'Datu ievade'!AK280*'Datu ievade'!AH407</f>
        <v>39480</v>
      </c>
      <c r="AI31" s="43"/>
    </row>
    <row r="32" spans="1:35" s="44" customFormat="1" ht="12.75" x14ac:dyDescent="0.2">
      <c r="A32" s="681" t="s">
        <v>128</v>
      </c>
      <c r="B32" s="477">
        <f t="shared" ref="B32:AG32" si="4">SUM(B29:B31)</f>
        <v>239705</v>
      </c>
      <c r="C32" s="477">
        <f t="shared" si="4"/>
        <v>233712.375</v>
      </c>
      <c r="D32" s="477">
        <f t="shared" si="4"/>
        <v>240903.52500000002</v>
      </c>
      <c r="E32" s="477">
        <f t="shared" si="4"/>
        <v>246896.15</v>
      </c>
      <c r="F32" s="477">
        <f t="shared" si="4"/>
        <v>250491.72500000001</v>
      </c>
      <c r="G32" s="477">
        <f t="shared" si="4"/>
        <v>255285.82499999998</v>
      </c>
      <c r="H32" s="477">
        <f t="shared" si="4"/>
        <v>258881.4</v>
      </c>
      <c r="I32" s="477">
        <f t="shared" si="4"/>
        <v>263675.5</v>
      </c>
      <c r="J32" s="477">
        <f t="shared" si="4"/>
        <v>267271.07500000001</v>
      </c>
      <c r="K32" s="477">
        <f t="shared" si="4"/>
        <v>272065.17500000005</v>
      </c>
      <c r="L32" s="477">
        <f t="shared" si="4"/>
        <v>275660.75</v>
      </c>
      <c r="M32" s="477">
        <f t="shared" si="4"/>
        <v>279256.32500000001</v>
      </c>
      <c r="N32" s="477">
        <f t="shared" si="4"/>
        <v>285248.94999999995</v>
      </c>
      <c r="O32" s="477">
        <f t="shared" si="4"/>
        <v>291241.57499999995</v>
      </c>
      <c r="P32" s="477">
        <f t="shared" si="4"/>
        <v>297234.2</v>
      </c>
      <c r="Q32" s="477">
        <f t="shared" si="4"/>
        <v>298432.72499999998</v>
      </c>
      <c r="R32" s="477">
        <f t="shared" si="4"/>
        <v>304425.34999999998</v>
      </c>
      <c r="S32" s="477">
        <f t="shared" si="4"/>
        <v>310417.97499999998</v>
      </c>
      <c r="T32" s="477">
        <f t="shared" si="4"/>
        <v>316410.59999999998</v>
      </c>
      <c r="U32" s="477">
        <f t="shared" si="4"/>
        <v>322403.22499999998</v>
      </c>
      <c r="V32" s="477">
        <f t="shared" si="4"/>
        <v>329594.375</v>
      </c>
      <c r="W32" s="477">
        <f t="shared" si="4"/>
        <v>335587</v>
      </c>
      <c r="X32" s="477">
        <f t="shared" si="4"/>
        <v>341579.625</v>
      </c>
      <c r="Y32" s="477">
        <f t="shared" si="4"/>
        <v>347572.25</v>
      </c>
      <c r="Z32" s="477">
        <f t="shared" si="4"/>
        <v>353564.875</v>
      </c>
      <c r="AA32" s="477">
        <f t="shared" si="4"/>
        <v>360756.02499999997</v>
      </c>
      <c r="AB32" s="477">
        <f t="shared" si="4"/>
        <v>366748.65</v>
      </c>
      <c r="AC32" s="477">
        <f t="shared" si="4"/>
        <v>372741.27500000002</v>
      </c>
      <c r="AD32" s="477">
        <f t="shared" si="4"/>
        <v>378733.9</v>
      </c>
      <c r="AE32" s="477">
        <f t="shared" si="4"/>
        <v>385925.05</v>
      </c>
      <c r="AF32" s="477">
        <f t="shared" si="4"/>
        <v>394314.72500000003</v>
      </c>
      <c r="AG32" s="477">
        <f t="shared" si="4"/>
        <v>394314.72500000003</v>
      </c>
      <c r="AH32" s="477">
        <f>SUM(AH29:AH31)</f>
        <v>394314.72500000003</v>
      </c>
      <c r="AI32" s="2"/>
    </row>
    <row r="33" spans="1:35" s="44" customFormat="1" ht="12.75" x14ac:dyDescent="0.2">
      <c r="A33" s="474" t="s">
        <v>129</v>
      </c>
      <c r="B33" s="680">
        <f>'Datu ievade'!B412*'Datu ievade'!E300</f>
        <v>141802.5</v>
      </c>
      <c r="C33" s="680">
        <f>'Datu ievade'!C412*'Datu ievade'!F300</f>
        <v>148183.61249999999</v>
      </c>
      <c r="D33" s="680">
        <f>'Datu ievade'!D412*'Datu ievade'!G300</f>
        <v>152437.6875</v>
      </c>
      <c r="E33" s="680">
        <f>'Datu ievade'!E412*'Datu ievade'!H300</f>
        <v>156691.76250000001</v>
      </c>
      <c r="F33" s="680">
        <f>'Datu ievade'!F412*'Datu ievade'!I300</f>
        <v>158818.80000000002</v>
      </c>
      <c r="G33" s="680">
        <f>'Datu ievade'!G412*'Datu ievade'!J300</f>
        <v>161654.85</v>
      </c>
      <c r="H33" s="680">
        <f>'Datu ievade'!H412*'Datu ievade'!K300</f>
        <v>164490.9</v>
      </c>
      <c r="I33" s="680">
        <f>'Datu ievade'!I412*'Datu ievade'!L300</f>
        <v>166617.9375</v>
      </c>
      <c r="J33" s="680">
        <f>'Datu ievade'!J412*'Datu ievade'!M300</f>
        <v>169453.98749999999</v>
      </c>
      <c r="K33" s="680">
        <f>'Datu ievade'!K412*'Datu ievade'!N300</f>
        <v>172290.03750000001</v>
      </c>
      <c r="L33" s="680">
        <f>'Datu ievade'!L412*'Datu ievade'!O300</f>
        <v>174417.07500000001</v>
      </c>
      <c r="M33" s="680">
        <f>'Datu ievade'!M412*'Datu ievade'!P300</f>
        <v>177253.125</v>
      </c>
      <c r="N33" s="680">
        <f>'Datu ievade'!N412*'Datu ievade'!Q300</f>
        <v>180798.1875</v>
      </c>
      <c r="O33" s="680">
        <f>'Datu ievade'!O412*'Datu ievade'!R300</f>
        <v>184343.25</v>
      </c>
      <c r="P33" s="680">
        <f>'Datu ievade'!P412*'Datu ievade'!S300</f>
        <v>188597.32500000001</v>
      </c>
      <c r="Q33" s="680">
        <f>'Datu ievade'!Q412*'Datu ievade'!T300</f>
        <v>189306.33750000002</v>
      </c>
      <c r="R33" s="680">
        <f>'Datu ievade'!R412*'Datu ievade'!U300</f>
        <v>193560.41250000001</v>
      </c>
      <c r="S33" s="680">
        <f>'Datu ievade'!S412*'Datu ievade'!V300</f>
        <v>197814.48750000002</v>
      </c>
      <c r="T33" s="680">
        <f>'Datu ievade'!T412*'Datu ievade'!W300</f>
        <v>201359.55</v>
      </c>
      <c r="U33" s="680">
        <f>'Datu ievade'!U412*'Datu ievade'!X300</f>
        <v>205613.625</v>
      </c>
      <c r="V33" s="680">
        <f>'Datu ievade'!V412*'Datu ievade'!Y300</f>
        <v>209158.6875</v>
      </c>
      <c r="W33" s="680">
        <f>'Datu ievade'!W412*'Datu ievade'!Z300</f>
        <v>213412.76249999998</v>
      </c>
      <c r="X33" s="680">
        <f>'Datu ievade'!X412*'Datu ievade'!AA300</f>
        <v>216957.82499999998</v>
      </c>
      <c r="Y33" s="680">
        <f>'Datu ievade'!Y412*'Datu ievade'!AB300</f>
        <v>221211.9</v>
      </c>
      <c r="Z33" s="680">
        <f>'Datu ievade'!Z412*'Datu ievade'!AC300</f>
        <v>225465.97500000001</v>
      </c>
      <c r="AA33" s="680">
        <f>'Datu ievade'!AA412*'Datu ievade'!AD300</f>
        <v>229011.03750000001</v>
      </c>
      <c r="AB33" s="680">
        <f>'Datu ievade'!AB412*'Datu ievade'!AE300</f>
        <v>233265.11250000002</v>
      </c>
      <c r="AC33" s="680">
        <f>'Datu ievade'!AC412*'Datu ievade'!AF300</f>
        <v>236810.17500000002</v>
      </c>
      <c r="AD33" s="680">
        <f>'Datu ievade'!AD412*'Datu ievade'!AG300</f>
        <v>241064.25000000003</v>
      </c>
      <c r="AE33" s="680">
        <f>'Datu ievade'!AE412*'Datu ievade'!AH300</f>
        <v>246027.33749999999</v>
      </c>
      <c r="AF33" s="680">
        <f>'Datu ievade'!AF412*'Datu ievade'!AI300</f>
        <v>250281.41249999998</v>
      </c>
      <c r="AG33" s="680">
        <f>'Datu ievade'!AG412*'Datu ievade'!AJ300</f>
        <v>250281.41249999998</v>
      </c>
      <c r="AH33" s="680">
        <f>'Datu ievade'!AH412*'Datu ievade'!AK300</f>
        <v>250281.41249999998</v>
      </c>
      <c r="AI33" s="43"/>
    </row>
    <row r="34" spans="1:35" s="44" customFormat="1" ht="12.75" x14ac:dyDescent="0.2">
      <c r="A34" s="474" t="s">
        <v>130</v>
      </c>
      <c r="B34" s="680">
        <f>'Datu ievade'!E308*'Datu ievade'!B412</f>
        <v>19000</v>
      </c>
      <c r="C34" s="680">
        <f>'Datu ievade'!F308*'Datu ievade'!C412</f>
        <v>19855</v>
      </c>
      <c r="D34" s="680">
        <f>'Datu ievade'!G308*'Datu ievade'!D412</f>
        <v>20425</v>
      </c>
      <c r="E34" s="680">
        <f>'Datu ievade'!H308*'Datu ievade'!E412</f>
        <v>20995</v>
      </c>
      <c r="F34" s="680">
        <f>'Datu ievade'!I308*'Datu ievade'!F412</f>
        <v>21280</v>
      </c>
      <c r="G34" s="680">
        <f>'Datu ievade'!J308*'Datu ievade'!G412</f>
        <v>21660</v>
      </c>
      <c r="H34" s="680">
        <f>'Datu ievade'!K308*'Datu ievade'!H412</f>
        <v>22040</v>
      </c>
      <c r="I34" s="680">
        <f>'Datu ievade'!L308*'Datu ievade'!I412</f>
        <v>22325</v>
      </c>
      <c r="J34" s="680">
        <f>'Datu ievade'!M308*'Datu ievade'!J412</f>
        <v>22705</v>
      </c>
      <c r="K34" s="680">
        <f>'Datu ievade'!N308*'Datu ievade'!K412</f>
        <v>23085</v>
      </c>
      <c r="L34" s="680">
        <f>'Datu ievade'!O308*'Datu ievade'!L412</f>
        <v>23370</v>
      </c>
      <c r="M34" s="680">
        <f>'Datu ievade'!P308*'Datu ievade'!M412</f>
        <v>23750</v>
      </c>
      <c r="N34" s="680">
        <f>'Datu ievade'!Q308*'Datu ievade'!N412</f>
        <v>24225</v>
      </c>
      <c r="O34" s="680">
        <f>'Datu ievade'!R308*'Datu ievade'!O412</f>
        <v>24700</v>
      </c>
      <c r="P34" s="680">
        <f>'Datu ievade'!S308*'Datu ievade'!P412</f>
        <v>25270</v>
      </c>
      <c r="Q34" s="680">
        <f>'Datu ievade'!T308*'Datu ievade'!Q412</f>
        <v>25365</v>
      </c>
      <c r="R34" s="680">
        <f>'Datu ievade'!U308*'Datu ievade'!R412</f>
        <v>25935.000000000004</v>
      </c>
      <c r="S34" s="680">
        <f>'Datu ievade'!V308*'Datu ievade'!S412</f>
        <v>26505.000000000004</v>
      </c>
      <c r="T34" s="680">
        <f>'Datu ievade'!W308*'Datu ievade'!T412</f>
        <v>26979.999999999996</v>
      </c>
      <c r="U34" s="680">
        <f>'Datu ievade'!X308*'Datu ievade'!U412</f>
        <v>27549.999999999996</v>
      </c>
      <c r="V34" s="680">
        <f>'Datu ievade'!Y308*'Datu ievade'!V412</f>
        <v>28025</v>
      </c>
      <c r="W34" s="680">
        <f>'Datu ievade'!Z308*'Datu ievade'!W412</f>
        <v>28595</v>
      </c>
      <c r="X34" s="680">
        <f>'Datu ievade'!AA308*'Datu ievade'!X412</f>
        <v>29070</v>
      </c>
      <c r="Y34" s="680">
        <f>'Datu ievade'!AB308*'Datu ievade'!Y412</f>
        <v>29640</v>
      </c>
      <c r="Z34" s="680">
        <f>'Datu ievade'!AC308*'Datu ievade'!Z412</f>
        <v>30210</v>
      </c>
      <c r="AA34" s="680">
        <f>'Datu ievade'!AD308*'Datu ievade'!AA412</f>
        <v>30685</v>
      </c>
      <c r="AB34" s="680">
        <f>'Datu ievade'!AE308*'Datu ievade'!AB412</f>
        <v>31255</v>
      </c>
      <c r="AC34" s="680">
        <f>'Datu ievade'!AF308*'Datu ievade'!AC412</f>
        <v>31730</v>
      </c>
      <c r="AD34" s="680">
        <f>'Datu ievade'!AG308*'Datu ievade'!AD412</f>
        <v>32300.000000000004</v>
      </c>
      <c r="AE34" s="680">
        <f>'Datu ievade'!AH308*'Datu ievade'!AE412</f>
        <v>32965</v>
      </c>
      <c r="AF34" s="680">
        <f>'Datu ievade'!AI308*'Datu ievade'!AF412</f>
        <v>33535</v>
      </c>
      <c r="AG34" s="680">
        <f>'Datu ievade'!AJ308*'Datu ievade'!AG412</f>
        <v>33535</v>
      </c>
      <c r="AH34" s="680">
        <f>'Datu ievade'!AK308*'Datu ievade'!AH412</f>
        <v>33535</v>
      </c>
      <c r="AI34" s="43"/>
    </row>
    <row r="35" spans="1:35" s="44" customFormat="1" ht="12.75" x14ac:dyDescent="0.2">
      <c r="A35" s="474" t="s">
        <v>131</v>
      </c>
      <c r="B35" s="680">
        <f>'Datu ievade'!B412*'Datu ievade'!E315</f>
        <v>14000</v>
      </c>
      <c r="C35" s="680">
        <f>'Datu ievade'!C412*'Datu ievade'!F315</f>
        <v>14630</v>
      </c>
      <c r="D35" s="680">
        <f>'Datu ievade'!D412*'Datu ievade'!G315</f>
        <v>15050</v>
      </c>
      <c r="E35" s="680">
        <f>'Datu ievade'!E412*'Datu ievade'!H315</f>
        <v>15470</v>
      </c>
      <c r="F35" s="680">
        <f>'Datu ievade'!F412*'Datu ievade'!I315</f>
        <v>15680</v>
      </c>
      <c r="G35" s="680">
        <f>'Datu ievade'!G412*'Datu ievade'!J315</f>
        <v>15960</v>
      </c>
      <c r="H35" s="680">
        <f>'Datu ievade'!H412*'Datu ievade'!K315</f>
        <v>16240</v>
      </c>
      <c r="I35" s="680">
        <f>'Datu ievade'!I412*'Datu ievade'!L315</f>
        <v>16450</v>
      </c>
      <c r="J35" s="680">
        <f>'Datu ievade'!J412*'Datu ievade'!M315</f>
        <v>16730</v>
      </c>
      <c r="K35" s="680">
        <f>'Datu ievade'!K412*'Datu ievade'!N315</f>
        <v>17010</v>
      </c>
      <c r="L35" s="680">
        <f>'Datu ievade'!L412*'Datu ievade'!O315</f>
        <v>17220</v>
      </c>
      <c r="M35" s="680">
        <f>'Datu ievade'!M412*'Datu ievade'!P315</f>
        <v>17500</v>
      </c>
      <c r="N35" s="680">
        <f>'Datu ievade'!N412*'Datu ievade'!Q315</f>
        <v>17850</v>
      </c>
      <c r="O35" s="680">
        <f>'Datu ievade'!O412*'Datu ievade'!R315</f>
        <v>18200</v>
      </c>
      <c r="P35" s="680">
        <f>'Datu ievade'!P412*'Datu ievade'!S315</f>
        <v>18620</v>
      </c>
      <c r="Q35" s="680">
        <f>'Datu ievade'!Q412*'Datu ievade'!T315</f>
        <v>18690</v>
      </c>
      <c r="R35" s="680">
        <f>'Datu ievade'!R412*'Datu ievade'!U315</f>
        <v>19110</v>
      </c>
      <c r="S35" s="680">
        <f>'Datu ievade'!S412*'Datu ievade'!V315</f>
        <v>19530</v>
      </c>
      <c r="T35" s="680">
        <f>'Datu ievade'!T412*'Datu ievade'!W315</f>
        <v>19880</v>
      </c>
      <c r="U35" s="680">
        <f>'Datu ievade'!U412*'Datu ievade'!X315</f>
        <v>20300</v>
      </c>
      <c r="V35" s="680">
        <f>'Datu ievade'!V412*'Datu ievade'!Y315</f>
        <v>20650</v>
      </c>
      <c r="W35" s="680">
        <f>'Datu ievade'!W412*'Datu ievade'!Z315</f>
        <v>21070</v>
      </c>
      <c r="X35" s="680">
        <f>'Datu ievade'!X412*'Datu ievade'!AA315</f>
        <v>21420</v>
      </c>
      <c r="Y35" s="680">
        <f>'Datu ievade'!Y412*'Datu ievade'!AB315</f>
        <v>21840</v>
      </c>
      <c r="Z35" s="680">
        <f>'Datu ievade'!Z412*'Datu ievade'!AC315</f>
        <v>22260</v>
      </c>
      <c r="AA35" s="680">
        <f>'Datu ievade'!AA412*'Datu ievade'!AD315</f>
        <v>22610</v>
      </c>
      <c r="AB35" s="680">
        <f>'Datu ievade'!AB412*'Datu ievade'!AE315</f>
        <v>23030</v>
      </c>
      <c r="AC35" s="680">
        <f>'Datu ievade'!AC412*'Datu ievade'!AF315</f>
        <v>23380</v>
      </c>
      <c r="AD35" s="680">
        <f>'Datu ievade'!AD412*'Datu ievade'!AG315</f>
        <v>23800</v>
      </c>
      <c r="AE35" s="680">
        <f>'Datu ievade'!AE412*'Datu ievade'!AH315</f>
        <v>24290</v>
      </c>
      <c r="AF35" s="680">
        <f>'Datu ievade'!AF412*'Datu ievade'!AI315</f>
        <v>24710</v>
      </c>
      <c r="AG35" s="680">
        <f>'Datu ievade'!AG412*'Datu ievade'!AJ315</f>
        <v>24710</v>
      </c>
      <c r="AH35" s="680">
        <f>'Datu ievade'!AH412*'Datu ievade'!AK315</f>
        <v>24710</v>
      </c>
      <c r="AI35" s="43"/>
    </row>
    <row r="36" spans="1:35" s="13" customFormat="1" ht="12.75" x14ac:dyDescent="0.2">
      <c r="A36" s="582" t="s">
        <v>132</v>
      </c>
      <c r="B36" s="465">
        <f t="shared" ref="B36:AG36" si="5">SUM(B33:B35)</f>
        <v>174802.5</v>
      </c>
      <c r="C36" s="465">
        <f t="shared" si="5"/>
        <v>182668.61249999999</v>
      </c>
      <c r="D36" s="465">
        <f t="shared" si="5"/>
        <v>187912.6875</v>
      </c>
      <c r="E36" s="465">
        <f t="shared" si="5"/>
        <v>193156.76250000001</v>
      </c>
      <c r="F36" s="465">
        <f t="shared" si="5"/>
        <v>195778.80000000002</v>
      </c>
      <c r="G36" s="465">
        <f t="shared" si="5"/>
        <v>199274.85</v>
      </c>
      <c r="H36" s="465">
        <f t="shared" si="5"/>
        <v>202770.9</v>
      </c>
      <c r="I36" s="465">
        <f t="shared" si="5"/>
        <v>205392.9375</v>
      </c>
      <c r="J36" s="465">
        <f t="shared" si="5"/>
        <v>208888.98749999999</v>
      </c>
      <c r="K36" s="465">
        <f t="shared" si="5"/>
        <v>212385.03750000001</v>
      </c>
      <c r="L36" s="465">
        <f t="shared" si="5"/>
        <v>215007.07500000001</v>
      </c>
      <c r="M36" s="465">
        <f t="shared" si="5"/>
        <v>218503.125</v>
      </c>
      <c r="N36" s="465">
        <f t="shared" si="5"/>
        <v>222873.1875</v>
      </c>
      <c r="O36" s="465">
        <f t="shared" si="5"/>
        <v>227243.25</v>
      </c>
      <c r="P36" s="465">
        <f t="shared" si="5"/>
        <v>232487.32500000001</v>
      </c>
      <c r="Q36" s="465">
        <f t="shared" si="5"/>
        <v>233361.33750000002</v>
      </c>
      <c r="R36" s="465">
        <f t="shared" si="5"/>
        <v>238605.41250000001</v>
      </c>
      <c r="S36" s="465">
        <f t="shared" si="5"/>
        <v>243849.48750000002</v>
      </c>
      <c r="T36" s="465">
        <f t="shared" si="5"/>
        <v>248219.55</v>
      </c>
      <c r="U36" s="465">
        <f t="shared" si="5"/>
        <v>253463.625</v>
      </c>
      <c r="V36" s="465">
        <f t="shared" si="5"/>
        <v>257833.6875</v>
      </c>
      <c r="W36" s="465">
        <f t="shared" si="5"/>
        <v>263077.76249999995</v>
      </c>
      <c r="X36" s="465">
        <f t="shared" si="5"/>
        <v>267447.82499999995</v>
      </c>
      <c r="Y36" s="465">
        <f t="shared" si="5"/>
        <v>272691.90000000002</v>
      </c>
      <c r="Z36" s="465">
        <f t="shared" si="5"/>
        <v>277935.97499999998</v>
      </c>
      <c r="AA36" s="465">
        <f t="shared" si="5"/>
        <v>282306.03749999998</v>
      </c>
      <c r="AB36" s="465">
        <f t="shared" si="5"/>
        <v>287550.11250000005</v>
      </c>
      <c r="AC36" s="465">
        <f t="shared" si="5"/>
        <v>291920.17500000005</v>
      </c>
      <c r="AD36" s="465">
        <f t="shared" si="5"/>
        <v>297164.25000000006</v>
      </c>
      <c r="AE36" s="465">
        <f t="shared" si="5"/>
        <v>303282.33750000002</v>
      </c>
      <c r="AF36" s="465">
        <f t="shared" si="5"/>
        <v>308526.41249999998</v>
      </c>
      <c r="AG36" s="465">
        <f t="shared" si="5"/>
        <v>308526.41249999998</v>
      </c>
      <c r="AH36" s="465">
        <f>SUM(AH33:AH35)</f>
        <v>308526.41249999998</v>
      </c>
      <c r="AI36" s="12"/>
    </row>
    <row r="37" spans="1:35" s="13" customFormat="1" ht="25.5" x14ac:dyDescent="0.2">
      <c r="A37" s="464" t="s">
        <v>133</v>
      </c>
      <c r="B37" s="465">
        <f t="shared" ref="B37:AG37" si="6">SUM(B32,B36)</f>
        <v>414507.5</v>
      </c>
      <c r="C37" s="465">
        <f t="shared" si="6"/>
        <v>416380.98749999999</v>
      </c>
      <c r="D37" s="465">
        <f t="shared" si="6"/>
        <v>428816.21250000002</v>
      </c>
      <c r="E37" s="465">
        <f t="shared" si="6"/>
        <v>440052.91249999998</v>
      </c>
      <c r="F37" s="465">
        <f t="shared" si="6"/>
        <v>446270.52500000002</v>
      </c>
      <c r="G37" s="465">
        <f t="shared" si="6"/>
        <v>454560.67499999999</v>
      </c>
      <c r="H37" s="465">
        <f t="shared" si="6"/>
        <v>461652.3</v>
      </c>
      <c r="I37" s="465">
        <f t="shared" si="6"/>
        <v>469068.4375</v>
      </c>
      <c r="J37" s="465">
        <f t="shared" si="6"/>
        <v>476160.0625</v>
      </c>
      <c r="K37" s="465">
        <f t="shared" si="6"/>
        <v>484450.21250000002</v>
      </c>
      <c r="L37" s="465">
        <f t="shared" si="6"/>
        <v>490667.82500000001</v>
      </c>
      <c r="M37" s="465">
        <f t="shared" si="6"/>
        <v>497759.45</v>
      </c>
      <c r="N37" s="465">
        <f t="shared" si="6"/>
        <v>508122.13749999995</v>
      </c>
      <c r="O37" s="465">
        <f t="shared" si="6"/>
        <v>518484.82499999995</v>
      </c>
      <c r="P37" s="465">
        <f t="shared" si="6"/>
        <v>529721.52500000002</v>
      </c>
      <c r="Q37" s="465">
        <f t="shared" si="6"/>
        <v>531794.0625</v>
      </c>
      <c r="R37" s="465">
        <f t="shared" si="6"/>
        <v>543030.76249999995</v>
      </c>
      <c r="S37" s="465">
        <f t="shared" si="6"/>
        <v>554267.46250000002</v>
      </c>
      <c r="T37" s="465">
        <f t="shared" si="6"/>
        <v>564630.14999999991</v>
      </c>
      <c r="U37" s="465">
        <f t="shared" si="6"/>
        <v>575866.85</v>
      </c>
      <c r="V37" s="465">
        <f t="shared" si="6"/>
        <v>587428.0625</v>
      </c>
      <c r="W37" s="465">
        <f t="shared" si="6"/>
        <v>598664.76249999995</v>
      </c>
      <c r="X37" s="465">
        <f t="shared" si="6"/>
        <v>609027.44999999995</v>
      </c>
      <c r="Y37" s="465">
        <f t="shared" si="6"/>
        <v>620264.15</v>
      </c>
      <c r="Z37" s="465">
        <f t="shared" si="6"/>
        <v>631500.85</v>
      </c>
      <c r="AA37" s="465">
        <f t="shared" si="6"/>
        <v>643062.0625</v>
      </c>
      <c r="AB37" s="465">
        <f t="shared" si="6"/>
        <v>654298.76250000007</v>
      </c>
      <c r="AC37" s="465">
        <f t="shared" si="6"/>
        <v>664661.45000000007</v>
      </c>
      <c r="AD37" s="465">
        <f t="shared" si="6"/>
        <v>675898.15000000014</v>
      </c>
      <c r="AE37" s="465">
        <f t="shared" si="6"/>
        <v>689207.38749999995</v>
      </c>
      <c r="AF37" s="465">
        <f t="shared" si="6"/>
        <v>702841.13749999995</v>
      </c>
      <c r="AG37" s="465">
        <f t="shared" si="6"/>
        <v>702841.13749999995</v>
      </c>
      <c r="AH37" s="465">
        <f>SUM(AH32,AH36)</f>
        <v>702841.13749999995</v>
      </c>
      <c r="AI37" s="12"/>
    </row>
    <row r="38" spans="1:35" s="13" customFormat="1" ht="25.5" x14ac:dyDescent="0.2">
      <c r="A38" s="464" t="s">
        <v>134</v>
      </c>
      <c r="B38" s="465">
        <f t="shared" ref="B38:AG38" si="7">B37-B28</f>
        <v>57766.712899999984</v>
      </c>
      <c r="C38" s="465">
        <f t="shared" si="7"/>
        <v>41701.095303000009</v>
      </c>
      <c r="D38" s="465">
        <f t="shared" si="7"/>
        <v>43434.096690000035</v>
      </c>
      <c r="E38" s="465">
        <f t="shared" si="7"/>
        <v>43968.573076999979</v>
      </c>
      <c r="F38" s="465">
        <f t="shared" si="7"/>
        <v>43051.36983500002</v>
      </c>
      <c r="G38" s="465">
        <f t="shared" si="7"/>
        <v>44206.704092999978</v>
      </c>
      <c r="H38" s="465">
        <f t="shared" si="7"/>
        <v>44163.513350999972</v>
      </c>
      <c r="I38" s="465">
        <f t="shared" si="7"/>
        <v>44444.835108999978</v>
      </c>
      <c r="J38" s="465">
        <f t="shared" si="7"/>
        <v>44401.644366999972</v>
      </c>
      <c r="K38" s="465">
        <f t="shared" si="7"/>
        <v>45556.978624999989</v>
      </c>
      <c r="L38" s="465">
        <f t="shared" si="7"/>
        <v>44639.775383000029</v>
      </c>
      <c r="M38" s="465">
        <f t="shared" si="7"/>
        <v>44596.584641000023</v>
      </c>
      <c r="N38" s="465">
        <f t="shared" si="7"/>
        <v>45480.206399000017</v>
      </c>
      <c r="O38" s="465">
        <f t="shared" si="7"/>
        <v>46363.828156999953</v>
      </c>
      <c r="P38" s="465">
        <f t="shared" si="7"/>
        <v>46898.304544000013</v>
      </c>
      <c r="Q38" s="465">
        <f t="shared" si="7"/>
        <v>38268.618431000039</v>
      </c>
      <c r="R38" s="465">
        <f t="shared" si="7"/>
        <v>38803.094817999983</v>
      </c>
      <c r="S38" s="465">
        <f t="shared" si="7"/>
        <v>39337.571205000044</v>
      </c>
      <c r="T38" s="465">
        <f t="shared" si="7"/>
        <v>38998.035091999918</v>
      </c>
      <c r="U38" s="465">
        <f t="shared" si="7"/>
        <v>39532.511478999979</v>
      </c>
      <c r="V38" s="465">
        <f t="shared" si="7"/>
        <v>40391.500365999993</v>
      </c>
      <c r="W38" s="465">
        <f t="shared" si="7"/>
        <v>40925.976752999937</v>
      </c>
      <c r="X38" s="465">
        <f t="shared" si="7"/>
        <v>40586.440639999928</v>
      </c>
      <c r="Y38" s="465">
        <f t="shared" si="7"/>
        <v>41120.917026999989</v>
      </c>
      <c r="Z38" s="465">
        <f t="shared" si="7"/>
        <v>41655.393413999933</v>
      </c>
      <c r="AA38" s="465">
        <f t="shared" si="7"/>
        <v>42514.382301000063</v>
      </c>
      <c r="AB38" s="465">
        <f t="shared" si="7"/>
        <v>43048.858688000008</v>
      </c>
      <c r="AC38" s="465">
        <f t="shared" si="7"/>
        <v>42709.322575000115</v>
      </c>
      <c r="AD38" s="465">
        <f t="shared" si="7"/>
        <v>43243.798962000175</v>
      </c>
      <c r="AE38" s="465">
        <f t="shared" si="7"/>
        <v>43506.562848999863</v>
      </c>
      <c r="AF38" s="465">
        <f t="shared" si="7"/>
        <v>44093.839235999971</v>
      </c>
      <c r="AG38" s="465">
        <f t="shared" si="7"/>
        <v>44081.839235999971</v>
      </c>
      <c r="AH38" s="465">
        <f>AH37-AH28</f>
        <v>44069.839235999971</v>
      </c>
      <c r="AI38" s="12"/>
    </row>
    <row r="39" spans="1:35" s="13" customFormat="1" ht="12.75" x14ac:dyDescent="0.2">
      <c r="A39" s="8"/>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row>
    <row r="40" spans="1:35" s="13" customFormat="1" ht="31.5" x14ac:dyDescent="0.2">
      <c r="A40" s="34" t="s">
        <v>323</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row>
    <row r="41" spans="1:35" s="13" customFormat="1" ht="12.75" x14ac:dyDescent="0.2">
      <c r="A41" s="14"/>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row>
    <row r="42" spans="1:35" s="13" customFormat="1" ht="12.75" x14ac:dyDescent="0.2">
      <c r="A42" s="15"/>
      <c r="B42" s="39">
        <f>B5</f>
        <v>2014</v>
      </c>
      <c r="C42" s="39">
        <f t="shared" ref="C42:AG42" si="8">C5</f>
        <v>2015</v>
      </c>
      <c r="D42" s="39">
        <f t="shared" si="8"/>
        <v>2016</v>
      </c>
      <c r="E42" s="39">
        <f t="shared" si="8"/>
        <v>2017</v>
      </c>
      <c r="F42" s="39">
        <f t="shared" si="8"/>
        <v>2018</v>
      </c>
      <c r="G42" s="39">
        <f t="shared" si="8"/>
        <v>2019</v>
      </c>
      <c r="H42" s="39">
        <f t="shared" si="8"/>
        <v>2020</v>
      </c>
      <c r="I42" s="39">
        <f t="shared" si="8"/>
        <v>2021</v>
      </c>
      <c r="J42" s="39">
        <f t="shared" si="8"/>
        <v>2022</v>
      </c>
      <c r="K42" s="39">
        <f t="shared" si="8"/>
        <v>2023</v>
      </c>
      <c r="L42" s="39">
        <f t="shared" si="8"/>
        <v>2024</v>
      </c>
      <c r="M42" s="39">
        <f t="shared" si="8"/>
        <v>2025</v>
      </c>
      <c r="N42" s="39">
        <f t="shared" si="8"/>
        <v>2026</v>
      </c>
      <c r="O42" s="39">
        <f t="shared" si="8"/>
        <v>2027</v>
      </c>
      <c r="P42" s="39">
        <f t="shared" si="8"/>
        <v>2028</v>
      </c>
      <c r="Q42" s="39">
        <f t="shared" si="8"/>
        <v>2029</v>
      </c>
      <c r="R42" s="39">
        <f t="shared" si="8"/>
        <v>2030</v>
      </c>
      <c r="S42" s="39">
        <f t="shared" si="8"/>
        <v>2031</v>
      </c>
      <c r="T42" s="39">
        <f t="shared" si="8"/>
        <v>2032</v>
      </c>
      <c r="U42" s="39">
        <f t="shared" si="8"/>
        <v>2033</v>
      </c>
      <c r="V42" s="39">
        <f t="shared" si="8"/>
        <v>2034</v>
      </c>
      <c r="W42" s="39">
        <f t="shared" si="8"/>
        <v>2035</v>
      </c>
      <c r="X42" s="39">
        <f t="shared" si="8"/>
        <v>2036</v>
      </c>
      <c r="Y42" s="39">
        <f t="shared" si="8"/>
        <v>2037</v>
      </c>
      <c r="Z42" s="39">
        <f t="shared" si="8"/>
        <v>2038</v>
      </c>
      <c r="AA42" s="39">
        <f t="shared" si="8"/>
        <v>2039</v>
      </c>
      <c r="AB42" s="39">
        <f t="shared" si="8"/>
        <v>2040</v>
      </c>
      <c r="AC42" s="39">
        <f t="shared" si="8"/>
        <v>2041</v>
      </c>
      <c r="AD42" s="39">
        <f t="shared" si="8"/>
        <v>2042</v>
      </c>
      <c r="AE42" s="39">
        <f t="shared" si="8"/>
        <v>2043</v>
      </c>
      <c r="AF42" s="39">
        <f t="shared" si="8"/>
        <v>2044</v>
      </c>
      <c r="AG42" s="39">
        <f t="shared" si="8"/>
        <v>2045</v>
      </c>
      <c r="AH42" s="39">
        <f>AH5</f>
        <v>2046</v>
      </c>
      <c r="AI42" s="39"/>
    </row>
    <row r="43" spans="1:35" s="13" customFormat="1" ht="12.75" x14ac:dyDescent="0.2">
      <c r="A43" s="16" t="s">
        <v>104</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row>
    <row r="44" spans="1:35" s="13" customFormat="1" ht="12.75" x14ac:dyDescent="0.2">
      <c r="A44" s="36" t="s">
        <v>105</v>
      </c>
      <c r="B44" s="40">
        <f>'Datu ievade'!B230</f>
        <v>38650</v>
      </c>
      <c r="C44" s="40">
        <f>'Datu ievade'!C230</f>
        <v>40196</v>
      </c>
      <c r="D44" s="40">
        <f>'Datu ievade'!D230</f>
        <v>36355.5</v>
      </c>
      <c r="E44" s="40">
        <f>'Datu ievade'!E230</f>
        <v>32515</v>
      </c>
      <c r="F44" s="40">
        <f>'Datu ievade'!F230</f>
        <v>32288.000000000007</v>
      </c>
      <c r="G44" s="40">
        <f>'Datu ievade'!G230</f>
        <v>32860.999999999993</v>
      </c>
      <c r="H44" s="40">
        <f>'Datu ievade'!H230</f>
        <v>32294</v>
      </c>
      <c r="I44" s="40">
        <f>'Datu ievade'!I230</f>
        <v>32847</v>
      </c>
      <c r="J44" s="40">
        <f>'Datu ievade'!J230</f>
        <v>33400</v>
      </c>
      <c r="K44" s="40">
        <f>'Datu ievade'!K230</f>
        <v>33953</v>
      </c>
      <c r="L44" s="40">
        <f>'Datu ievade'!L230</f>
        <v>34506</v>
      </c>
      <c r="M44" s="40">
        <f>'Datu ievade'!M230</f>
        <v>35059</v>
      </c>
      <c r="N44" s="40">
        <f>'Datu ievade'!N230</f>
        <v>35998.5</v>
      </c>
      <c r="O44" s="40">
        <f>'Datu ievade'!O230</f>
        <v>36828</v>
      </c>
      <c r="P44" s="40">
        <f>'Datu ievade'!P230</f>
        <v>37657.5</v>
      </c>
      <c r="Q44" s="40">
        <f>'Datu ievade'!Q230</f>
        <v>38486.999999999993</v>
      </c>
      <c r="R44" s="40">
        <f>'Datu ievade'!R230</f>
        <v>39316.5</v>
      </c>
      <c r="S44" s="40">
        <f>'Datu ievade'!S230</f>
        <v>40146</v>
      </c>
      <c r="T44" s="40">
        <f>'Datu ievade'!T230</f>
        <v>40975.5</v>
      </c>
      <c r="U44" s="40">
        <f>'Datu ievade'!U230</f>
        <v>41805</v>
      </c>
      <c r="V44" s="40">
        <f>'Datu ievade'!V230</f>
        <v>42634.5</v>
      </c>
      <c r="W44" s="40">
        <f>'Datu ievade'!W230</f>
        <v>43464</v>
      </c>
      <c r="X44" s="40">
        <f>'Datu ievade'!X230</f>
        <v>44293.5</v>
      </c>
      <c r="Y44" s="40">
        <f>'Datu ievade'!Y230</f>
        <v>45123.000000000007</v>
      </c>
      <c r="Z44" s="40">
        <f>'Datu ievade'!Z230</f>
        <v>45952.5</v>
      </c>
      <c r="AA44" s="40">
        <f>'Datu ievade'!AA230</f>
        <v>46782</v>
      </c>
      <c r="AB44" s="40">
        <f>'Datu ievade'!AB230</f>
        <v>47611.5</v>
      </c>
      <c r="AC44" s="40">
        <f>'Datu ievade'!AC230</f>
        <v>48441</v>
      </c>
      <c r="AD44" s="40">
        <f>'Datu ievade'!AD230</f>
        <v>49270.5</v>
      </c>
      <c r="AE44" s="40">
        <f>'Datu ievade'!AE230</f>
        <v>50486.5</v>
      </c>
      <c r="AF44" s="40">
        <f>'Datu ievade'!AF230</f>
        <v>51592.5</v>
      </c>
      <c r="AG44" s="40">
        <f>'Datu ievade'!AG230</f>
        <v>51153.5</v>
      </c>
      <c r="AH44" s="40">
        <f>'Datu ievade'!AH230</f>
        <v>50714.5</v>
      </c>
      <c r="AI44" s="40"/>
    </row>
    <row r="45" spans="1:35" s="13" customFormat="1" ht="12.75" x14ac:dyDescent="0.2">
      <c r="A45" s="37" t="s">
        <v>106</v>
      </c>
      <c r="B45" s="40">
        <f>'Datu ievade'!B231</f>
        <v>52650</v>
      </c>
      <c r="C45" s="40">
        <f>'Datu ievade'!C231</f>
        <v>54756</v>
      </c>
      <c r="D45" s="40">
        <f>'Datu ievade'!D231</f>
        <v>62615.5</v>
      </c>
      <c r="E45" s="40">
        <f>'Datu ievade'!E231</f>
        <v>70475</v>
      </c>
      <c r="F45" s="40">
        <f>'Datu ievade'!F231</f>
        <v>73035.200000000012</v>
      </c>
      <c r="G45" s="40">
        <f>'Datu ievade'!G231</f>
        <v>74339.399999999994</v>
      </c>
      <c r="H45" s="40">
        <f>'Datu ievade'!H231</f>
        <v>75643.599999999991</v>
      </c>
      <c r="I45" s="40">
        <f>'Datu ievade'!I231</f>
        <v>78726.296000000002</v>
      </c>
      <c r="J45" s="40">
        <f>'Datu ievade'!J231</f>
        <v>80060.639999999999</v>
      </c>
      <c r="K45" s="40">
        <f>'Datu ievade'!K231</f>
        <v>81394.983999999997</v>
      </c>
      <c r="L45" s="40">
        <f>'Datu ievade'!L231</f>
        <v>82729.328000000009</v>
      </c>
      <c r="M45" s="40">
        <f>'Datu ievade'!M231</f>
        <v>84063.672000000006</v>
      </c>
      <c r="N45" s="40">
        <f>'Datu ievade'!N231</f>
        <v>86065.187999999995</v>
      </c>
      <c r="O45" s="40">
        <f>'Datu ievade'!O231</f>
        <v>88066.703999999998</v>
      </c>
      <c r="P45" s="40">
        <f>'Datu ievade'!P231</f>
        <v>90068.22</v>
      </c>
      <c r="Q45" s="40">
        <f>'Datu ievade'!Q231</f>
        <v>92069.736000000004</v>
      </c>
      <c r="R45" s="40">
        <f>'Datu ievade'!R231</f>
        <v>94071.252000000008</v>
      </c>
      <c r="S45" s="40">
        <f>'Datu ievade'!S231</f>
        <v>96072.767999999996</v>
      </c>
      <c r="T45" s="40">
        <f>'Datu ievade'!T231</f>
        <v>98074.284</v>
      </c>
      <c r="U45" s="40">
        <f>'Datu ievade'!U231</f>
        <v>100075.8</v>
      </c>
      <c r="V45" s="40">
        <f>'Datu ievade'!V231</f>
        <v>102077.31600000001</v>
      </c>
      <c r="W45" s="40">
        <f>'Datu ievade'!W231</f>
        <v>104078.83199999999</v>
      </c>
      <c r="X45" s="40">
        <f>'Datu ievade'!X231</f>
        <v>106080.348</v>
      </c>
      <c r="Y45" s="40">
        <f>'Datu ievade'!Y231</f>
        <v>108081.864</v>
      </c>
      <c r="Z45" s="40">
        <f>'Datu ievade'!Z231</f>
        <v>110083.38</v>
      </c>
      <c r="AA45" s="40">
        <f>'Datu ievade'!AA231</f>
        <v>112084.89600000001</v>
      </c>
      <c r="AB45" s="40">
        <f>'Datu ievade'!AB231</f>
        <v>114086.412</v>
      </c>
      <c r="AC45" s="40">
        <f>'Datu ievade'!AC231</f>
        <v>116087.928</v>
      </c>
      <c r="AD45" s="40">
        <f>'Datu ievade'!AD231</f>
        <v>118089.444</v>
      </c>
      <c r="AE45" s="40">
        <f>'Datu ievade'!AE231</f>
        <v>120758.132</v>
      </c>
      <c r="AF45" s="40">
        <f>'Datu ievade'!AF231</f>
        <v>123426.82</v>
      </c>
      <c r="AG45" s="40">
        <f>'Datu ievade'!AG231</f>
        <v>123427.82</v>
      </c>
      <c r="AH45" s="40">
        <f>'Datu ievade'!AH231</f>
        <v>123428.82</v>
      </c>
      <c r="AI45" s="40"/>
    </row>
    <row r="46" spans="1:35" s="13" customFormat="1" ht="12.75" x14ac:dyDescent="0.2">
      <c r="A46" s="37" t="s">
        <v>107</v>
      </c>
      <c r="B46" s="40">
        <f>'Datu ievade'!B232</f>
        <v>10155</v>
      </c>
      <c r="C46" s="40">
        <f>'Datu ievade'!C232</f>
        <v>10561.2</v>
      </c>
      <c r="D46" s="40">
        <f>'Datu ievade'!D232</f>
        <v>11565.85</v>
      </c>
      <c r="E46" s="40">
        <f>'Datu ievade'!E232</f>
        <v>12570.5</v>
      </c>
      <c r="F46" s="40">
        <f>'Datu ievade'!F232</f>
        <v>12941.6</v>
      </c>
      <c r="G46" s="40">
        <f>'Datu ievade'!G232</f>
        <v>13172.699999999999</v>
      </c>
      <c r="H46" s="40">
        <f>'Datu ievade'!H232</f>
        <v>13598.68</v>
      </c>
      <c r="I46" s="40">
        <f>'Datu ievade'!I232</f>
        <v>13833.14</v>
      </c>
      <c r="J46" s="40">
        <f>'Datu ievade'!J232</f>
        <v>14067.6</v>
      </c>
      <c r="K46" s="40">
        <f>'Datu ievade'!K232</f>
        <v>14302.060000000001</v>
      </c>
      <c r="L46" s="40">
        <f>'Datu ievade'!L232</f>
        <v>14536.52</v>
      </c>
      <c r="M46" s="40">
        <f>'Datu ievade'!M232</f>
        <v>14770.98</v>
      </c>
      <c r="N46" s="40">
        <f>'Datu ievade'!N232</f>
        <v>15122.670000000002</v>
      </c>
      <c r="O46" s="40">
        <f>'Datu ievade'!O232</f>
        <v>15474.36</v>
      </c>
      <c r="P46" s="40">
        <f>'Datu ievade'!P232</f>
        <v>15826.050000000001</v>
      </c>
      <c r="Q46" s="40">
        <f>'Datu ievade'!Q232</f>
        <v>16177.74</v>
      </c>
      <c r="R46" s="40">
        <f>'Datu ievade'!R232</f>
        <v>16529.43</v>
      </c>
      <c r="S46" s="40">
        <f>'Datu ievade'!S232</f>
        <v>16881.12</v>
      </c>
      <c r="T46" s="40">
        <f>'Datu ievade'!T232</f>
        <v>17232.810000000001</v>
      </c>
      <c r="U46" s="40">
        <f>'Datu ievade'!U232</f>
        <v>17584.5</v>
      </c>
      <c r="V46" s="40">
        <f>'Datu ievade'!V232</f>
        <v>17936.189999999999</v>
      </c>
      <c r="W46" s="40">
        <f>'Datu ievade'!W232</f>
        <v>18287.88</v>
      </c>
      <c r="X46" s="40">
        <f>'Datu ievade'!X232</f>
        <v>18639.57</v>
      </c>
      <c r="Y46" s="40">
        <f>'Datu ievade'!Y232</f>
        <v>18991.260000000002</v>
      </c>
      <c r="Z46" s="40">
        <f>'Datu ievade'!Z232</f>
        <v>19342.95</v>
      </c>
      <c r="AA46" s="40">
        <f>'Datu ievade'!AA232</f>
        <v>19694.64</v>
      </c>
      <c r="AB46" s="40">
        <f>'Datu ievade'!AB232</f>
        <v>20046.329999999998</v>
      </c>
      <c r="AC46" s="40">
        <f>'Datu ievade'!AC232</f>
        <v>20398.02</v>
      </c>
      <c r="AD46" s="40">
        <f>'Datu ievade'!AD232</f>
        <v>20749.71</v>
      </c>
      <c r="AE46" s="40">
        <f>'Datu ievade'!AE232</f>
        <v>21218.63</v>
      </c>
      <c r="AF46" s="40">
        <f>'Datu ievade'!AF232</f>
        <v>21687.55</v>
      </c>
      <c r="AG46" s="40">
        <f>'Datu ievade'!AG232</f>
        <v>21688.55</v>
      </c>
      <c r="AH46" s="40">
        <f>'Datu ievade'!AH232</f>
        <v>21689.55</v>
      </c>
      <c r="AI46" s="40"/>
    </row>
    <row r="47" spans="1:35" s="13" customFormat="1" ht="12.75" x14ac:dyDescent="0.2">
      <c r="A47" s="37" t="s">
        <v>108</v>
      </c>
      <c r="B47" s="40">
        <f>'Datu ievade'!B233</f>
        <v>32758</v>
      </c>
      <c r="C47" s="40">
        <f>'Datu ievade'!C233</f>
        <v>34068.32</v>
      </c>
      <c r="D47" s="40">
        <f>'Datu ievade'!D233</f>
        <v>42945.560000000005</v>
      </c>
      <c r="E47" s="40">
        <f>'Datu ievade'!E233</f>
        <v>51822.8</v>
      </c>
      <c r="F47" s="40">
        <f>'Datu ievade'!F233</f>
        <v>54372.640000000007</v>
      </c>
      <c r="G47" s="40">
        <f>'Datu ievade'!G233</f>
        <v>55343.579999999994</v>
      </c>
      <c r="H47" s="40">
        <f>'Datu ievade'!H233</f>
        <v>58512.348799999992</v>
      </c>
      <c r="I47" s="40">
        <f>'Datu ievade'!I233</f>
        <v>59521.182399999991</v>
      </c>
      <c r="J47" s="40">
        <f>'Datu ievade'!J233</f>
        <v>60530.016000000003</v>
      </c>
      <c r="K47" s="40">
        <f>'Datu ievade'!K233</f>
        <v>61538.849600000001</v>
      </c>
      <c r="L47" s="40">
        <f>'Datu ievade'!L233</f>
        <v>62547.683199999999</v>
      </c>
      <c r="M47" s="40">
        <f>'Datu ievade'!M233</f>
        <v>63556.516799999998</v>
      </c>
      <c r="N47" s="40">
        <f>'Datu ievade'!N233</f>
        <v>65069.767200000002</v>
      </c>
      <c r="O47" s="40">
        <f>'Datu ievade'!O233</f>
        <v>66583.017600000006</v>
      </c>
      <c r="P47" s="40">
        <f>'Datu ievade'!P233</f>
        <v>68096.268000000011</v>
      </c>
      <c r="Q47" s="40">
        <f>'Datu ievade'!Q233</f>
        <v>69609.518400000001</v>
      </c>
      <c r="R47" s="40">
        <f>'Datu ievade'!R233</f>
        <v>71122.768799999991</v>
      </c>
      <c r="S47" s="40">
        <f>'Datu ievade'!S233</f>
        <v>72636.019199999995</v>
      </c>
      <c r="T47" s="40">
        <f>'Datu ievade'!T233</f>
        <v>74149.2696</v>
      </c>
      <c r="U47" s="40">
        <f>'Datu ievade'!U233</f>
        <v>75662.52</v>
      </c>
      <c r="V47" s="40">
        <f>'Datu ievade'!V233</f>
        <v>77175.770399999994</v>
      </c>
      <c r="W47" s="40">
        <f>'Datu ievade'!W233</f>
        <v>78689.020799999998</v>
      </c>
      <c r="X47" s="40">
        <f>'Datu ievade'!X233</f>
        <v>80202.271200000003</v>
      </c>
      <c r="Y47" s="40">
        <f>'Datu ievade'!Y233</f>
        <v>81715.521600000007</v>
      </c>
      <c r="Z47" s="40">
        <f>'Datu ievade'!Z233</f>
        <v>83228.771999999997</v>
      </c>
      <c r="AA47" s="40">
        <f>'Datu ievade'!AA233</f>
        <v>84742.022399999987</v>
      </c>
      <c r="AB47" s="40">
        <f>'Datu ievade'!AB233</f>
        <v>86255.272800000006</v>
      </c>
      <c r="AC47" s="40">
        <f>'Datu ievade'!AC233</f>
        <v>87768.523199999996</v>
      </c>
      <c r="AD47" s="40">
        <f>'Datu ievade'!AD233</f>
        <v>89281.7736</v>
      </c>
      <c r="AE47" s="40">
        <f>'Datu ievade'!AE233</f>
        <v>91299.440800000011</v>
      </c>
      <c r="AF47" s="40">
        <f>'Datu ievade'!AF233</f>
        <v>93317.108000000007</v>
      </c>
      <c r="AG47" s="40">
        <f>'Datu ievade'!AG233</f>
        <v>93318.108000000007</v>
      </c>
      <c r="AH47" s="40">
        <f>'Datu ievade'!AH233</f>
        <v>93319.108000000007</v>
      </c>
      <c r="AI47" s="40"/>
    </row>
    <row r="48" spans="1:35" s="13" customFormat="1" ht="25.5" x14ac:dyDescent="0.2">
      <c r="A48" s="37" t="s">
        <v>561</v>
      </c>
      <c r="B48" s="40">
        <f>'Datu ievade'!B234</f>
        <v>0</v>
      </c>
      <c r="C48" s="40">
        <f>'Datu ievade'!C234</f>
        <v>0</v>
      </c>
      <c r="D48" s="40">
        <f>'Datu ievade'!D234</f>
        <v>0</v>
      </c>
      <c r="E48" s="40">
        <f>'Datu ievade'!E234</f>
        <v>0</v>
      </c>
      <c r="F48" s="40">
        <f>'Datu ievade'!F234</f>
        <v>0</v>
      </c>
      <c r="G48" s="40">
        <f>'Datu ievade'!G234</f>
        <v>0</v>
      </c>
      <c r="H48" s="40">
        <f>'Datu ievade'!H234</f>
        <v>0</v>
      </c>
      <c r="I48" s="40">
        <f>'Datu ievade'!I234</f>
        <v>0</v>
      </c>
      <c r="J48" s="40">
        <f>'Datu ievade'!J234</f>
        <v>0</v>
      </c>
      <c r="K48" s="40">
        <f>'Datu ievade'!K234</f>
        <v>0</v>
      </c>
      <c r="L48" s="40">
        <f>'Datu ievade'!L234</f>
        <v>0</v>
      </c>
      <c r="M48" s="40">
        <f>'Datu ievade'!M234</f>
        <v>0</v>
      </c>
      <c r="N48" s="40">
        <f>'Datu ievade'!N234</f>
        <v>0</v>
      </c>
      <c r="O48" s="40">
        <f>'Datu ievade'!O234</f>
        <v>0</v>
      </c>
      <c r="P48" s="40">
        <f>'Datu ievade'!P234</f>
        <v>0</v>
      </c>
      <c r="Q48" s="40">
        <f>'Datu ievade'!Q234</f>
        <v>0</v>
      </c>
      <c r="R48" s="40">
        <f>'Datu ievade'!R234</f>
        <v>0</v>
      </c>
      <c r="S48" s="40">
        <f>'Datu ievade'!S234</f>
        <v>0</v>
      </c>
      <c r="T48" s="40">
        <f>'Datu ievade'!T234</f>
        <v>0</v>
      </c>
      <c r="U48" s="40">
        <f>'Datu ievade'!U234</f>
        <v>0</v>
      </c>
      <c r="V48" s="40">
        <f>'Datu ievade'!V234</f>
        <v>0</v>
      </c>
      <c r="W48" s="40">
        <f>'Datu ievade'!W234</f>
        <v>0</v>
      </c>
      <c r="X48" s="40">
        <f>'Datu ievade'!X234</f>
        <v>0</v>
      </c>
      <c r="Y48" s="40">
        <f>'Datu ievade'!Y234</f>
        <v>0</v>
      </c>
      <c r="Z48" s="40">
        <f>'Datu ievade'!Z234</f>
        <v>0</v>
      </c>
      <c r="AA48" s="40">
        <f>'Datu ievade'!AA234</f>
        <v>0</v>
      </c>
      <c r="AB48" s="40">
        <f>'Datu ievade'!AB234</f>
        <v>0</v>
      </c>
      <c r="AC48" s="40">
        <f>'Datu ievade'!AC234</f>
        <v>0</v>
      </c>
      <c r="AD48" s="40">
        <f>'Datu ievade'!AD234</f>
        <v>0</v>
      </c>
      <c r="AE48" s="40">
        <f>'Datu ievade'!AE234</f>
        <v>0</v>
      </c>
      <c r="AF48" s="40">
        <f>'Datu ievade'!AF234</f>
        <v>0</v>
      </c>
      <c r="AG48" s="40">
        <f>'Datu ievade'!AG234</f>
        <v>0</v>
      </c>
      <c r="AH48" s="40">
        <f>'Datu ievade'!AH234</f>
        <v>0</v>
      </c>
      <c r="AI48" s="40"/>
    </row>
    <row r="49" spans="1:35" s="13" customFormat="1" ht="12.75" x14ac:dyDescent="0.2">
      <c r="A49" s="38" t="s">
        <v>109</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row>
    <row r="50" spans="1:35" s="13" customFormat="1" ht="12.75" x14ac:dyDescent="0.2">
      <c r="A50" s="36" t="s">
        <v>110</v>
      </c>
      <c r="B50" s="40">
        <f>'Datu ievade'!B241</f>
        <v>26000</v>
      </c>
      <c r="C50" s="40">
        <f>'Datu ievade'!C241</f>
        <v>27040</v>
      </c>
      <c r="D50" s="40">
        <f>'Datu ievade'!D241</f>
        <v>23870</v>
      </c>
      <c r="E50" s="40">
        <f>'Datu ievade'!E241</f>
        <v>20700.000000000004</v>
      </c>
      <c r="F50" s="40">
        <f>'Datu ievade'!F241</f>
        <v>20272.000000000004</v>
      </c>
      <c r="G50" s="40">
        <f>'Datu ievade'!G241</f>
        <v>20633.999999999996</v>
      </c>
      <c r="H50" s="40">
        <f>'Datu ievade'!H241</f>
        <v>19896.32</v>
      </c>
      <c r="I50" s="40">
        <f>'Datu ievade'!I241</f>
        <v>20239.36</v>
      </c>
      <c r="J50" s="40">
        <f>'Datu ievade'!J241</f>
        <v>20582.400000000001</v>
      </c>
      <c r="K50" s="40">
        <f>'Datu ievade'!K241</f>
        <v>20925.440000000002</v>
      </c>
      <c r="L50" s="40">
        <f>'Datu ievade'!L241</f>
        <v>21268.48</v>
      </c>
      <c r="M50" s="40">
        <f>'Datu ievade'!M241</f>
        <v>21611.52</v>
      </c>
      <c r="N50" s="40">
        <f>'Datu ievade'!N241</f>
        <v>22126.080000000002</v>
      </c>
      <c r="O50" s="40">
        <f>'Datu ievade'!O241</f>
        <v>22640.639999999999</v>
      </c>
      <c r="P50" s="40">
        <f>'Datu ievade'!P241</f>
        <v>23155.199999999997</v>
      </c>
      <c r="Q50" s="40">
        <f>'Datu ievade'!Q241</f>
        <v>23669.760000000002</v>
      </c>
      <c r="R50" s="40">
        <f>'Datu ievade'!R241</f>
        <v>24184.32</v>
      </c>
      <c r="S50" s="40">
        <f>'Datu ievade'!S241</f>
        <v>24698.880000000001</v>
      </c>
      <c r="T50" s="40">
        <f>'Datu ievade'!T241</f>
        <v>25213.440000000002</v>
      </c>
      <c r="U50" s="40">
        <f>'Datu ievade'!U241</f>
        <v>25728</v>
      </c>
      <c r="V50" s="40">
        <f>'Datu ievade'!V241</f>
        <v>26242.559999999998</v>
      </c>
      <c r="W50" s="40">
        <f>'Datu ievade'!W241</f>
        <v>26757.119999999999</v>
      </c>
      <c r="X50" s="40">
        <f>'Datu ievade'!X241</f>
        <v>27271.68</v>
      </c>
      <c r="Y50" s="40">
        <f>'Datu ievade'!Y241</f>
        <v>27786.239999999998</v>
      </c>
      <c r="Z50" s="40">
        <f>'Datu ievade'!Z241</f>
        <v>28300.800000000003</v>
      </c>
      <c r="AA50" s="40">
        <f>'Datu ievade'!AA241</f>
        <v>28815.360000000001</v>
      </c>
      <c r="AB50" s="40">
        <f>'Datu ievade'!AB241</f>
        <v>29329.919999999998</v>
      </c>
      <c r="AC50" s="40">
        <f>'Datu ievade'!AC241</f>
        <v>29844.48</v>
      </c>
      <c r="AD50" s="40">
        <f>'Datu ievade'!AD241</f>
        <v>30359.040000000001</v>
      </c>
      <c r="AE50" s="40">
        <f>'Datu ievade'!AE241</f>
        <v>31045.119999999999</v>
      </c>
      <c r="AF50" s="40">
        <f>'Datu ievade'!AF241</f>
        <v>31731.199999999997</v>
      </c>
      <c r="AG50" s="40">
        <f>'Datu ievade'!AG241</f>
        <v>31732.199999999997</v>
      </c>
      <c r="AH50" s="40">
        <f>'Datu ievade'!AH241</f>
        <v>31733.199999999997</v>
      </c>
      <c r="AI50" s="40"/>
    </row>
    <row r="51" spans="1:35" s="13" customFormat="1" ht="12.75" x14ac:dyDescent="0.2">
      <c r="A51" s="37" t="s">
        <v>111</v>
      </c>
      <c r="B51" s="40">
        <f>'Datu ievade'!B242</f>
        <v>42486</v>
      </c>
      <c r="C51" s="40">
        <f>'Datu ievade'!C242</f>
        <v>44185.440000000002</v>
      </c>
      <c r="D51" s="40">
        <f>'Datu ievade'!D242</f>
        <v>62795.020000000004</v>
      </c>
      <c r="E51" s="40">
        <f>'Datu ievade'!E242</f>
        <v>81404.600000000006</v>
      </c>
      <c r="F51" s="40">
        <f>'Datu ievade'!F242</f>
        <v>86414.720000000001</v>
      </c>
      <c r="G51" s="40">
        <f>'Datu ievade'!G242</f>
        <v>87957.84</v>
      </c>
      <c r="H51" s="40">
        <f>'Datu ievade'!H242</f>
        <v>94327.02399999999</v>
      </c>
      <c r="I51" s="40">
        <f>'Datu ievade'!I242</f>
        <v>95953.351999999984</v>
      </c>
      <c r="J51" s="40">
        <f>'Datu ievade'!J242</f>
        <v>97579.68</v>
      </c>
      <c r="K51" s="40">
        <f>'Datu ievade'!K242</f>
        <v>99206.008000000002</v>
      </c>
      <c r="L51" s="40">
        <f>'Datu ievade'!L242</f>
        <v>100832.33600000001</v>
      </c>
      <c r="M51" s="40">
        <f>'Datu ievade'!M242</f>
        <v>102458.664</v>
      </c>
      <c r="N51" s="40">
        <f>'Datu ievade'!N242</f>
        <v>104898.156</v>
      </c>
      <c r="O51" s="40">
        <f>'Datu ievade'!O242</f>
        <v>107337.64800000002</v>
      </c>
      <c r="P51" s="40">
        <f>'Datu ievade'!P242</f>
        <v>109777.14000000001</v>
      </c>
      <c r="Q51" s="40">
        <f>'Datu ievade'!Q242</f>
        <v>112216.63199999998</v>
      </c>
      <c r="R51" s="40">
        <f>'Datu ievade'!R242</f>
        <v>114656.124</v>
      </c>
      <c r="S51" s="40">
        <f>'Datu ievade'!S242</f>
        <v>117095.61599999999</v>
      </c>
      <c r="T51" s="40">
        <f>'Datu ievade'!T242</f>
        <v>119535.10800000001</v>
      </c>
      <c r="U51" s="40">
        <f>'Datu ievade'!U242</f>
        <v>121974.6</v>
      </c>
      <c r="V51" s="40">
        <f>'Datu ievade'!V242</f>
        <v>124414.092</v>
      </c>
      <c r="W51" s="40">
        <f>'Datu ievade'!W242</f>
        <v>126853.584</v>
      </c>
      <c r="X51" s="40">
        <f>'Datu ievade'!X242</f>
        <v>129293.076</v>
      </c>
      <c r="Y51" s="40">
        <f>'Datu ievade'!Y242</f>
        <v>131732.56800000003</v>
      </c>
      <c r="Z51" s="40">
        <f>'Datu ievade'!Z242</f>
        <v>134172.06</v>
      </c>
      <c r="AA51" s="40">
        <f>'Datu ievade'!AA242</f>
        <v>136611.552</v>
      </c>
      <c r="AB51" s="40">
        <f>'Datu ievade'!AB242</f>
        <v>139051.04399999999</v>
      </c>
      <c r="AC51" s="40">
        <f>'Datu ievade'!AC242</f>
        <v>141490.53600000002</v>
      </c>
      <c r="AD51" s="40">
        <f>'Datu ievade'!AD242</f>
        <v>143930.02799999999</v>
      </c>
      <c r="AE51" s="40">
        <f>'Datu ievade'!AE242</f>
        <v>147182.68400000001</v>
      </c>
      <c r="AF51" s="40">
        <f>'Datu ievade'!AF242</f>
        <v>150435.34000000003</v>
      </c>
      <c r="AG51" s="40">
        <f>'Datu ievade'!AG242</f>
        <v>150436.34000000003</v>
      </c>
      <c r="AH51" s="40">
        <f>'Datu ievade'!AH242</f>
        <v>150437.34000000003</v>
      </c>
      <c r="AI51" s="40"/>
    </row>
    <row r="52" spans="1:35" s="13" customFormat="1" ht="12.75" x14ac:dyDescent="0.2">
      <c r="A52" s="37" t="s">
        <v>112</v>
      </c>
      <c r="B52" s="40">
        <f>'Datu ievade'!B243</f>
        <v>9750</v>
      </c>
      <c r="C52" s="40">
        <f>'Datu ievade'!C243</f>
        <v>10140</v>
      </c>
      <c r="D52" s="40">
        <f>'Datu ievade'!D243</f>
        <v>10982.5</v>
      </c>
      <c r="E52" s="40">
        <f>'Datu ievade'!E243</f>
        <v>11825</v>
      </c>
      <c r="F52" s="40">
        <f>'Datu ievade'!F243</f>
        <v>12152.000000000002</v>
      </c>
      <c r="G52" s="40">
        <f>'Datu ievade'!G243</f>
        <v>12368.999999999998</v>
      </c>
      <c r="H52" s="40">
        <f>'Datu ievade'!H243</f>
        <v>12739.12</v>
      </c>
      <c r="I52" s="40">
        <f>'Datu ievade'!I243</f>
        <v>12958.76</v>
      </c>
      <c r="J52" s="40">
        <f>'Datu ievade'!J243</f>
        <v>13178.4</v>
      </c>
      <c r="K52" s="40">
        <f>'Datu ievade'!K243</f>
        <v>13398.04</v>
      </c>
      <c r="L52" s="40">
        <f>'Datu ievade'!L243</f>
        <v>13617.68</v>
      </c>
      <c r="M52" s="40">
        <f>'Datu ievade'!M243</f>
        <v>13837.32</v>
      </c>
      <c r="N52" s="40">
        <f>'Datu ievade'!N243</f>
        <v>14166.78</v>
      </c>
      <c r="O52" s="40">
        <f>'Datu ievade'!O243</f>
        <v>14496.24</v>
      </c>
      <c r="P52" s="40">
        <f>'Datu ievade'!P243</f>
        <v>14825.7</v>
      </c>
      <c r="Q52" s="40">
        <f>'Datu ievade'!Q243</f>
        <v>15155.159999999998</v>
      </c>
      <c r="R52" s="40">
        <f>'Datu ievade'!R243</f>
        <v>15484.62</v>
      </c>
      <c r="S52" s="40">
        <f>'Datu ievade'!S243</f>
        <v>15814.08</v>
      </c>
      <c r="T52" s="40">
        <f>'Datu ievade'!T243</f>
        <v>16143.54</v>
      </c>
      <c r="U52" s="40">
        <f>'Datu ievade'!U243</f>
        <v>16473</v>
      </c>
      <c r="V52" s="40">
        <f>'Datu ievade'!V243</f>
        <v>16802.46</v>
      </c>
      <c r="W52" s="40">
        <f>'Datu ievade'!W243</f>
        <v>17131.920000000002</v>
      </c>
      <c r="X52" s="40">
        <f>'Datu ievade'!X243</f>
        <v>17461.38</v>
      </c>
      <c r="Y52" s="40">
        <f>'Datu ievade'!Y243</f>
        <v>17790.840000000004</v>
      </c>
      <c r="Z52" s="40">
        <f>'Datu ievade'!Z243</f>
        <v>18120.3</v>
      </c>
      <c r="AA52" s="40">
        <f>'Datu ievade'!AA243</f>
        <v>18449.760000000002</v>
      </c>
      <c r="AB52" s="40">
        <f>'Datu ievade'!AB243</f>
        <v>18779.22</v>
      </c>
      <c r="AC52" s="40">
        <f>'Datu ievade'!AC243</f>
        <v>19108.68</v>
      </c>
      <c r="AD52" s="40">
        <f>'Datu ievade'!AD243</f>
        <v>19438.14</v>
      </c>
      <c r="AE52" s="40">
        <f>'Datu ievade'!AE243</f>
        <v>19877.420000000002</v>
      </c>
      <c r="AF52" s="40">
        <f>'Datu ievade'!AF243</f>
        <v>20316.7</v>
      </c>
      <c r="AG52" s="40">
        <f>'Datu ievade'!AG243</f>
        <v>20317.7</v>
      </c>
      <c r="AH52" s="40">
        <f>'Datu ievade'!AH243</f>
        <v>20318.7</v>
      </c>
      <c r="AI52" s="40"/>
    </row>
    <row r="53" spans="1:35" s="13" customFormat="1" ht="12.75" x14ac:dyDescent="0.2">
      <c r="A53" s="37" t="s">
        <v>113</v>
      </c>
      <c r="B53" s="40">
        <f>'Datu ievade'!B244</f>
        <v>12526</v>
      </c>
      <c r="C53" s="40">
        <f>'Datu ievade'!C244</f>
        <v>13027.04</v>
      </c>
      <c r="D53" s="40">
        <f>'Datu ievade'!D244</f>
        <v>13402.820000000002</v>
      </c>
      <c r="E53" s="40">
        <f>'Datu ievade'!E244</f>
        <v>13778.6</v>
      </c>
      <c r="F53" s="40">
        <f>'Datu ievade'!F244</f>
        <v>14029.12</v>
      </c>
      <c r="G53" s="40">
        <f>'Datu ievade'!G244</f>
        <v>14279.64</v>
      </c>
      <c r="H53" s="40">
        <f>'Datu ievade'!H244</f>
        <v>14530.16</v>
      </c>
      <c r="I53" s="40">
        <f>'Datu ievade'!I244</f>
        <v>14780.679999999998</v>
      </c>
      <c r="J53" s="40">
        <f>'Datu ievade'!J244</f>
        <v>15031.199999999999</v>
      </c>
      <c r="K53" s="40">
        <f>'Datu ievade'!K244</f>
        <v>15281.72</v>
      </c>
      <c r="L53" s="40">
        <f>'Datu ievade'!L244</f>
        <v>15532.24</v>
      </c>
      <c r="M53" s="40">
        <f>'Datu ievade'!M244</f>
        <v>15782.76</v>
      </c>
      <c r="N53" s="40">
        <f>'Datu ievade'!N244</f>
        <v>16158.54</v>
      </c>
      <c r="O53" s="40">
        <f>'Datu ievade'!O244</f>
        <v>16534.32</v>
      </c>
      <c r="P53" s="40">
        <f>'Datu ievade'!P244</f>
        <v>16910.100000000002</v>
      </c>
      <c r="Q53" s="40">
        <f>'Datu ievade'!Q244</f>
        <v>17285.879999999997</v>
      </c>
      <c r="R53" s="40">
        <f>'Datu ievade'!R244</f>
        <v>17661.66</v>
      </c>
      <c r="S53" s="40">
        <f>'Datu ievade'!S244</f>
        <v>18037.439999999999</v>
      </c>
      <c r="T53" s="40">
        <f>'Datu ievade'!T244</f>
        <v>18413.22</v>
      </c>
      <c r="U53" s="40">
        <f>'Datu ievade'!U244</f>
        <v>18789</v>
      </c>
      <c r="V53" s="40">
        <f>'Datu ievade'!V244</f>
        <v>19164.78</v>
      </c>
      <c r="W53" s="40">
        <f>'Datu ievade'!W244</f>
        <v>19540.560000000001</v>
      </c>
      <c r="X53" s="40">
        <f>'Datu ievade'!X244</f>
        <v>19916.34</v>
      </c>
      <c r="Y53" s="40">
        <f>'Datu ievade'!Y244</f>
        <v>20292.120000000003</v>
      </c>
      <c r="Z53" s="40">
        <f>'Datu ievade'!Z244</f>
        <v>20667.899999999998</v>
      </c>
      <c r="AA53" s="40">
        <f>'Datu ievade'!AA244</f>
        <v>21043.68</v>
      </c>
      <c r="AB53" s="40">
        <f>'Datu ievade'!AB244</f>
        <v>21419.46</v>
      </c>
      <c r="AC53" s="40">
        <f>'Datu ievade'!AC244</f>
        <v>21795.24</v>
      </c>
      <c r="AD53" s="40">
        <f>'Datu ievade'!AD244</f>
        <v>22171.02</v>
      </c>
      <c r="AE53" s="40">
        <f>'Datu ievade'!AE244</f>
        <v>22672.06</v>
      </c>
      <c r="AF53" s="40">
        <f>'Datu ievade'!AF244</f>
        <v>23173.100000000002</v>
      </c>
      <c r="AG53" s="40">
        <f>'Datu ievade'!AG244</f>
        <v>23174.100000000002</v>
      </c>
      <c r="AH53" s="40">
        <f>'Datu ievade'!AH244</f>
        <v>23175.100000000002</v>
      </c>
      <c r="AI53" s="40"/>
    </row>
    <row r="54" spans="1:35" s="13" customFormat="1" ht="25.5" x14ac:dyDescent="0.2">
      <c r="A54" s="37" t="s">
        <v>562</v>
      </c>
      <c r="B54" s="40">
        <f>'Datu ievade'!B245</f>
        <v>9450</v>
      </c>
      <c r="C54" s="40">
        <f>'Datu ievade'!C245</f>
        <v>9828</v>
      </c>
      <c r="D54" s="40">
        <f>'Datu ievade'!D245</f>
        <v>9961.5</v>
      </c>
      <c r="E54" s="40">
        <f>'Datu ievade'!E245</f>
        <v>10095</v>
      </c>
      <c r="F54" s="40">
        <f>'Datu ievade'!F245</f>
        <v>10248.000000000002</v>
      </c>
      <c r="G54" s="40">
        <f>'Datu ievade'!G245</f>
        <v>10430.999999999998</v>
      </c>
      <c r="H54" s="40">
        <f>'Datu ievade'!H245</f>
        <v>10572.24</v>
      </c>
      <c r="I54" s="40">
        <f>'Datu ievade'!I245</f>
        <v>10754.52</v>
      </c>
      <c r="J54" s="40">
        <f>'Datu ievade'!J245</f>
        <v>10936.8</v>
      </c>
      <c r="K54" s="40">
        <f>'Datu ievade'!K245</f>
        <v>11119.08</v>
      </c>
      <c r="L54" s="40">
        <f>'Datu ievade'!L245</f>
        <v>11301.36</v>
      </c>
      <c r="M54" s="40">
        <f>'Datu ievade'!M245</f>
        <v>11483.64</v>
      </c>
      <c r="N54" s="40">
        <f>'Datu ievade'!N245</f>
        <v>11757.06</v>
      </c>
      <c r="O54" s="40">
        <f>'Datu ievade'!O245</f>
        <v>12030.48</v>
      </c>
      <c r="P54" s="40">
        <f>'Datu ievade'!P245</f>
        <v>12303.9</v>
      </c>
      <c r="Q54" s="40">
        <f>'Datu ievade'!Q245</f>
        <v>12577.319999999998</v>
      </c>
      <c r="R54" s="40">
        <f>'Datu ievade'!R245</f>
        <v>12850.74</v>
      </c>
      <c r="S54" s="40">
        <f>'Datu ievade'!S245</f>
        <v>13124.16</v>
      </c>
      <c r="T54" s="40">
        <f>'Datu ievade'!T245</f>
        <v>13397.58</v>
      </c>
      <c r="U54" s="40">
        <f>'Datu ievade'!U245</f>
        <v>13671</v>
      </c>
      <c r="V54" s="40">
        <f>'Datu ievade'!V245</f>
        <v>13944.42</v>
      </c>
      <c r="W54" s="40">
        <f>'Datu ievade'!W245</f>
        <v>14217.84</v>
      </c>
      <c r="X54" s="40">
        <f>'Datu ievade'!X245</f>
        <v>14491.26</v>
      </c>
      <c r="Y54" s="40">
        <f>'Datu ievade'!Y245</f>
        <v>14764.680000000002</v>
      </c>
      <c r="Z54" s="40">
        <f>'Datu ievade'!Z245</f>
        <v>15038.1</v>
      </c>
      <c r="AA54" s="40">
        <f>'Datu ievade'!AA245</f>
        <v>15311.52</v>
      </c>
      <c r="AB54" s="40">
        <f>'Datu ievade'!AB245</f>
        <v>15584.94</v>
      </c>
      <c r="AC54" s="40">
        <f>'Datu ievade'!AC245</f>
        <v>15858.36</v>
      </c>
      <c r="AD54" s="40">
        <f>'Datu ievade'!AD245</f>
        <v>16131.78</v>
      </c>
      <c r="AE54" s="40">
        <f>'Datu ievade'!AE245</f>
        <v>16496.34</v>
      </c>
      <c r="AF54" s="40">
        <f>'Datu ievade'!AF245</f>
        <v>16860.900000000001</v>
      </c>
      <c r="AG54" s="40">
        <f>'Datu ievade'!AG245</f>
        <v>16860.900000000001</v>
      </c>
      <c r="AH54" s="40">
        <f>'Datu ievade'!AH245</f>
        <v>16860.900000000001</v>
      </c>
      <c r="AI54" s="40"/>
    </row>
    <row r="55" spans="1:35" s="13" customFormat="1" ht="12.75" x14ac:dyDescent="0.2">
      <c r="A55" s="38" t="s">
        <v>114</v>
      </c>
      <c r="B55" s="41">
        <f>SUM(B44:B54)</f>
        <v>234425</v>
      </c>
      <c r="C55" s="41">
        <f t="shared" ref="C55:AG55" si="9">SUM(C44:C54)</f>
        <v>243802</v>
      </c>
      <c r="D55" s="41">
        <f t="shared" si="9"/>
        <v>274494.25</v>
      </c>
      <c r="E55" s="41">
        <f t="shared" si="9"/>
        <v>305186.5</v>
      </c>
      <c r="F55" s="41">
        <f t="shared" si="9"/>
        <v>315753.28000000003</v>
      </c>
      <c r="G55" s="41">
        <f t="shared" si="9"/>
        <v>321388.16000000003</v>
      </c>
      <c r="H55" s="41">
        <f t="shared" si="9"/>
        <v>332113.49279999995</v>
      </c>
      <c r="I55" s="41">
        <f t="shared" si="9"/>
        <v>339614.2904</v>
      </c>
      <c r="J55" s="41">
        <f t="shared" si="9"/>
        <v>345366.73600000003</v>
      </c>
      <c r="K55" s="41">
        <f t="shared" si="9"/>
        <v>351119.18160000001</v>
      </c>
      <c r="L55" s="41">
        <f t="shared" si="9"/>
        <v>356871.62719999999</v>
      </c>
      <c r="M55" s="41">
        <f t="shared" si="9"/>
        <v>362624.07280000002</v>
      </c>
      <c r="N55" s="41">
        <f t="shared" si="9"/>
        <v>371362.74120000005</v>
      </c>
      <c r="O55" s="41">
        <f t="shared" si="9"/>
        <v>379991.40960000007</v>
      </c>
      <c r="P55" s="41">
        <f t="shared" si="9"/>
        <v>388620.07800000004</v>
      </c>
      <c r="Q55" s="41">
        <f t="shared" si="9"/>
        <v>397248.74639999995</v>
      </c>
      <c r="R55" s="41">
        <f t="shared" si="9"/>
        <v>405877.41479999997</v>
      </c>
      <c r="S55" s="41">
        <f t="shared" si="9"/>
        <v>414506.08319999994</v>
      </c>
      <c r="T55" s="41">
        <f t="shared" si="9"/>
        <v>423134.75160000002</v>
      </c>
      <c r="U55" s="41">
        <f t="shared" si="9"/>
        <v>431763.42000000004</v>
      </c>
      <c r="V55" s="41">
        <f t="shared" si="9"/>
        <v>440392.08839999995</v>
      </c>
      <c r="W55" s="41">
        <f t="shared" si="9"/>
        <v>449020.75680000003</v>
      </c>
      <c r="X55" s="41">
        <f t="shared" si="9"/>
        <v>457649.42520000006</v>
      </c>
      <c r="Y55" s="41">
        <f t="shared" si="9"/>
        <v>466278.09360000008</v>
      </c>
      <c r="Z55" s="41">
        <f t="shared" si="9"/>
        <v>474906.76199999999</v>
      </c>
      <c r="AA55" s="41">
        <f t="shared" si="9"/>
        <v>483535.43040000001</v>
      </c>
      <c r="AB55" s="41">
        <f t="shared" si="9"/>
        <v>492164.09880000004</v>
      </c>
      <c r="AC55" s="41">
        <f t="shared" si="9"/>
        <v>500792.7672</v>
      </c>
      <c r="AD55" s="41">
        <f t="shared" si="9"/>
        <v>509421.43560000003</v>
      </c>
      <c r="AE55" s="41">
        <f t="shared" si="9"/>
        <v>521036.32679999998</v>
      </c>
      <c r="AF55" s="41">
        <f t="shared" si="9"/>
        <v>532541.21799999999</v>
      </c>
      <c r="AG55" s="41">
        <f t="shared" si="9"/>
        <v>532109.21799999999</v>
      </c>
      <c r="AH55" s="41">
        <f>SUM(AH44:AH54)</f>
        <v>531677.21799999999</v>
      </c>
      <c r="AI55" s="41"/>
    </row>
    <row r="56" spans="1:35" s="13" customFormat="1" ht="12.75" x14ac:dyDescent="0.2">
      <c r="A56" s="18" t="s">
        <v>115</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row>
    <row r="57" spans="1:35" s="13" customFormat="1" ht="12.75" x14ac:dyDescent="0.2">
      <c r="A57" s="37" t="s">
        <v>116</v>
      </c>
      <c r="B57" s="40">
        <f>'Datu ievade'!B236</f>
        <v>53400</v>
      </c>
      <c r="C57" s="40">
        <f>'Datu ievade'!C236</f>
        <v>57138</v>
      </c>
      <c r="D57" s="40">
        <f>'Datu ievade'!D236</f>
        <v>58740.000000000007</v>
      </c>
      <c r="E57" s="40">
        <f>'Datu ievade'!E236</f>
        <v>60341.999999999993</v>
      </c>
      <c r="F57" s="40">
        <f>'Datu ievade'!F236</f>
        <v>61409.999999999993</v>
      </c>
      <c r="G57" s="40">
        <f>'Datu ievade'!G236</f>
        <v>62477.999999999993</v>
      </c>
      <c r="H57" s="40">
        <f>'Datu ievade'!H236</f>
        <v>63546</v>
      </c>
      <c r="I57" s="40">
        <f>'Datu ievade'!I236</f>
        <v>64614</v>
      </c>
      <c r="J57" s="40">
        <f>'Datu ievade'!J236</f>
        <v>65682</v>
      </c>
      <c r="K57" s="40">
        <f>'Datu ievade'!K236</f>
        <v>66750</v>
      </c>
      <c r="L57" s="40">
        <f>'Datu ievade'!L236</f>
        <v>67818</v>
      </c>
      <c r="M57" s="40">
        <f>'Datu ievade'!M236</f>
        <v>68886</v>
      </c>
      <c r="N57" s="40">
        <f>'Datu ievade'!N236</f>
        <v>69954</v>
      </c>
      <c r="O57" s="40">
        <f>'Datu ievade'!O236</f>
        <v>71022</v>
      </c>
      <c r="P57" s="40">
        <f>'Datu ievade'!P236</f>
        <v>72624</v>
      </c>
      <c r="Q57" s="40">
        <f>'Datu ievade'!Q236</f>
        <v>74226</v>
      </c>
      <c r="R57" s="40">
        <f>'Datu ievade'!R236</f>
        <v>75828</v>
      </c>
      <c r="S57" s="40">
        <f>'Datu ievade'!S236</f>
        <v>77430</v>
      </c>
      <c r="T57" s="40">
        <f>'Datu ievade'!T236</f>
        <v>79032</v>
      </c>
      <c r="U57" s="40">
        <f>'Datu ievade'!U236</f>
        <v>80634</v>
      </c>
      <c r="V57" s="40">
        <f>'Datu ievade'!V236</f>
        <v>82236</v>
      </c>
      <c r="W57" s="40">
        <f>'Datu ievade'!W236</f>
        <v>83838</v>
      </c>
      <c r="X57" s="40">
        <f>'Datu ievade'!X236</f>
        <v>85440</v>
      </c>
      <c r="Y57" s="40">
        <f>'Datu ievade'!Y236</f>
        <v>87042</v>
      </c>
      <c r="Z57" s="40">
        <f>'Datu ievade'!Z236</f>
        <v>88644</v>
      </c>
      <c r="AA57" s="40">
        <f>'Datu ievade'!AA236</f>
        <v>90246</v>
      </c>
      <c r="AB57" s="40">
        <f>'Datu ievade'!AB236</f>
        <v>91848</v>
      </c>
      <c r="AC57" s="40">
        <f>'Datu ievade'!AC236</f>
        <v>93450</v>
      </c>
      <c r="AD57" s="40">
        <f>'Datu ievade'!AD236</f>
        <v>95052</v>
      </c>
      <c r="AE57" s="40">
        <f>'Datu ievade'!AE236</f>
        <v>96654</v>
      </c>
      <c r="AF57" s="40">
        <f>'Datu ievade'!AF236</f>
        <v>98256</v>
      </c>
      <c r="AG57" s="40">
        <f>'Datu ievade'!AG236</f>
        <v>98257</v>
      </c>
      <c r="AH57" s="40">
        <f>'Datu ievade'!AH236</f>
        <v>98258</v>
      </c>
      <c r="AI57" s="40"/>
    </row>
    <row r="58" spans="1:35" s="13" customFormat="1" ht="12.75" x14ac:dyDescent="0.2">
      <c r="A58" s="37" t="s">
        <v>117</v>
      </c>
      <c r="B58" s="40">
        <f>'Datu ievade'!B237</f>
        <v>12597.06</v>
      </c>
      <c r="C58" s="40">
        <f>'Datu ievade'!C237</f>
        <v>13478.8542</v>
      </c>
      <c r="D58" s="40">
        <f>'Datu ievade'!D237</f>
        <v>13856.766000000001</v>
      </c>
      <c r="E58" s="40">
        <f>'Datu ievade'!E237</f>
        <v>14234.677799999998</v>
      </c>
      <c r="F58" s="40">
        <f>'Datu ievade'!F237</f>
        <v>14486.618999999999</v>
      </c>
      <c r="G58" s="40">
        <f>'Datu ievade'!G237</f>
        <v>14738.560199999998</v>
      </c>
      <c r="H58" s="40">
        <f>'Datu ievade'!H237</f>
        <v>14990.501399999999</v>
      </c>
      <c r="I58" s="40">
        <f>'Datu ievade'!I237</f>
        <v>15242.4426</v>
      </c>
      <c r="J58" s="40">
        <f>'Datu ievade'!J237</f>
        <v>15494.3838</v>
      </c>
      <c r="K58" s="40">
        <f>'Datu ievade'!K237</f>
        <v>15746.325000000001</v>
      </c>
      <c r="L58" s="40">
        <f>'Datu ievade'!L237</f>
        <v>15998.2662</v>
      </c>
      <c r="M58" s="40">
        <f>'Datu ievade'!M237</f>
        <v>16250.207399999999</v>
      </c>
      <c r="N58" s="40">
        <f>'Datu ievade'!N237</f>
        <v>16502.1486</v>
      </c>
      <c r="O58" s="40">
        <f>'Datu ievade'!O237</f>
        <v>16754.089800000002</v>
      </c>
      <c r="P58" s="40">
        <f>'Datu ievade'!P237</f>
        <v>17132.0016</v>
      </c>
      <c r="Q58" s="40">
        <f>'Datu ievade'!Q237</f>
        <v>17509.913400000001</v>
      </c>
      <c r="R58" s="40">
        <f>'Datu ievade'!R237</f>
        <v>17887.825199999999</v>
      </c>
      <c r="S58" s="40">
        <f>'Datu ievade'!S237</f>
        <v>18265.737000000001</v>
      </c>
      <c r="T58" s="40">
        <f>'Datu ievade'!T237</f>
        <v>18643.648799999999</v>
      </c>
      <c r="U58" s="40">
        <f>'Datu ievade'!U237</f>
        <v>19021.560600000001</v>
      </c>
      <c r="V58" s="40">
        <f>'Datu ievade'!V237</f>
        <v>19399.472399999999</v>
      </c>
      <c r="W58" s="40">
        <f>'Datu ievade'!W237</f>
        <v>19777.3842</v>
      </c>
      <c r="X58" s="40">
        <f>'Datu ievade'!X237</f>
        <v>20155.295999999998</v>
      </c>
      <c r="Y58" s="40">
        <f>'Datu ievade'!Y237</f>
        <v>20533.2078</v>
      </c>
      <c r="Z58" s="40">
        <f>'Datu ievade'!Z237</f>
        <v>20911.119599999998</v>
      </c>
      <c r="AA58" s="40">
        <f>'Datu ievade'!AA237</f>
        <v>21289.0314</v>
      </c>
      <c r="AB58" s="40">
        <f>'Datu ievade'!AB237</f>
        <v>21666.943200000002</v>
      </c>
      <c r="AC58" s="40">
        <f>'Datu ievade'!AC237</f>
        <v>22044.855</v>
      </c>
      <c r="AD58" s="40">
        <f>'Datu ievade'!AD237</f>
        <v>22422.766800000001</v>
      </c>
      <c r="AE58" s="40">
        <f>'Datu ievade'!AE237</f>
        <v>22800.678599999999</v>
      </c>
      <c r="AF58" s="40">
        <f>'Datu ievade'!AF237</f>
        <v>23178.590400000001</v>
      </c>
      <c r="AG58" s="40">
        <f>'Datu ievade'!AG237</f>
        <v>23179.590400000001</v>
      </c>
      <c r="AH58" s="40">
        <f>'Datu ievade'!AH237</f>
        <v>23180.590400000001</v>
      </c>
      <c r="AI58" s="40"/>
    </row>
    <row r="59" spans="1:35" s="13" customFormat="1" ht="12.75" x14ac:dyDescent="0.2">
      <c r="A59" s="37" t="s">
        <v>118</v>
      </c>
      <c r="B59" s="40">
        <f>'Datu ievade'!B238</f>
        <v>0</v>
      </c>
      <c r="C59" s="40">
        <f>'Datu ievade'!C238</f>
        <v>0</v>
      </c>
      <c r="D59" s="40">
        <f>'Datu ievade'!D238</f>
        <v>0</v>
      </c>
      <c r="E59" s="40">
        <f>'Datu ievade'!E238</f>
        <v>0</v>
      </c>
      <c r="F59" s="40">
        <f>'Datu ievade'!F238</f>
        <v>0</v>
      </c>
      <c r="G59" s="40">
        <f>'Datu ievade'!G238</f>
        <v>0</v>
      </c>
      <c r="H59" s="40">
        <f>'Datu ievade'!H238</f>
        <v>0</v>
      </c>
      <c r="I59" s="40">
        <f>'Datu ievade'!I238</f>
        <v>0</v>
      </c>
      <c r="J59" s="40">
        <f>'Datu ievade'!J238</f>
        <v>0</v>
      </c>
      <c r="K59" s="40">
        <f>'Datu ievade'!K238</f>
        <v>0</v>
      </c>
      <c r="L59" s="40">
        <f>'Datu ievade'!L238</f>
        <v>0</v>
      </c>
      <c r="M59" s="40">
        <f>'Datu ievade'!M238</f>
        <v>0</v>
      </c>
      <c r="N59" s="40">
        <f>'Datu ievade'!N238</f>
        <v>0</v>
      </c>
      <c r="O59" s="40">
        <f>'Datu ievade'!O238</f>
        <v>0</v>
      </c>
      <c r="P59" s="40">
        <f>'Datu ievade'!P238</f>
        <v>0</v>
      </c>
      <c r="Q59" s="40">
        <f>'Datu ievade'!Q238</f>
        <v>0</v>
      </c>
      <c r="R59" s="40">
        <f>'Datu ievade'!R238</f>
        <v>0</v>
      </c>
      <c r="S59" s="40">
        <f>'Datu ievade'!S238</f>
        <v>0</v>
      </c>
      <c r="T59" s="40">
        <f>'Datu ievade'!T238</f>
        <v>0</v>
      </c>
      <c r="U59" s="40">
        <f>'Datu ievade'!U238</f>
        <v>0</v>
      </c>
      <c r="V59" s="40">
        <f>'Datu ievade'!V238</f>
        <v>0</v>
      </c>
      <c r="W59" s="40">
        <f>'Datu ievade'!W238</f>
        <v>0</v>
      </c>
      <c r="X59" s="40">
        <f>'Datu ievade'!X238</f>
        <v>0</v>
      </c>
      <c r="Y59" s="40">
        <f>'Datu ievade'!Y238</f>
        <v>0</v>
      </c>
      <c r="Z59" s="40">
        <f>'Datu ievade'!Z238</f>
        <v>0</v>
      </c>
      <c r="AA59" s="40">
        <f>'Datu ievade'!AA238</f>
        <v>0</v>
      </c>
      <c r="AB59" s="40">
        <f>'Datu ievade'!AB238</f>
        <v>0</v>
      </c>
      <c r="AC59" s="40">
        <f>'Datu ievade'!AC238</f>
        <v>0</v>
      </c>
      <c r="AD59" s="40">
        <f>'Datu ievade'!AD238</f>
        <v>0</v>
      </c>
      <c r="AE59" s="40">
        <f>'Datu ievade'!AE238</f>
        <v>0</v>
      </c>
      <c r="AF59" s="40">
        <f>'Datu ievade'!AF238</f>
        <v>0</v>
      </c>
      <c r="AG59" s="40">
        <f>'Datu ievade'!AG238</f>
        <v>0</v>
      </c>
      <c r="AH59" s="40">
        <f>'Datu ievade'!AH238</f>
        <v>0</v>
      </c>
      <c r="AI59" s="40"/>
    </row>
    <row r="60" spans="1:35" s="13" customFormat="1" ht="12.75" x14ac:dyDescent="0.2">
      <c r="A60" s="38" t="s">
        <v>119</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1:35" s="13" customFormat="1" ht="12.75" x14ac:dyDescent="0.2">
      <c r="A61" s="37" t="s">
        <v>120</v>
      </c>
      <c r="B61" s="40">
        <f>'Datu ievade'!B247</f>
        <v>45569</v>
      </c>
      <c r="C61" s="40">
        <f>'Datu ievade'!C247</f>
        <v>48758.83</v>
      </c>
      <c r="D61" s="40">
        <f>'Datu ievade'!D247</f>
        <v>50125.9</v>
      </c>
      <c r="E61" s="40">
        <f>'Datu ievade'!E247</f>
        <v>51492.969999999994</v>
      </c>
      <c r="F61" s="40">
        <f>'Datu ievade'!F247</f>
        <v>52404.35</v>
      </c>
      <c r="G61" s="40">
        <f>'Datu ievade'!G247</f>
        <v>53315.729999999996</v>
      </c>
      <c r="H61" s="40">
        <f>'Datu ievade'!H247</f>
        <v>54227.11</v>
      </c>
      <c r="I61" s="40">
        <f>'Datu ievade'!I247</f>
        <v>55138.49</v>
      </c>
      <c r="J61" s="40">
        <f>'Datu ievade'!J247</f>
        <v>56049.87</v>
      </c>
      <c r="K61" s="40">
        <f>'Datu ievade'!K247</f>
        <v>56961.25</v>
      </c>
      <c r="L61" s="40">
        <f>'Datu ievade'!L247</f>
        <v>57872.63</v>
      </c>
      <c r="M61" s="40">
        <f>'Datu ievade'!M247</f>
        <v>58784.01</v>
      </c>
      <c r="N61" s="40">
        <f>'Datu ievade'!N247</f>
        <v>59695.39</v>
      </c>
      <c r="O61" s="40">
        <f>'Datu ievade'!O247</f>
        <v>60606.770000000004</v>
      </c>
      <c r="P61" s="40">
        <f>'Datu ievade'!P247</f>
        <v>61973.840000000004</v>
      </c>
      <c r="Q61" s="40">
        <f>'Datu ievade'!Q247</f>
        <v>63340.909999999996</v>
      </c>
      <c r="R61" s="40">
        <f>'Datu ievade'!R247</f>
        <v>64707.979999999996</v>
      </c>
      <c r="S61" s="40">
        <f>'Datu ievade'!S247</f>
        <v>66075.05</v>
      </c>
      <c r="T61" s="40">
        <f>'Datu ievade'!T247</f>
        <v>67442.12</v>
      </c>
      <c r="U61" s="40">
        <f>'Datu ievade'!U247</f>
        <v>68809.19</v>
      </c>
      <c r="V61" s="40">
        <f>'Datu ievade'!V247</f>
        <v>70176.259999999995</v>
      </c>
      <c r="W61" s="40">
        <f>'Datu ievade'!W247</f>
        <v>71543.33</v>
      </c>
      <c r="X61" s="40">
        <f>'Datu ievade'!X247</f>
        <v>72910.400000000009</v>
      </c>
      <c r="Y61" s="40">
        <f>'Datu ievade'!Y247</f>
        <v>74277.47</v>
      </c>
      <c r="Z61" s="40">
        <f>'Datu ievade'!Z247</f>
        <v>75644.539999999994</v>
      </c>
      <c r="AA61" s="40">
        <f>'Datu ievade'!AA247</f>
        <v>77011.61</v>
      </c>
      <c r="AB61" s="40">
        <f>'Datu ievade'!AB247</f>
        <v>78378.679999999993</v>
      </c>
      <c r="AC61" s="40">
        <f>'Datu ievade'!AC247</f>
        <v>79745.75</v>
      </c>
      <c r="AD61" s="40">
        <f>'Datu ievade'!AD247</f>
        <v>81112.820000000007</v>
      </c>
      <c r="AE61" s="40">
        <f>'Datu ievade'!AE247</f>
        <v>82479.89</v>
      </c>
      <c r="AF61" s="40">
        <f>'Datu ievade'!AF247</f>
        <v>83846.960000000006</v>
      </c>
      <c r="AG61" s="40">
        <f>'Datu ievade'!AG247</f>
        <v>83847.960000000006</v>
      </c>
      <c r="AH61" s="40">
        <f>'Datu ievade'!AH247</f>
        <v>83848.960000000006</v>
      </c>
      <c r="AI61" s="40"/>
    </row>
    <row r="62" spans="1:35" s="13" customFormat="1" ht="12.75" x14ac:dyDescent="0.2">
      <c r="A62" s="37" t="s">
        <v>121</v>
      </c>
      <c r="B62" s="40">
        <f>'Datu ievade'!B248</f>
        <v>10749.7271</v>
      </c>
      <c r="C62" s="40">
        <f>'Datu ievade'!C248</f>
        <v>11502.207997</v>
      </c>
      <c r="D62" s="40">
        <f>'Datu ievade'!D248</f>
        <v>11824.69981</v>
      </c>
      <c r="E62" s="40">
        <f>'Datu ievade'!E248</f>
        <v>12147.191622999999</v>
      </c>
      <c r="F62" s="40">
        <f>'Datu ievade'!F248</f>
        <v>12362.186164999999</v>
      </c>
      <c r="G62" s="40">
        <f>'Datu ievade'!G248</f>
        <v>12577.180707</v>
      </c>
      <c r="H62" s="40">
        <f>'Datu ievade'!H248</f>
        <v>12792.175249</v>
      </c>
      <c r="I62" s="40">
        <f>'Datu ievade'!I248</f>
        <v>13007.169791</v>
      </c>
      <c r="J62" s="40">
        <f>'Datu ievade'!J248</f>
        <v>13222.164333000001</v>
      </c>
      <c r="K62" s="40">
        <f>'Datu ievade'!K248</f>
        <v>13437.158874999999</v>
      </c>
      <c r="L62" s="40">
        <f>'Datu ievade'!L248</f>
        <v>13652.153417</v>
      </c>
      <c r="M62" s="40">
        <f>'Datu ievade'!M248</f>
        <v>13867.147959</v>
      </c>
      <c r="N62" s="40">
        <f>'Datu ievade'!N248</f>
        <v>14082.142501</v>
      </c>
      <c r="O62" s="40">
        <f>'Datu ievade'!O248</f>
        <v>14297.137043000001</v>
      </c>
      <c r="P62" s="40">
        <f>'Datu ievade'!P248</f>
        <v>14619.628856000001</v>
      </c>
      <c r="Q62" s="40">
        <f>'Datu ievade'!Q248</f>
        <v>14942.120669</v>
      </c>
      <c r="R62" s="40">
        <f>'Datu ievade'!R248</f>
        <v>15264.612481999999</v>
      </c>
      <c r="S62" s="40">
        <f>'Datu ievade'!S248</f>
        <v>15587.104295000001</v>
      </c>
      <c r="T62" s="40">
        <f>'Datu ievade'!T248</f>
        <v>15909.596107999998</v>
      </c>
      <c r="U62" s="40">
        <f>'Datu ievade'!U248</f>
        <v>16232.087921</v>
      </c>
      <c r="V62" s="40">
        <f>'Datu ievade'!V248</f>
        <v>16554.579733999999</v>
      </c>
      <c r="W62" s="40">
        <f>'Datu ievade'!W248</f>
        <v>16877.071547</v>
      </c>
      <c r="X62" s="40">
        <f>'Datu ievade'!X248</f>
        <v>17199.563360000004</v>
      </c>
      <c r="Y62" s="40">
        <f>'Datu ievade'!Y248</f>
        <v>17522.055173000001</v>
      </c>
      <c r="Z62" s="40">
        <f>'Datu ievade'!Z248</f>
        <v>17844.546985999998</v>
      </c>
      <c r="AA62" s="40">
        <f>'Datu ievade'!AA248</f>
        <v>18167.038799000002</v>
      </c>
      <c r="AB62" s="40">
        <f>'Datu ievade'!AB248</f>
        <v>18489.530611999999</v>
      </c>
      <c r="AC62" s="40">
        <f>'Datu ievade'!AC248</f>
        <v>18812.022424999999</v>
      </c>
      <c r="AD62" s="40">
        <f>'Datu ievade'!AD248</f>
        <v>19134.514238</v>
      </c>
      <c r="AE62" s="40">
        <f>'Datu ievade'!AE248</f>
        <v>19457.006051</v>
      </c>
      <c r="AF62" s="40">
        <f>'Datu ievade'!AF248</f>
        <v>19779.497864000001</v>
      </c>
      <c r="AG62" s="40">
        <f>'Datu ievade'!AG248</f>
        <v>19780.497864000001</v>
      </c>
      <c r="AH62" s="40">
        <f>'Datu ievade'!AH248</f>
        <v>19781.497864000001</v>
      </c>
      <c r="AI62" s="40"/>
    </row>
    <row r="63" spans="1:35" s="13" customFormat="1" ht="12.75" x14ac:dyDescent="0.2">
      <c r="A63" s="37" t="s">
        <v>122</v>
      </c>
      <c r="B63" s="40">
        <f>'Datu ievade'!B249</f>
        <v>0</v>
      </c>
      <c r="C63" s="40">
        <f>'Datu ievade'!C249</f>
        <v>0</v>
      </c>
      <c r="D63" s="40">
        <f>'Datu ievade'!D249</f>
        <v>0</v>
      </c>
      <c r="E63" s="40">
        <f>'Datu ievade'!E249</f>
        <v>0</v>
      </c>
      <c r="F63" s="40">
        <f>'Datu ievade'!F249</f>
        <v>0</v>
      </c>
      <c r="G63" s="40">
        <f>'Datu ievade'!G249</f>
        <v>0</v>
      </c>
      <c r="H63" s="40">
        <f>'Datu ievade'!H249</f>
        <v>0</v>
      </c>
      <c r="I63" s="40">
        <f>'Datu ievade'!I249</f>
        <v>0</v>
      </c>
      <c r="J63" s="40">
        <f>'Datu ievade'!J249</f>
        <v>0</v>
      </c>
      <c r="K63" s="40">
        <f>'Datu ievade'!K249</f>
        <v>0</v>
      </c>
      <c r="L63" s="40">
        <f>'Datu ievade'!L249</f>
        <v>0</v>
      </c>
      <c r="M63" s="40">
        <f>'Datu ievade'!M249</f>
        <v>0</v>
      </c>
      <c r="N63" s="40">
        <f>'Datu ievade'!N249</f>
        <v>0</v>
      </c>
      <c r="O63" s="40">
        <f>'Datu ievade'!O249</f>
        <v>0</v>
      </c>
      <c r="P63" s="40">
        <f>'Datu ievade'!P249</f>
        <v>0</v>
      </c>
      <c r="Q63" s="40">
        <f>'Datu ievade'!Q249</f>
        <v>0</v>
      </c>
      <c r="R63" s="40">
        <f>'Datu ievade'!R249</f>
        <v>0</v>
      </c>
      <c r="S63" s="40">
        <f>'Datu ievade'!S249</f>
        <v>0</v>
      </c>
      <c r="T63" s="40">
        <f>'Datu ievade'!T249</f>
        <v>0</v>
      </c>
      <c r="U63" s="40">
        <f>'Datu ievade'!U249</f>
        <v>0</v>
      </c>
      <c r="V63" s="40">
        <f>'Datu ievade'!V249</f>
        <v>0</v>
      </c>
      <c r="W63" s="40">
        <f>'Datu ievade'!W249</f>
        <v>0</v>
      </c>
      <c r="X63" s="40">
        <f>'Datu ievade'!X249</f>
        <v>0</v>
      </c>
      <c r="Y63" s="40">
        <f>'Datu ievade'!Y249</f>
        <v>0</v>
      </c>
      <c r="Z63" s="40">
        <f>'Datu ievade'!Z249</f>
        <v>0</v>
      </c>
      <c r="AA63" s="40">
        <f>'Datu ievade'!AA249</f>
        <v>0</v>
      </c>
      <c r="AB63" s="40">
        <f>'Datu ievade'!AB249</f>
        <v>0</v>
      </c>
      <c r="AC63" s="40">
        <f>'Datu ievade'!AC249</f>
        <v>0</v>
      </c>
      <c r="AD63" s="40">
        <f>'Datu ievade'!AD249</f>
        <v>0</v>
      </c>
      <c r="AE63" s="40">
        <f>'Datu ievade'!AE249</f>
        <v>0</v>
      </c>
      <c r="AF63" s="40">
        <f>'Datu ievade'!AF249</f>
        <v>0</v>
      </c>
      <c r="AG63" s="40">
        <f>'Datu ievade'!AG249</f>
        <v>0</v>
      </c>
      <c r="AH63" s="40">
        <f>'Datu ievade'!AH249</f>
        <v>0</v>
      </c>
      <c r="AI63" s="40"/>
    </row>
    <row r="64" spans="1:35" s="13" customFormat="1" ht="12.75" x14ac:dyDescent="0.2">
      <c r="A64" s="38" t="s">
        <v>123</v>
      </c>
      <c r="B64" s="39">
        <f>SUM(B57:B63)</f>
        <v>122315.7871</v>
      </c>
      <c r="C64" s="39">
        <f t="shared" ref="C64:AG64" si="10">SUM(C57:C63)</f>
        <v>130877.89219700001</v>
      </c>
      <c r="D64" s="39">
        <f t="shared" si="10"/>
        <v>134547.36580999999</v>
      </c>
      <c r="E64" s="39">
        <f t="shared" si="10"/>
        <v>138216.83942299997</v>
      </c>
      <c r="F64" s="39">
        <f t="shared" si="10"/>
        <v>140663.15516499997</v>
      </c>
      <c r="G64" s="39">
        <f t="shared" si="10"/>
        <v>143109.47090699998</v>
      </c>
      <c r="H64" s="39">
        <f t="shared" si="10"/>
        <v>145555.78664899999</v>
      </c>
      <c r="I64" s="39">
        <f t="shared" si="10"/>
        <v>148002.10239099999</v>
      </c>
      <c r="J64" s="39">
        <f t="shared" si="10"/>
        <v>150448.418133</v>
      </c>
      <c r="K64" s="39">
        <f t="shared" si="10"/>
        <v>152894.73387500001</v>
      </c>
      <c r="L64" s="39">
        <f t="shared" si="10"/>
        <v>155341.04961699998</v>
      </c>
      <c r="M64" s="39">
        <f t="shared" si="10"/>
        <v>157787.36535899999</v>
      </c>
      <c r="N64" s="39">
        <f t="shared" si="10"/>
        <v>160233.68110099999</v>
      </c>
      <c r="O64" s="39">
        <f t="shared" si="10"/>
        <v>162679.996843</v>
      </c>
      <c r="P64" s="39">
        <f t="shared" si="10"/>
        <v>166349.47045600001</v>
      </c>
      <c r="Q64" s="39">
        <f t="shared" si="10"/>
        <v>170018.94406899999</v>
      </c>
      <c r="R64" s="39">
        <f t="shared" si="10"/>
        <v>173688.417682</v>
      </c>
      <c r="S64" s="39">
        <f t="shared" si="10"/>
        <v>177357.89129500001</v>
      </c>
      <c r="T64" s="39">
        <f t="shared" si="10"/>
        <v>181027.36490799999</v>
      </c>
      <c r="U64" s="39">
        <f t="shared" si="10"/>
        <v>184696.838521</v>
      </c>
      <c r="V64" s="39">
        <f t="shared" si="10"/>
        <v>188366.31213399998</v>
      </c>
      <c r="W64" s="39">
        <f t="shared" si="10"/>
        <v>192035.78574699999</v>
      </c>
      <c r="X64" s="39">
        <f t="shared" si="10"/>
        <v>195705.25936</v>
      </c>
      <c r="Y64" s="39">
        <f t="shared" si="10"/>
        <v>199374.73297300001</v>
      </c>
      <c r="Z64" s="39">
        <f t="shared" si="10"/>
        <v>203044.20658600001</v>
      </c>
      <c r="AA64" s="39">
        <f t="shared" si="10"/>
        <v>206713.68019900002</v>
      </c>
      <c r="AB64" s="39">
        <f t="shared" si="10"/>
        <v>210383.153812</v>
      </c>
      <c r="AC64" s="39">
        <f t="shared" si="10"/>
        <v>214052.62742499998</v>
      </c>
      <c r="AD64" s="39">
        <f t="shared" si="10"/>
        <v>217722.10103799999</v>
      </c>
      <c r="AE64" s="39">
        <f t="shared" si="10"/>
        <v>221391.574651</v>
      </c>
      <c r="AF64" s="39">
        <f t="shared" si="10"/>
        <v>225061.04826400001</v>
      </c>
      <c r="AG64" s="39">
        <f t="shared" si="10"/>
        <v>225065.04826400001</v>
      </c>
      <c r="AH64" s="39">
        <f>SUM(AH57:AH63)</f>
        <v>225069.04826400001</v>
      </c>
      <c r="AI64" s="39"/>
    </row>
    <row r="65" spans="1:253" s="44" customFormat="1" ht="12.75" x14ac:dyDescent="0.2">
      <c r="A65" s="1" t="s">
        <v>124</v>
      </c>
      <c r="B65" s="55">
        <f>B64+B55</f>
        <v>356740.78710000002</v>
      </c>
      <c r="C65" s="55">
        <f t="shared" ref="C65:AG65" si="11">C64+C55</f>
        <v>374679.89219699998</v>
      </c>
      <c r="D65" s="55">
        <f t="shared" si="11"/>
        <v>409041.61580999999</v>
      </c>
      <c r="E65" s="55">
        <f t="shared" si="11"/>
        <v>443403.339423</v>
      </c>
      <c r="F65" s="55">
        <f t="shared" si="11"/>
        <v>456416.43516500003</v>
      </c>
      <c r="G65" s="55">
        <f t="shared" si="11"/>
        <v>464497.63090700004</v>
      </c>
      <c r="H65" s="55">
        <f t="shared" si="11"/>
        <v>477669.27944899991</v>
      </c>
      <c r="I65" s="55">
        <f t="shared" si="11"/>
        <v>487616.39279099996</v>
      </c>
      <c r="J65" s="55">
        <f t="shared" si="11"/>
        <v>495815.15413300006</v>
      </c>
      <c r="K65" s="55">
        <f t="shared" si="11"/>
        <v>504013.91547500005</v>
      </c>
      <c r="L65" s="55">
        <f t="shared" si="11"/>
        <v>512212.67681699997</v>
      </c>
      <c r="M65" s="55">
        <f t="shared" si="11"/>
        <v>520411.43815900001</v>
      </c>
      <c r="N65" s="55">
        <f t="shared" si="11"/>
        <v>531596.42230099998</v>
      </c>
      <c r="O65" s="55">
        <f t="shared" si="11"/>
        <v>542671.40644300007</v>
      </c>
      <c r="P65" s="55">
        <f t="shared" si="11"/>
        <v>554969.54845600005</v>
      </c>
      <c r="Q65" s="55">
        <f t="shared" si="11"/>
        <v>567267.69046899991</v>
      </c>
      <c r="R65" s="55">
        <f t="shared" si="11"/>
        <v>579565.832482</v>
      </c>
      <c r="S65" s="55">
        <f t="shared" si="11"/>
        <v>591863.97449499997</v>
      </c>
      <c r="T65" s="55">
        <f t="shared" si="11"/>
        <v>604162.11650800006</v>
      </c>
      <c r="U65" s="55">
        <f t="shared" si="11"/>
        <v>616460.25852100004</v>
      </c>
      <c r="V65" s="55">
        <f t="shared" si="11"/>
        <v>628758.4005339999</v>
      </c>
      <c r="W65" s="55">
        <f t="shared" si="11"/>
        <v>641056.54254699999</v>
      </c>
      <c r="X65" s="55">
        <f t="shared" si="11"/>
        <v>653354.68456000008</v>
      </c>
      <c r="Y65" s="55">
        <f t="shared" si="11"/>
        <v>665652.82657300006</v>
      </c>
      <c r="Z65" s="55">
        <f t="shared" si="11"/>
        <v>677950.96858600003</v>
      </c>
      <c r="AA65" s="55">
        <f t="shared" si="11"/>
        <v>690249.11059900001</v>
      </c>
      <c r="AB65" s="55">
        <f t="shared" si="11"/>
        <v>702547.2526120001</v>
      </c>
      <c r="AC65" s="55">
        <f t="shared" si="11"/>
        <v>714845.39462499996</v>
      </c>
      <c r="AD65" s="55">
        <f t="shared" si="11"/>
        <v>727143.53663800005</v>
      </c>
      <c r="AE65" s="55">
        <f t="shared" si="11"/>
        <v>742427.90145100001</v>
      </c>
      <c r="AF65" s="55">
        <f t="shared" si="11"/>
        <v>757602.26626399998</v>
      </c>
      <c r="AG65" s="55">
        <f t="shared" si="11"/>
        <v>757174.26626399998</v>
      </c>
      <c r="AH65" s="55">
        <f>AH64+AH55</f>
        <v>756746.26626399998</v>
      </c>
      <c r="AI65" s="55"/>
    </row>
    <row r="66" spans="1:253" s="44" customFormat="1" ht="12.75" x14ac:dyDescent="0.2">
      <c r="A66" s="46" t="s">
        <v>125</v>
      </c>
      <c r="B66" s="45">
        <f>'Datu ievade'!E260*'Datu ievade'!B391</f>
        <v>188705</v>
      </c>
      <c r="C66" s="45">
        <f>'Datu ievade'!F260*'Datu ievade'!C391</f>
        <v>183987.37500000003</v>
      </c>
      <c r="D66" s="45">
        <f>'Datu ievade'!G260*'Datu ievade'!D391</f>
        <v>197196.72499999998</v>
      </c>
      <c r="E66" s="45">
        <f ca="1">'Datu ievade'!H260*'Datu ievade'!E391</f>
        <v>210406.07499999998</v>
      </c>
      <c r="F66" s="45">
        <f ca="1">'Datu ievade'!I260*'Datu ievade'!F391</f>
        <v>209714.40000000002</v>
      </c>
      <c r="G66" s="45">
        <f ca="1">'Datu ievade'!J260*'Datu ievade'!G391</f>
        <v>213656.39999999997</v>
      </c>
      <c r="H66" s="45">
        <f ca="1">'Datu ievade'!K260*'Datu ievade'!H391</f>
        <v>217598.40000000002</v>
      </c>
      <c r="I66" s="45">
        <f ca="1">'Datu ievade'!L260*'Datu ievade'!I391</f>
        <v>223117.19999999998</v>
      </c>
      <c r="J66" s="45">
        <f ca="1">'Datu ievade'!M260*'Datu ievade'!J391</f>
        <v>227059.19999999998</v>
      </c>
      <c r="K66" s="45">
        <f ca="1">'Datu ievade'!N260*'Datu ievade'!K391</f>
        <v>231001.20000000004</v>
      </c>
      <c r="L66" s="45">
        <f ca="1">'Datu ievade'!O260*'Datu ievade'!L391</f>
        <v>234154.8</v>
      </c>
      <c r="M66" s="45">
        <f ca="1">'Datu ievade'!P260*'Datu ievade'!M391</f>
        <v>238885.19999999998</v>
      </c>
      <c r="N66" s="45">
        <f ca="1">'Datu ievade'!Q260*'Datu ievade'!N391</f>
        <v>243615.6</v>
      </c>
      <c r="O66" s="45">
        <f ca="1">'Datu ievade'!R260*'Datu ievade'!O391</f>
        <v>248346</v>
      </c>
      <c r="P66" s="45">
        <f ca="1">'Datu ievade'!S260*'Datu ievade'!P391</f>
        <v>249922.80000000002</v>
      </c>
      <c r="Q66" s="45">
        <f ca="1">'Datu ievade'!T260*'Datu ievade'!Q391</f>
        <v>251499.59999999995</v>
      </c>
      <c r="R66" s="45">
        <f ca="1">'Datu ievade'!U260*'Datu ievade'!R391</f>
        <v>256230.00000000006</v>
      </c>
      <c r="S66" s="45">
        <f ca="1">'Datu ievade'!V260*'Datu ievade'!S391</f>
        <v>261748.80000000002</v>
      </c>
      <c r="T66" s="45">
        <f ca="1">'Datu ievade'!W260*'Datu ievade'!T391</f>
        <v>266479.20000000007</v>
      </c>
      <c r="U66" s="45">
        <f ca="1">'Datu ievade'!X260*'Datu ievade'!U391</f>
        <v>275940</v>
      </c>
      <c r="V66" s="45">
        <f ca="1">'Datu ievade'!Y260*'Datu ievade'!V391</f>
        <v>280670.40000000002</v>
      </c>
      <c r="W66" s="45">
        <f ca="1">'Datu ievade'!Z260*'Datu ievade'!W391</f>
        <v>286189.2</v>
      </c>
      <c r="X66" s="45">
        <f ca="1">'Datu ievade'!AA260*'Datu ievade'!X391</f>
        <v>290919.59999999998</v>
      </c>
      <c r="Y66" s="45">
        <f ca="1">'Datu ievade'!AB260*'Datu ievade'!Y391</f>
        <v>296438.39999999997</v>
      </c>
      <c r="Z66" s="45">
        <f ca="1">'Datu ievade'!AC260*'Datu ievade'!Z391</f>
        <v>301957.2</v>
      </c>
      <c r="AA66" s="45">
        <f ca="1">'Datu ievade'!AD260*'Datu ievade'!AA391</f>
        <v>306687.60000000003</v>
      </c>
      <c r="AB66" s="45">
        <f ca="1">'Datu ievade'!AE260*'Datu ievade'!AB391</f>
        <v>312206.39999999997</v>
      </c>
      <c r="AC66" s="45">
        <f ca="1">'Datu ievade'!AF260*'Datu ievade'!AC391</f>
        <v>317725.19999999995</v>
      </c>
      <c r="AD66" s="45">
        <f ca="1">'Datu ievade'!AG260*'Datu ievade'!AD391</f>
        <v>322455.59999999998</v>
      </c>
      <c r="AE66" s="45">
        <f ca="1">'Datu ievade'!AH260*'Datu ievade'!AE391</f>
        <v>328762.80000000005</v>
      </c>
      <c r="AF66" s="45">
        <f ca="1">'Datu ievade'!AI260*'Datu ievade'!AF391</f>
        <v>335858.39999999997</v>
      </c>
      <c r="AG66" s="45">
        <f ca="1">'Datu ievade'!AJ260*'Datu ievade'!AG391</f>
        <v>335070</v>
      </c>
      <c r="AH66" s="45">
        <f ca="1">'Datu ievade'!AK260*'Datu ievade'!AH391</f>
        <v>335070</v>
      </c>
      <c r="AI66" s="45"/>
    </row>
    <row r="67" spans="1:253" s="44" customFormat="1" ht="12.75" x14ac:dyDescent="0.2">
      <c r="A67" s="46" t="s">
        <v>126</v>
      </c>
      <c r="B67" s="45">
        <f>'Datu ievade'!B391*'Datu ievade'!E269</f>
        <v>27000</v>
      </c>
      <c r="C67" s="45">
        <f>'Datu ievade'!C391*'Datu ievade'!F269</f>
        <v>26325.000000000004</v>
      </c>
      <c r="D67" s="45">
        <f>'Datu ievade'!D391*'Datu ievade'!G269</f>
        <v>28214.999999999996</v>
      </c>
      <c r="E67" s="45">
        <f ca="1">'Datu ievade'!E391*'Datu ievade'!H269</f>
        <v>30104.999999999996</v>
      </c>
      <c r="F67" s="45">
        <f ca="1">'Datu ievade'!F391*'Datu ievade'!I269</f>
        <v>35910</v>
      </c>
      <c r="G67" s="45">
        <f ca="1">'Datu ievade'!G391*'Datu ievade'!J269</f>
        <v>36584.999999999993</v>
      </c>
      <c r="H67" s="45">
        <f ca="1">'Datu ievade'!H391*'Datu ievade'!K269</f>
        <v>37260</v>
      </c>
      <c r="I67" s="45">
        <f ca="1">'Datu ievade'!I391*'Datu ievade'!L269</f>
        <v>38205</v>
      </c>
      <c r="J67" s="45">
        <f ca="1">'Datu ievade'!J391*'Datu ievade'!M269</f>
        <v>38880</v>
      </c>
      <c r="K67" s="45">
        <f ca="1">'Datu ievade'!K391*'Datu ievade'!N269</f>
        <v>39555.000000000007</v>
      </c>
      <c r="L67" s="45">
        <f ca="1">'Datu ievade'!L391*'Datu ievade'!O269</f>
        <v>40095</v>
      </c>
      <c r="M67" s="45">
        <f ca="1">'Datu ievade'!M391*'Datu ievade'!P269</f>
        <v>40905</v>
      </c>
      <c r="N67" s="45">
        <f ca="1">'Datu ievade'!N391*'Datu ievade'!Q269</f>
        <v>41715</v>
      </c>
      <c r="O67" s="45">
        <f ca="1">'Datu ievade'!O391*'Datu ievade'!R269</f>
        <v>42525</v>
      </c>
      <c r="P67" s="45">
        <f ca="1">'Datu ievade'!P391*'Datu ievade'!S269</f>
        <v>42795</v>
      </c>
      <c r="Q67" s="45">
        <f ca="1">'Datu ievade'!Q391*'Datu ievade'!T269</f>
        <v>43064.999999999993</v>
      </c>
      <c r="R67" s="45">
        <f ca="1">'Datu ievade'!R391*'Datu ievade'!U269</f>
        <v>43875.000000000007</v>
      </c>
      <c r="S67" s="45">
        <f ca="1">'Datu ievade'!S391*'Datu ievade'!V269</f>
        <v>44820</v>
      </c>
      <c r="T67" s="45">
        <f ca="1">'Datu ievade'!T391*'Datu ievade'!W269</f>
        <v>45630.000000000007</v>
      </c>
      <c r="U67" s="45">
        <f ca="1">'Datu ievade'!U391*'Datu ievade'!X269</f>
        <v>47250</v>
      </c>
      <c r="V67" s="45">
        <f ca="1">'Datu ievade'!V391*'Datu ievade'!Y269</f>
        <v>48060.000000000007</v>
      </c>
      <c r="W67" s="45">
        <f ca="1">'Datu ievade'!W391*'Datu ievade'!Z269</f>
        <v>49005</v>
      </c>
      <c r="X67" s="45">
        <f ca="1">'Datu ievade'!X391*'Datu ievade'!AA269</f>
        <v>49814.999999999993</v>
      </c>
      <c r="Y67" s="45">
        <f ca="1">'Datu ievade'!Y391*'Datu ievade'!AB269</f>
        <v>50759.999999999993</v>
      </c>
      <c r="Z67" s="45">
        <f ca="1">'Datu ievade'!Z391*'Datu ievade'!AC269</f>
        <v>51705</v>
      </c>
      <c r="AA67" s="45">
        <f ca="1">'Datu ievade'!AA391*'Datu ievade'!AD269</f>
        <v>52515</v>
      </c>
      <c r="AB67" s="45">
        <f ca="1">'Datu ievade'!AB391*'Datu ievade'!AE269</f>
        <v>53459.999999999993</v>
      </c>
      <c r="AC67" s="45">
        <f ca="1">'Datu ievade'!AC391*'Datu ievade'!AF269</f>
        <v>54404.999999999993</v>
      </c>
      <c r="AD67" s="45">
        <f ca="1">'Datu ievade'!AD391*'Datu ievade'!AG269</f>
        <v>55215</v>
      </c>
      <c r="AE67" s="45">
        <f ca="1">'Datu ievade'!AE391*'Datu ievade'!AH269</f>
        <v>56295.000000000015</v>
      </c>
      <c r="AF67" s="45">
        <f ca="1">'Datu ievade'!AF391*'Datu ievade'!AI269</f>
        <v>57509.999999999993</v>
      </c>
      <c r="AG67" s="45">
        <f ca="1">'Datu ievade'!AG391*'Datu ievade'!AJ269</f>
        <v>57375</v>
      </c>
      <c r="AH67" s="45">
        <f ca="1">'Datu ievade'!AH391*'Datu ievade'!AK269</f>
        <v>57375</v>
      </c>
      <c r="AI67" s="45"/>
    </row>
    <row r="68" spans="1:253" s="44" customFormat="1" ht="12.75" x14ac:dyDescent="0.2">
      <c r="A68" s="46" t="s">
        <v>127</v>
      </c>
      <c r="B68" s="45">
        <f>'Datu ievade'!E276*'Datu ievade'!B391</f>
        <v>24000</v>
      </c>
      <c r="C68" s="45">
        <f>'Datu ievade'!F276*'Datu ievade'!C391</f>
        <v>23400.000000000004</v>
      </c>
      <c r="D68" s="45">
        <f>'Datu ievade'!G276*'Datu ievade'!D391</f>
        <v>25079.999999999996</v>
      </c>
      <c r="E68" s="45">
        <f ca="1">'Datu ievade'!H276*'Datu ievade'!E391</f>
        <v>26759.999999999996</v>
      </c>
      <c r="F68" s="45">
        <f ca="1">'Datu ievade'!I276*'Datu ievade'!F391</f>
        <v>31920</v>
      </c>
      <c r="G68" s="45">
        <f ca="1">'Datu ievade'!J276*'Datu ievade'!G391</f>
        <v>32519.999999999996</v>
      </c>
      <c r="H68" s="45">
        <f ca="1">'Datu ievade'!K276*'Datu ievade'!H391</f>
        <v>33120</v>
      </c>
      <c r="I68" s="45">
        <f ca="1">'Datu ievade'!L276*'Datu ievade'!I391</f>
        <v>33960</v>
      </c>
      <c r="J68" s="45">
        <f ca="1">'Datu ievade'!M276*'Datu ievade'!J391</f>
        <v>34560</v>
      </c>
      <c r="K68" s="45">
        <f ca="1">'Datu ievade'!N276*'Datu ievade'!K391</f>
        <v>35160.000000000007</v>
      </c>
      <c r="L68" s="45">
        <f ca="1">'Datu ievade'!O276*'Datu ievade'!L391</f>
        <v>35640</v>
      </c>
      <c r="M68" s="45">
        <f ca="1">'Datu ievade'!P276*'Datu ievade'!M391</f>
        <v>36360</v>
      </c>
      <c r="N68" s="45">
        <f ca="1">'Datu ievade'!Q276*'Datu ievade'!N391</f>
        <v>37080</v>
      </c>
      <c r="O68" s="45">
        <f ca="1">'Datu ievade'!R276*'Datu ievade'!O391</f>
        <v>37800</v>
      </c>
      <c r="P68" s="45">
        <f ca="1">'Datu ievade'!S276*'Datu ievade'!P391</f>
        <v>38040</v>
      </c>
      <c r="Q68" s="45">
        <f ca="1">'Datu ievade'!T276*'Datu ievade'!Q391</f>
        <v>38279.999999999993</v>
      </c>
      <c r="R68" s="45">
        <f ca="1">'Datu ievade'!U276*'Datu ievade'!R391</f>
        <v>39000.000000000007</v>
      </c>
      <c r="S68" s="45">
        <f ca="1">'Datu ievade'!V276*'Datu ievade'!S391</f>
        <v>39840</v>
      </c>
      <c r="T68" s="45">
        <f ca="1">'Datu ievade'!W276*'Datu ievade'!T391</f>
        <v>40560.000000000007</v>
      </c>
      <c r="U68" s="45">
        <f ca="1">'Datu ievade'!X276*'Datu ievade'!U391</f>
        <v>42000</v>
      </c>
      <c r="V68" s="45">
        <f ca="1">'Datu ievade'!Y276*'Datu ievade'!V391</f>
        <v>42720.000000000007</v>
      </c>
      <c r="W68" s="45">
        <f ca="1">'Datu ievade'!Z276*'Datu ievade'!W391</f>
        <v>43560</v>
      </c>
      <c r="X68" s="45">
        <f ca="1">'Datu ievade'!AA276*'Datu ievade'!X391</f>
        <v>44279.999999999993</v>
      </c>
      <c r="Y68" s="45">
        <f ca="1">'Datu ievade'!AB276*'Datu ievade'!Y391</f>
        <v>45119.999999999993</v>
      </c>
      <c r="Z68" s="45">
        <f ca="1">'Datu ievade'!AC276*'Datu ievade'!Z391</f>
        <v>45960</v>
      </c>
      <c r="AA68" s="45">
        <f ca="1">'Datu ievade'!AD276*'Datu ievade'!AA391</f>
        <v>46680</v>
      </c>
      <c r="AB68" s="45">
        <f ca="1">'Datu ievade'!AE276*'Datu ievade'!AB391</f>
        <v>47519.999999999993</v>
      </c>
      <c r="AC68" s="45">
        <f ca="1">'Datu ievade'!AF276*'Datu ievade'!AC391</f>
        <v>48359.999999999993</v>
      </c>
      <c r="AD68" s="45">
        <f ca="1">'Datu ievade'!AG276*'Datu ievade'!AD391</f>
        <v>49080</v>
      </c>
      <c r="AE68" s="45">
        <f ca="1">'Datu ievade'!AH276*'Datu ievade'!AE391</f>
        <v>50040.000000000015</v>
      </c>
      <c r="AF68" s="45">
        <f ca="1">'Datu ievade'!AI276*'Datu ievade'!AF391</f>
        <v>51119.999999999993</v>
      </c>
      <c r="AG68" s="45">
        <f ca="1">'Datu ievade'!AJ276*'Datu ievade'!AG391</f>
        <v>51000</v>
      </c>
      <c r="AH68" s="45">
        <f ca="1">'Datu ievade'!AK276*'Datu ievade'!AH391</f>
        <v>51000</v>
      </c>
      <c r="AI68" s="45"/>
    </row>
    <row r="69" spans="1:253" s="44" customFormat="1" ht="12.75" x14ac:dyDescent="0.2">
      <c r="A69" s="47" t="s">
        <v>128</v>
      </c>
      <c r="B69" s="48">
        <f>SUM(B66:B68)</f>
        <v>239705</v>
      </c>
      <c r="C69" s="48">
        <f t="shared" ref="C69:AG69" si="12">SUM(C66:C68)</f>
        <v>233712.37500000003</v>
      </c>
      <c r="D69" s="48">
        <f t="shared" si="12"/>
        <v>250491.72499999998</v>
      </c>
      <c r="E69" s="48">
        <f t="shared" ca="1" si="12"/>
        <v>267271.07499999995</v>
      </c>
      <c r="F69" s="48">
        <f t="shared" ca="1" si="12"/>
        <v>277544.40000000002</v>
      </c>
      <c r="G69" s="48">
        <f t="shared" ca="1" si="12"/>
        <v>282761.39999999997</v>
      </c>
      <c r="H69" s="48">
        <f t="shared" ca="1" si="12"/>
        <v>287978.40000000002</v>
      </c>
      <c r="I69" s="48">
        <f t="shared" ca="1" si="12"/>
        <v>295282.19999999995</v>
      </c>
      <c r="J69" s="48">
        <f t="shared" ca="1" si="12"/>
        <v>300499.19999999995</v>
      </c>
      <c r="K69" s="48">
        <f t="shared" ca="1" si="12"/>
        <v>305716.20000000007</v>
      </c>
      <c r="L69" s="48">
        <f t="shared" ca="1" si="12"/>
        <v>309889.8</v>
      </c>
      <c r="M69" s="48">
        <f t="shared" ca="1" si="12"/>
        <v>316150.19999999995</v>
      </c>
      <c r="N69" s="48">
        <f t="shared" ca="1" si="12"/>
        <v>322410.59999999998</v>
      </c>
      <c r="O69" s="48">
        <f t="shared" ca="1" si="12"/>
        <v>328671</v>
      </c>
      <c r="P69" s="48">
        <f t="shared" ca="1" si="12"/>
        <v>330757.80000000005</v>
      </c>
      <c r="Q69" s="48">
        <f t="shared" ca="1" si="12"/>
        <v>332844.59999999992</v>
      </c>
      <c r="R69" s="48">
        <f t="shared" ca="1" si="12"/>
        <v>339105.00000000006</v>
      </c>
      <c r="S69" s="48">
        <f t="shared" ca="1" si="12"/>
        <v>346408.80000000005</v>
      </c>
      <c r="T69" s="48">
        <f t="shared" ca="1" si="12"/>
        <v>352669.20000000007</v>
      </c>
      <c r="U69" s="48">
        <f t="shared" ca="1" si="12"/>
        <v>365190</v>
      </c>
      <c r="V69" s="48">
        <f t="shared" ca="1" si="12"/>
        <v>371450.4</v>
      </c>
      <c r="W69" s="48">
        <f t="shared" ca="1" si="12"/>
        <v>378754.2</v>
      </c>
      <c r="X69" s="48">
        <f t="shared" ca="1" si="12"/>
        <v>385014.6</v>
      </c>
      <c r="Y69" s="48">
        <f t="shared" ca="1" si="12"/>
        <v>392318.39999999997</v>
      </c>
      <c r="Z69" s="48">
        <f t="shared" ca="1" si="12"/>
        <v>399622.2</v>
      </c>
      <c r="AA69" s="48">
        <f t="shared" ca="1" si="12"/>
        <v>405882.60000000003</v>
      </c>
      <c r="AB69" s="48">
        <f t="shared" ca="1" si="12"/>
        <v>413186.39999999997</v>
      </c>
      <c r="AC69" s="48">
        <f t="shared" ca="1" si="12"/>
        <v>420490.19999999995</v>
      </c>
      <c r="AD69" s="48">
        <f t="shared" ca="1" si="12"/>
        <v>426750.6</v>
      </c>
      <c r="AE69" s="48">
        <f t="shared" ca="1" si="12"/>
        <v>435097.80000000005</v>
      </c>
      <c r="AF69" s="48">
        <f t="shared" ca="1" si="12"/>
        <v>444488.39999999997</v>
      </c>
      <c r="AG69" s="48">
        <f t="shared" ca="1" si="12"/>
        <v>443445</v>
      </c>
      <c r="AH69" s="48">
        <f ca="1">SUM(AH66:AH68)</f>
        <v>443445</v>
      </c>
      <c r="AI69" s="48"/>
    </row>
    <row r="70" spans="1:253" s="44" customFormat="1" ht="12.75" x14ac:dyDescent="0.2">
      <c r="A70" s="46" t="s">
        <v>129</v>
      </c>
      <c r="B70" s="45">
        <f>'Datu ievade'!B398*'Datu ievade'!E295</f>
        <v>141802.5</v>
      </c>
      <c r="C70" s="45">
        <f>'Datu ievade'!C398*'Datu ievade'!F295</f>
        <v>148183.61250000002</v>
      </c>
      <c r="D70" s="45">
        <f>'Datu ievade'!D398*'Datu ievade'!G295</f>
        <v>163781.88749999998</v>
      </c>
      <c r="E70" s="45">
        <f ca="1">'Datu ievade'!E398*'Datu ievade'!H295</f>
        <v>179380.16250000001</v>
      </c>
      <c r="F70" s="45">
        <f ca="1">'Datu ievade'!F398*'Datu ievade'!I295</f>
        <v>194197.88500000001</v>
      </c>
      <c r="G70" s="45">
        <f ca="1">'Datu ievade'!G398*'Datu ievade'!J295</f>
        <v>197151.46499999997</v>
      </c>
      <c r="H70" s="45">
        <f ca="1">'Datu ievade'!H398*'Datu ievade'!K295</f>
        <v>203058.62500000003</v>
      </c>
      <c r="I70" s="45">
        <f ca="1">'Datu ievade'!I398*'Datu ievade'!L295</f>
        <v>206750.6</v>
      </c>
      <c r="J70" s="45">
        <f ca="1">'Datu ievade'!J398*'Datu ievade'!M295</f>
        <v>211919.36499999993</v>
      </c>
      <c r="K70" s="45">
        <f ca="1">'Datu ievade'!K398*'Datu ievade'!N295</f>
        <v>215611.34000000003</v>
      </c>
      <c r="L70" s="45">
        <f ca="1">'Datu ievade'!L398*'Datu ievade'!O295</f>
        <v>218564.91999999998</v>
      </c>
      <c r="M70" s="45">
        <f ca="1">'Datu ievade'!M398*'Datu ievade'!P295</f>
        <v>224472.08</v>
      </c>
      <c r="N70" s="45">
        <f ca="1">'Datu ievade'!N398*'Datu ievade'!Q295</f>
        <v>228902.45</v>
      </c>
      <c r="O70" s="45">
        <f ca="1">'Datu ievade'!O398*'Datu ievade'!R295</f>
        <v>232594.42500000005</v>
      </c>
      <c r="P70" s="45">
        <f ca="1">'Datu ievade'!P398*'Datu ievade'!S295</f>
        <v>227425.66</v>
      </c>
      <c r="Q70" s="45">
        <f ca="1">'Datu ievade'!Q398*'Datu ievade'!T295</f>
        <v>230379.24000000005</v>
      </c>
      <c r="R70" s="45">
        <f ca="1">'Datu ievade'!R398*'Datu ievade'!U295</f>
        <v>234809.61000000002</v>
      </c>
      <c r="S70" s="45">
        <f ca="1">'Datu ievade'!S398*'Datu ievade'!V295</f>
        <v>239978.375</v>
      </c>
      <c r="T70" s="45">
        <f ca="1">'Datu ievade'!T398*'Datu ievade'!W295</f>
        <v>245147.14000000004</v>
      </c>
      <c r="U70" s="45">
        <f ca="1">'Datu ievade'!U398*'Datu ievade'!X295</f>
        <v>256223.06499999997</v>
      </c>
      <c r="V70" s="45">
        <f ca="1">'Datu ievade'!V398*'Datu ievade'!Y295</f>
        <v>261391.83</v>
      </c>
      <c r="W70" s="45">
        <f ca="1">'Datu ievade'!W398*'Datu ievade'!Z295</f>
        <v>265822.2</v>
      </c>
      <c r="X70" s="45">
        <f ca="1">'Datu ievade'!X398*'Datu ievade'!AA295</f>
        <v>270990.96499999997</v>
      </c>
      <c r="Y70" s="45">
        <f ca="1">'Datu ievade'!Y398*'Datu ievade'!AB295</f>
        <v>275421.33500000002</v>
      </c>
      <c r="Z70" s="45">
        <f ca="1">'Datu ievade'!Z398*'Datu ievade'!AC295</f>
        <v>280590.09999999998</v>
      </c>
      <c r="AA70" s="45">
        <f ca="1">'Datu ievade'!AA398*'Datu ievade'!AD295</f>
        <v>285020.47000000003</v>
      </c>
      <c r="AB70" s="45">
        <f ca="1">'Datu ievade'!AB398*'Datu ievade'!AE295</f>
        <v>290189.23499999999</v>
      </c>
      <c r="AC70" s="45">
        <f ca="1">'Datu ievade'!AC398*'Datu ievade'!AF295</f>
        <v>294619.60500000004</v>
      </c>
      <c r="AD70" s="45">
        <f ca="1">'Datu ievade'!AD398*'Datu ievade'!AG295</f>
        <v>299049.97500000003</v>
      </c>
      <c r="AE70" s="45">
        <f ca="1">'Datu ievade'!AE398*'Datu ievade'!AH295</f>
        <v>304957.13500000001</v>
      </c>
      <c r="AF70" s="45">
        <f ca="1">'Datu ievade'!AF398*'Datu ievade'!AI295</f>
        <v>310864.29500000004</v>
      </c>
      <c r="AG70" s="45">
        <f ca="1">'Datu ievade'!AG398*'Datu ievade'!AJ295</f>
        <v>310864.29500000004</v>
      </c>
      <c r="AH70" s="45">
        <f ca="1">'Datu ievade'!AH398*'Datu ievade'!AK295</f>
        <v>311602.69</v>
      </c>
      <c r="AI70" s="45"/>
    </row>
    <row r="71" spans="1:253" s="44" customFormat="1" ht="12.75" x14ac:dyDescent="0.2">
      <c r="A71" s="46" t="s">
        <v>130</v>
      </c>
      <c r="B71" s="45">
        <f>'Datu ievade'!E304*'Datu ievade'!B398</f>
        <v>19000</v>
      </c>
      <c r="C71" s="45">
        <f>'Datu ievade'!F304*'Datu ievade'!C398</f>
        <v>19855</v>
      </c>
      <c r="D71" s="45">
        <f>'Datu ievade'!G304*'Datu ievade'!D398</f>
        <v>21945</v>
      </c>
      <c r="E71" s="45">
        <f ca="1">'Datu ievade'!H304*'Datu ievade'!E398</f>
        <v>24035</v>
      </c>
      <c r="F71" s="45">
        <f ca="1">'Datu ievade'!I304*'Datu ievade'!F398</f>
        <v>24985</v>
      </c>
      <c r="G71" s="45">
        <f ca="1">'Datu ievade'!J304*'Datu ievade'!G398</f>
        <v>25364.999999999996</v>
      </c>
      <c r="H71" s="45">
        <f ca="1">'Datu ievade'!K304*'Datu ievade'!H398</f>
        <v>26125.000000000004</v>
      </c>
      <c r="I71" s="45">
        <f ca="1">'Datu ievade'!L304*'Datu ievade'!I398</f>
        <v>26600.000000000004</v>
      </c>
      <c r="J71" s="45">
        <f ca="1">'Datu ievade'!M304*'Datu ievade'!J398</f>
        <v>27264.999999999993</v>
      </c>
      <c r="K71" s="45">
        <f ca="1">'Datu ievade'!N304*'Datu ievade'!K398</f>
        <v>27740.000000000004</v>
      </c>
      <c r="L71" s="45">
        <f ca="1">'Datu ievade'!O304*'Datu ievade'!L398</f>
        <v>28120</v>
      </c>
      <c r="M71" s="45">
        <f ca="1">'Datu ievade'!P304*'Datu ievade'!M398</f>
        <v>28880</v>
      </c>
      <c r="N71" s="45">
        <f ca="1">'Datu ievade'!Q304*'Datu ievade'!N398</f>
        <v>29450</v>
      </c>
      <c r="O71" s="45">
        <f ca="1">'Datu ievade'!R304*'Datu ievade'!O398</f>
        <v>29925.000000000007</v>
      </c>
      <c r="P71" s="45">
        <f ca="1">'Datu ievade'!S304*'Datu ievade'!P398</f>
        <v>29260</v>
      </c>
      <c r="Q71" s="45">
        <f ca="1">'Datu ievade'!T304*'Datu ievade'!Q398</f>
        <v>29640.000000000004</v>
      </c>
      <c r="R71" s="45">
        <f ca="1">'Datu ievade'!U304*'Datu ievade'!R398</f>
        <v>30210</v>
      </c>
      <c r="S71" s="45">
        <f ca="1">'Datu ievade'!V304*'Datu ievade'!S398</f>
        <v>30875</v>
      </c>
      <c r="T71" s="45">
        <f ca="1">'Datu ievade'!W304*'Datu ievade'!T398</f>
        <v>31540.000000000007</v>
      </c>
      <c r="U71" s="45">
        <f ca="1">'Datu ievade'!X304*'Datu ievade'!U398</f>
        <v>32965</v>
      </c>
      <c r="V71" s="45">
        <f ca="1">'Datu ievade'!Y304*'Datu ievade'!V398</f>
        <v>33630</v>
      </c>
      <c r="W71" s="45">
        <f ca="1">'Datu ievade'!Z304*'Datu ievade'!W398</f>
        <v>34200</v>
      </c>
      <c r="X71" s="45">
        <f ca="1">'Datu ievade'!AA304*'Datu ievade'!X398</f>
        <v>34865</v>
      </c>
      <c r="Y71" s="45">
        <f ca="1">'Datu ievade'!AB304*'Datu ievade'!Y398</f>
        <v>35435</v>
      </c>
      <c r="Z71" s="45">
        <f ca="1">'Datu ievade'!AC304*'Datu ievade'!Z398</f>
        <v>36100</v>
      </c>
      <c r="AA71" s="45">
        <f ca="1">'Datu ievade'!AD304*'Datu ievade'!AA398</f>
        <v>36670</v>
      </c>
      <c r="AB71" s="45">
        <f ca="1">'Datu ievade'!AE304*'Datu ievade'!AB398</f>
        <v>37334.999999999993</v>
      </c>
      <c r="AC71" s="45">
        <f ca="1">'Datu ievade'!AF304*'Datu ievade'!AC398</f>
        <v>37905</v>
      </c>
      <c r="AD71" s="45">
        <f ca="1">'Datu ievade'!AG304*'Datu ievade'!AD398</f>
        <v>38475</v>
      </c>
      <c r="AE71" s="45">
        <f ca="1">'Datu ievade'!AH304*'Datu ievade'!AE398</f>
        <v>39235</v>
      </c>
      <c r="AF71" s="45">
        <f ca="1">'Datu ievade'!AI304*'Datu ievade'!AF398</f>
        <v>39995.000000000007</v>
      </c>
      <c r="AG71" s="45">
        <f ca="1">'Datu ievade'!AJ304*'Datu ievade'!AG398</f>
        <v>39995.000000000007</v>
      </c>
      <c r="AH71" s="45">
        <f ca="1">'Datu ievade'!AK304*'Datu ievade'!AH398</f>
        <v>40090</v>
      </c>
      <c r="AI71" s="45"/>
    </row>
    <row r="72" spans="1:253" s="44" customFormat="1" ht="12.75" x14ac:dyDescent="0.2">
      <c r="A72" s="46" t="s">
        <v>131</v>
      </c>
      <c r="B72" s="45">
        <f>'Datu ievade'!B398*'Datu ievade'!E311</f>
        <v>14000</v>
      </c>
      <c r="C72" s="45">
        <f>'Datu ievade'!C398*'Datu ievade'!F311</f>
        <v>14630.000000000002</v>
      </c>
      <c r="D72" s="45">
        <f>'Datu ievade'!D398*'Datu ievade'!G311</f>
        <v>16169.999999999998</v>
      </c>
      <c r="E72" s="45">
        <f ca="1">'Datu ievade'!E398*'Datu ievade'!H311</f>
        <v>17710</v>
      </c>
      <c r="F72" s="45">
        <f ca="1">'Datu ievade'!F398*'Datu ievade'!I311</f>
        <v>18410</v>
      </c>
      <c r="G72" s="45">
        <f ca="1">'Datu ievade'!G398*'Datu ievade'!J311</f>
        <v>18689.999999999996</v>
      </c>
      <c r="H72" s="45">
        <f ca="1">'Datu ievade'!H398*'Datu ievade'!K311</f>
        <v>19250</v>
      </c>
      <c r="I72" s="45">
        <f ca="1">'Datu ievade'!I398*'Datu ievade'!L311</f>
        <v>19600.000000000004</v>
      </c>
      <c r="J72" s="45">
        <f ca="1">'Datu ievade'!J398*'Datu ievade'!M311</f>
        <v>20089.999999999993</v>
      </c>
      <c r="K72" s="45">
        <f ca="1">'Datu ievade'!K398*'Datu ievade'!N311</f>
        <v>20440.000000000004</v>
      </c>
      <c r="L72" s="45">
        <f ca="1">'Datu ievade'!L398*'Datu ievade'!O311</f>
        <v>20720</v>
      </c>
      <c r="M72" s="45">
        <f ca="1">'Datu ievade'!M398*'Datu ievade'!P311</f>
        <v>21280</v>
      </c>
      <c r="N72" s="45">
        <f ca="1">'Datu ievade'!N398*'Datu ievade'!Q311</f>
        <v>21700</v>
      </c>
      <c r="O72" s="45">
        <f ca="1">'Datu ievade'!O398*'Datu ievade'!R311</f>
        <v>22050.000000000004</v>
      </c>
      <c r="P72" s="45">
        <f ca="1">'Datu ievade'!P398*'Datu ievade'!S311</f>
        <v>21560</v>
      </c>
      <c r="Q72" s="45">
        <f ca="1">'Datu ievade'!Q398*'Datu ievade'!T311</f>
        <v>21840.000000000004</v>
      </c>
      <c r="R72" s="45">
        <f ca="1">'Datu ievade'!R398*'Datu ievade'!U311</f>
        <v>22260</v>
      </c>
      <c r="S72" s="45">
        <f ca="1">'Datu ievade'!S398*'Datu ievade'!V311</f>
        <v>22750</v>
      </c>
      <c r="T72" s="45">
        <f ca="1">'Datu ievade'!T398*'Datu ievade'!W311</f>
        <v>23240.000000000004</v>
      </c>
      <c r="U72" s="45">
        <f ca="1">'Datu ievade'!U398*'Datu ievade'!X311</f>
        <v>24290</v>
      </c>
      <c r="V72" s="45">
        <f ca="1">'Datu ievade'!V398*'Datu ievade'!Y311</f>
        <v>24780</v>
      </c>
      <c r="W72" s="45">
        <f ca="1">'Datu ievade'!W398*'Datu ievade'!Z311</f>
        <v>25200</v>
      </c>
      <c r="X72" s="45">
        <f ca="1">'Datu ievade'!X398*'Datu ievade'!AA311</f>
        <v>25690</v>
      </c>
      <c r="Y72" s="45">
        <f ca="1">'Datu ievade'!Y398*'Datu ievade'!AB311</f>
        <v>26110</v>
      </c>
      <c r="Z72" s="45">
        <f ca="1">'Datu ievade'!Z398*'Datu ievade'!AC311</f>
        <v>26600</v>
      </c>
      <c r="AA72" s="45">
        <f ca="1">'Datu ievade'!AA398*'Datu ievade'!AD311</f>
        <v>27020</v>
      </c>
      <c r="AB72" s="45">
        <f ca="1">'Datu ievade'!AB398*'Datu ievade'!AE311</f>
        <v>27509.999999999996</v>
      </c>
      <c r="AC72" s="45">
        <f ca="1">'Datu ievade'!AC398*'Datu ievade'!AF311</f>
        <v>27930</v>
      </c>
      <c r="AD72" s="45">
        <f ca="1">'Datu ievade'!AD398*'Datu ievade'!AG311</f>
        <v>28350.000000000004</v>
      </c>
      <c r="AE72" s="45">
        <f ca="1">'Datu ievade'!AE398*'Datu ievade'!AH311</f>
        <v>28910.000000000004</v>
      </c>
      <c r="AF72" s="45">
        <f ca="1">'Datu ievade'!AF398*'Datu ievade'!AI311</f>
        <v>29470.000000000004</v>
      </c>
      <c r="AG72" s="45">
        <f ca="1">'Datu ievade'!AG398*'Datu ievade'!AJ311</f>
        <v>29470.000000000004</v>
      </c>
      <c r="AH72" s="45">
        <f ca="1">'Datu ievade'!AH398*'Datu ievade'!AK311</f>
        <v>29540</v>
      </c>
      <c r="AI72" s="45"/>
    </row>
    <row r="73" spans="1:253" s="33" customFormat="1" ht="12.75" x14ac:dyDescent="0.2">
      <c r="A73" s="47" t="s">
        <v>132</v>
      </c>
      <c r="B73" s="49">
        <f>SUM(B70:B72)</f>
        <v>174802.5</v>
      </c>
      <c r="C73" s="49">
        <f t="shared" ref="C73:AG73" si="13">SUM(C70:C72)</f>
        <v>182668.61250000002</v>
      </c>
      <c r="D73" s="49">
        <f t="shared" si="13"/>
        <v>201896.88749999998</v>
      </c>
      <c r="E73" s="49">
        <f t="shared" ca="1" si="13"/>
        <v>221125.16250000001</v>
      </c>
      <c r="F73" s="49">
        <f t="shared" ca="1" si="13"/>
        <v>237592.88500000001</v>
      </c>
      <c r="G73" s="49">
        <f t="shared" ca="1" si="13"/>
        <v>241206.46499999997</v>
      </c>
      <c r="H73" s="49">
        <f t="shared" ca="1" si="13"/>
        <v>248433.62500000003</v>
      </c>
      <c r="I73" s="49">
        <f t="shared" ca="1" si="13"/>
        <v>252950.6</v>
      </c>
      <c r="J73" s="49">
        <f t="shared" ca="1" si="13"/>
        <v>259274.36499999993</v>
      </c>
      <c r="K73" s="49">
        <f t="shared" ca="1" si="13"/>
        <v>263791.34000000003</v>
      </c>
      <c r="L73" s="49">
        <f t="shared" ca="1" si="13"/>
        <v>267404.92</v>
      </c>
      <c r="M73" s="49">
        <f t="shared" ca="1" si="13"/>
        <v>274632.07999999996</v>
      </c>
      <c r="N73" s="49">
        <f t="shared" ca="1" si="13"/>
        <v>280052.45</v>
      </c>
      <c r="O73" s="49">
        <f t="shared" ca="1" si="13"/>
        <v>284569.42500000005</v>
      </c>
      <c r="P73" s="49">
        <f t="shared" ca="1" si="13"/>
        <v>278245.66000000003</v>
      </c>
      <c r="Q73" s="49">
        <f t="shared" ca="1" si="13"/>
        <v>281859.24000000005</v>
      </c>
      <c r="R73" s="49">
        <f t="shared" ca="1" si="13"/>
        <v>287279.61</v>
      </c>
      <c r="S73" s="49">
        <f t="shared" ca="1" si="13"/>
        <v>293603.375</v>
      </c>
      <c r="T73" s="49">
        <f t="shared" ca="1" si="13"/>
        <v>299927.14000000007</v>
      </c>
      <c r="U73" s="49">
        <f t="shared" ca="1" si="13"/>
        <v>313478.06499999994</v>
      </c>
      <c r="V73" s="49">
        <f t="shared" ca="1" si="13"/>
        <v>319801.82999999996</v>
      </c>
      <c r="W73" s="49">
        <f t="shared" ca="1" si="13"/>
        <v>325222.2</v>
      </c>
      <c r="X73" s="49">
        <f t="shared" ca="1" si="13"/>
        <v>331545.96499999997</v>
      </c>
      <c r="Y73" s="49">
        <f t="shared" ca="1" si="13"/>
        <v>336966.33500000002</v>
      </c>
      <c r="Z73" s="49">
        <f t="shared" ca="1" si="13"/>
        <v>343290.1</v>
      </c>
      <c r="AA73" s="49">
        <f t="shared" ca="1" si="13"/>
        <v>348710.47000000003</v>
      </c>
      <c r="AB73" s="49">
        <f t="shared" ca="1" si="13"/>
        <v>355034.23499999999</v>
      </c>
      <c r="AC73" s="49">
        <f t="shared" ca="1" si="13"/>
        <v>360454.60500000004</v>
      </c>
      <c r="AD73" s="49">
        <f t="shared" ca="1" si="13"/>
        <v>365874.97500000003</v>
      </c>
      <c r="AE73" s="49">
        <f t="shared" ca="1" si="13"/>
        <v>373102.13500000001</v>
      </c>
      <c r="AF73" s="49">
        <f t="shared" ca="1" si="13"/>
        <v>380329.29500000004</v>
      </c>
      <c r="AG73" s="49">
        <f t="shared" ca="1" si="13"/>
        <v>380329.29500000004</v>
      </c>
      <c r="AH73" s="49">
        <f ca="1">SUM(AH70:AH72)</f>
        <v>381232.69</v>
      </c>
      <c r="AI73" s="49"/>
    </row>
    <row r="74" spans="1:253" s="33" customFormat="1" ht="12.75" x14ac:dyDescent="0.2">
      <c r="A74" s="1" t="s">
        <v>133</v>
      </c>
      <c r="B74" s="49">
        <f>B73+B69</f>
        <v>414507.5</v>
      </c>
      <c r="C74" s="49">
        <f t="shared" ref="C74:AG74" si="14">C73+C69</f>
        <v>416380.98750000005</v>
      </c>
      <c r="D74" s="49">
        <f t="shared" si="14"/>
        <v>452388.61249999993</v>
      </c>
      <c r="E74" s="49">
        <f t="shared" ca="1" si="14"/>
        <v>488396.23749999993</v>
      </c>
      <c r="F74" s="49">
        <f t="shared" ca="1" si="14"/>
        <v>515137.28500000003</v>
      </c>
      <c r="G74" s="49">
        <f t="shared" ca="1" si="14"/>
        <v>523967.86499999993</v>
      </c>
      <c r="H74" s="49">
        <f t="shared" ca="1" si="14"/>
        <v>536412.02500000002</v>
      </c>
      <c r="I74" s="49">
        <f t="shared" ca="1" si="14"/>
        <v>548232.79999999993</v>
      </c>
      <c r="J74" s="49">
        <f t="shared" ca="1" si="14"/>
        <v>559773.56499999994</v>
      </c>
      <c r="K74" s="49">
        <f t="shared" ca="1" si="14"/>
        <v>569507.54</v>
      </c>
      <c r="L74" s="49">
        <f t="shared" ca="1" si="14"/>
        <v>577294.72</v>
      </c>
      <c r="M74" s="49">
        <f t="shared" ca="1" si="14"/>
        <v>590782.27999999991</v>
      </c>
      <c r="N74" s="49">
        <f t="shared" ca="1" si="14"/>
        <v>602463.05000000005</v>
      </c>
      <c r="O74" s="49">
        <f t="shared" ca="1" si="14"/>
        <v>613240.42500000005</v>
      </c>
      <c r="P74" s="49">
        <f t="shared" ca="1" si="14"/>
        <v>609003.46000000008</v>
      </c>
      <c r="Q74" s="49">
        <f t="shared" ca="1" si="14"/>
        <v>614703.84</v>
      </c>
      <c r="R74" s="49">
        <f t="shared" ca="1" si="14"/>
        <v>626384.6100000001</v>
      </c>
      <c r="S74" s="49">
        <f t="shared" ca="1" si="14"/>
        <v>640012.17500000005</v>
      </c>
      <c r="T74" s="49">
        <f t="shared" ca="1" si="14"/>
        <v>652596.34000000008</v>
      </c>
      <c r="U74" s="49">
        <f t="shared" ca="1" si="14"/>
        <v>678668.06499999994</v>
      </c>
      <c r="V74" s="49">
        <f t="shared" ca="1" si="14"/>
        <v>691252.23</v>
      </c>
      <c r="W74" s="49">
        <f t="shared" ca="1" si="14"/>
        <v>703976.4</v>
      </c>
      <c r="X74" s="49">
        <f t="shared" ca="1" si="14"/>
        <v>716560.56499999994</v>
      </c>
      <c r="Y74" s="49">
        <f t="shared" ca="1" si="14"/>
        <v>729284.73499999999</v>
      </c>
      <c r="Z74" s="49">
        <f t="shared" ca="1" si="14"/>
        <v>742912.3</v>
      </c>
      <c r="AA74" s="49">
        <f t="shared" ca="1" si="14"/>
        <v>754593.07000000007</v>
      </c>
      <c r="AB74" s="49">
        <f t="shared" ca="1" si="14"/>
        <v>768220.63500000001</v>
      </c>
      <c r="AC74" s="49">
        <f t="shared" ca="1" si="14"/>
        <v>780944.80499999993</v>
      </c>
      <c r="AD74" s="49">
        <f t="shared" ca="1" si="14"/>
        <v>792625.57499999995</v>
      </c>
      <c r="AE74" s="49">
        <f t="shared" ca="1" si="14"/>
        <v>808199.93500000006</v>
      </c>
      <c r="AF74" s="49">
        <f t="shared" ca="1" si="14"/>
        <v>824817.69500000007</v>
      </c>
      <c r="AG74" s="49">
        <f t="shared" ca="1" si="14"/>
        <v>823774.29500000004</v>
      </c>
      <c r="AH74" s="49">
        <f ca="1">AH73+AH69</f>
        <v>824677.69</v>
      </c>
      <c r="AI74" s="49"/>
    </row>
    <row r="75" spans="1:253" s="33" customFormat="1" ht="12.75" x14ac:dyDescent="0.2">
      <c r="A75" s="1" t="s">
        <v>134</v>
      </c>
      <c r="B75" s="49">
        <f>B74-B65</f>
        <v>57766.712899999984</v>
      </c>
      <c r="C75" s="49">
        <f t="shared" ref="C75:AG75" si="15">C74-C65</f>
        <v>41701.095303000067</v>
      </c>
      <c r="D75" s="49">
        <f t="shared" si="15"/>
        <v>43346.996689999942</v>
      </c>
      <c r="E75" s="49">
        <f t="shared" ca="1" si="15"/>
        <v>44992.898076999933</v>
      </c>
      <c r="F75" s="49">
        <f t="shared" ca="1" si="15"/>
        <v>58720.849835000001</v>
      </c>
      <c r="G75" s="49">
        <f t="shared" ca="1" si="15"/>
        <v>59470.23409299989</v>
      </c>
      <c r="H75" s="49">
        <f t="shared" ca="1" si="15"/>
        <v>58742.745551000116</v>
      </c>
      <c r="I75" s="49">
        <f t="shared" ca="1" si="15"/>
        <v>60616.407208999968</v>
      </c>
      <c r="J75" s="49">
        <f t="shared" ca="1" si="15"/>
        <v>63958.410866999882</v>
      </c>
      <c r="K75" s="49">
        <f t="shared" ca="1" si="15"/>
        <v>65493.624524999992</v>
      </c>
      <c r="L75" s="49">
        <f t="shared" ca="1" si="15"/>
        <v>65082.043183000002</v>
      </c>
      <c r="M75" s="49">
        <f t="shared" ca="1" si="15"/>
        <v>70370.841840999899</v>
      </c>
      <c r="N75" s="49">
        <f t="shared" ca="1" si="15"/>
        <v>70866.627699000062</v>
      </c>
      <c r="O75" s="49">
        <f t="shared" ca="1" si="15"/>
        <v>70569.018556999974</v>
      </c>
      <c r="P75" s="49">
        <f t="shared" ca="1" si="15"/>
        <v>54033.911544000031</v>
      </c>
      <c r="Q75" s="49">
        <f t="shared" ca="1" si="15"/>
        <v>47436.149531000061</v>
      </c>
      <c r="R75" s="49">
        <f t="shared" ca="1" si="15"/>
        <v>46818.777518000104</v>
      </c>
      <c r="S75" s="49">
        <f t="shared" ca="1" si="15"/>
        <v>48148.200505000073</v>
      </c>
      <c r="T75" s="49">
        <f t="shared" ca="1" si="15"/>
        <v>48434.223492000019</v>
      </c>
      <c r="U75" s="49">
        <f t="shared" ca="1" si="15"/>
        <v>62207.806478999904</v>
      </c>
      <c r="V75" s="49">
        <f t="shared" ca="1" si="15"/>
        <v>62493.829466000083</v>
      </c>
      <c r="W75" s="49">
        <f t="shared" ca="1" si="15"/>
        <v>62919.857453000033</v>
      </c>
      <c r="X75" s="49">
        <f t="shared" ca="1" si="15"/>
        <v>63205.880439999863</v>
      </c>
      <c r="Y75" s="49">
        <f t="shared" ca="1" si="15"/>
        <v>63631.908426999929</v>
      </c>
      <c r="Z75" s="49">
        <f t="shared" ca="1" si="15"/>
        <v>64961.331414000015</v>
      </c>
      <c r="AA75" s="49">
        <f t="shared" ca="1" si="15"/>
        <v>64343.959401000058</v>
      </c>
      <c r="AB75" s="49">
        <f t="shared" ca="1" si="15"/>
        <v>65673.382387999911</v>
      </c>
      <c r="AC75" s="49">
        <f t="shared" ca="1" si="15"/>
        <v>66099.410374999978</v>
      </c>
      <c r="AD75" s="49">
        <f t="shared" ca="1" si="15"/>
        <v>65482.038361999905</v>
      </c>
      <c r="AE75" s="49">
        <f t="shared" ca="1" si="15"/>
        <v>65772.033549000043</v>
      </c>
      <c r="AF75" s="49">
        <f t="shared" ca="1" si="15"/>
        <v>67215.428736000089</v>
      </c>
      <c r="AG75" s="49">
        <f t="shared" ca="1" si="15"/>
        <v>66600.028736000066</v>
      </c>
      <c r="AH75" s="49">
        <f ca="1">AH74-AH65</f>
        <v>67931.423735999968</v>
      </c>
      <c r="AI75" s="49"/>
    </row>
    <row r="76" spans="1:253" s="3" customFormat="1" x14ac:dyDescent="0.2"/>
    <row r="77" spans="1:253" s="6" customFormat="1" ht="47.25" x14ac:dyDescent="0.2">
      <c r="A77" s="453" t="s">
        <v>325</v>
      </c>
      <c r="B77" s="454"/>
      <c r="C77" s="454"/>
      <c r="D77" s="454"/>
      <c r="E77" s="455"/>
      <c r="F77" s="455"/>
      <c r="G77" s="455"/>
      <c r="H77" s="455"/>
      <c r="I77" s="455"/>
      <c r="J77" s="455"/>
      <c r="K77" s="455"/>
      <c r="L77" s="455"/>
      <c r="M77" s="455"/>
      <c r="N77" s="455"/>
      <c r="O77" s="455"/>
      <c r="P77" s="455"/>
      <c r="Q77" s="455"/>
      <c r="R77" s="455"/>
      <c r="S77" s="456"/>
      <c r="T77" s="456"/>
      <c r="U77" s="456"/>
      <c r="V77" s="456"/>
      <c r="W77" s="456"/>
      <c r="X77" s="456"/>
      <c r="Y77" s="456"/>
      <c r="Z77" s="456"/>
      <c r="AA77" s="456"/>
      <c r="AB77" s="456"/>
      <c r="AC77" s="456"/>
      <c r="AD77" s="456"/>
      <c r="AE77" s="456"/>
      <c r="AF77" s="456"/>
      <c r="AG77" s="456"/>
      <c r="AH77" s="456"/>
      <c r="AI77" s="9"/>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row>
    <row r="78" spans="1:253" s="6" customFormat="1" ht="12.75" x14ac:dyDescent="0.2">
      <c r="A78" s="574"/>
      <c r="B78" s="575"/>
      <c r="C78" s="575"/>
      <c r="D78" s="575"/>
      <c r="E78" s="437"/>
      <c r="F78" s="437"/>
      <c r="G78" s="437"/>
      <c r="H78" s="437"/>
      <c r="I78" s="437"/>
      <c r="J78" s="437"/>
      <c r="K78" s="437" t="s">
        <v>21</v>
      </c>
      <c r="L78" s="437"/>
      <c r="M78" s="437"/>
      <c r="N78" s="437"/>
      <c r="O78" s="437"/>
      <c r="P78" s="437"/>
      <c r="Q78" s="437"/>
      <c r="R78" s="437"/>
      <c r="S78" s="575"/>
      <c r="T78" s="575"/>
      <c r="U78" s="423"/>
      <c r="V78" s="423"/>
      <c r="W78" s="423"/>
      <c r="X78" s="423"/>
      <c r="Y78" s="423"/>
      <c r="Z78" s="423"/>
      <c r="AA78" s="423"/>
      <c r="AB78" s="423"/>
      <c r="AC78" s="423"/>
      <c r="AD78" s="423"/>
      <c r="AE78" s="423"/>
      <c r="AF78" s="423"/>
      <c r="AG78" s="423"/>
      <c r="AH78" s="423"/>
      <c r="AI78" s="7"/>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row>
    <row r="79" spans="1:253" s="13" customFormat="1" ht="12.75" x14ac:dyDescent="0.2">
      <c r="A79" s="417"/>
      <c r="B79" s="460">
        <f>'Saimnieciskas pamatdarbibas NP'!B5</f>
        <v>2014</v>
      </c>
      <c r="C79" s="460">
        <f t="shared" ref="C79:AG79" si="16">B79+1</f>
        <v>2015</v>
      </c>
      <c r="D79" s="460">
        <f t="shared" si="16"/>
        <v>2016</v>
      </c>
      <c r="E79" s="460">
        <f t="shared" si="16"/>
        <v>2017</v>
      </c>
      <c r="F79" s="460">
        <f t="shared" si="16"/>
        <v>2018</v>
      </c>
      <c r="G79" s="460">
        <f t="shared" si="16"/>
        <v>2019</v>
      </c>
      <c r="H79" s="460">
        <f t="shared" si="16"/>
        <v>2020</v>
      </c>
      <c r="I79" s="460">
        <f t="shared" si="16"/>
        <v>2021</v>
      </c>
      <c r="J79" s="460">
        <f t="shared" si="16"/>
        <v>2022</v>
      </c>
      <c r="K79" s="460">
        <f t="shared" si="16"/>
        <v>2023</v>
      </c>
      <c r="L79" s="460">
        <f t="shared" si="16"/>
        <v>2024</v>
      </c>
      <c r="M79" s="460">
        <f t="shared" si="16"/>
        <v>2025</v>
      </c>
      <c r="N79" s="460">
        <f t="shared" si="16"/>
        <v>2026</v>
      </c>
      <c r="O79" s="460">
        <f t="shared" si="16"/>
        <v>2027</v>
      </c>
      <c r="P79" s="460">
        <f t="shared" si="16"/>
        <v>2028</v>
      </c>
      <c r="Q79" s="460">
        <f t="shared" si="16"/>
        <v>2029</v>
      </c>
      <c r="R79" s="460">
        <f t="shared" si="16"/>
        <v>2030</v>
      </c>
      <c r="S79" s="460">
        <f t="shared" si="16"/>
        <v>2031</v>
      </c>
      <c r="T79" s="460">
        <f t="shared" si="16"/>
        <v>2032</v>
      </c>
      <c r="U79" s="460">
        <f t="shared" si="16"/>
        <v>2033</v>
      </c>
      <c r="V79" s="460">
        <f t="shared" si="16"/>
        <v>2034</v>
      </c>
      <c r="W79" s="460">
        <f t="shared" si="16"/>
        <v>2035</v>
      </c>
      <c r="X79" s="460">
        <f t="shared" si="16"/>
        <v>2036</v>
      </c>
      <c r="Y79" s="460">
        <f t="shared" si="16"/>
        <v>2037</v>
      </c>
      <c r="Z79" s="460">
        <f t="shared" si="16"/>
        <v>2038</v>
      </c>
      <c r="AA79" s="460">
        <f t="shared" si="16"/>
        <v>2039</v>
      </c>
      <c r="AB79" s="460">
        <f t="shared" si="16"/>
        <v>2040</v>
      </c>
      <c r="AC79" s="460">
        <f t="shared" si="16"/>
        <v>2041</v>
      </c>
      <c r="AD79" s="460">
        <f t="shared" si="16"/>
        <v>2042</v>
      </c>
      <c r="AE79" s="460">
        <f t="shared" si="16"/>
        <v>2043</v>
      </c>
      <c r="AF79" s="460">
        <f t="shared" si="16"/>
        <v>2044</v>
      </c>
      <c r="AG79" s="460">
        <f t="shared" si="16"/>
        <v>2045</v>
      </c>
      <c r="AH79" s="460">
        <f>AG79+1</f>
        <v>2046</v>
      </c>
      <c r="AI79" s="10"/>
    </row>
    <row r="80" spans="1:253" s="13" customFormat="1" ht="12.75" x14ac:dyDescent="0.2">
      <c r="A80" s="576" t="s">
        <v>104</v>
      </c>
      <c r="B80" s="577"/>
      <c r="C80" s="577"/>
      <c r="D80" s="577"/>
      <c r="E80" s="577"/>
      <c r="F80" s="577"/>
      <c r="G80" s="577"/>
      <c r="H80" s="577"/>
      <c r="I80" s="577"/>
      <c r="J80" s="577"/>
      <c r="K80" s="577"/>
      <c r="L80" s="577"/>
      <c r="M80" s="577"/>
      <c r="N80" s="577"/>
      <c r="O80" s="577"/>
      <c r="P80" s="577"/>
      <c r="Q80" s="577"/>
      <c r="R80" s="577"/>
      <c r="S80" s="577"/>
      <c r="T80" s="577"/>
      <c r="U80" s="467"/>
      <c r="V80" s="467"/>
      <c r="W80" s="467"/>
      <c r="X80" s="467"/>
      <c r="Y80" s="467"/>
      <c r="Z80" s="461"/>
      <c r="AA80" s="461"/>
      <c r="AB80" s="461"/>
      <c r="AC80" s="461"/>
      <c r="AD80" s="461"/>
      <c r="AE80" s="461"/>
      <c r="AF80" s="461"/>
      <c r="AG80" s="461"/>
      <c r="AH80" s="461"/>
      <c r="AI80" s="11"/>
    </row>
    <row r="81" spans="1:35" s="13" customFormat="1" ht="12.75" x14ac:dyDescent="0.2">
      <c r="A81" s="578" t="s">
        <v>105</v>
      </c>
      <c r="B81" s="482">
        <f t="shared" ref="B81:B100" si="17">B44-B7</f>
        <v>0</v>
      </c>
      <c r="C81" s="482">
        <f t="shared" ref="C81:AG89" si="18">C44-C7</f>
        <v>0</v>
      </c>
      <c r="D81" s="482">
        <f t="shared" si="18"/>
        <v>-5000</v>
      </c>
      <c r="E81" s="482">
        <f t="shared" si="18"/>
        <v>-10000</v>
      </c>
      <c r="F81" s="482">
        <f t="shared" si="18"/>
        <v>-11000</v>
      </c>
      <c r="G81" s="482">
        <f t="shared" si="18"/>
        <v>-11200</v>
      </c>
      <c r="H81" s="482">
        <f t="shared" si="18"/>
        <v>-12540</v>
      </c>
      <c r="I81" s="482">
        <f t="shared" si="18"/>
        <v>-12760</v>
      </c>
      <c r="J81" s="482">
        <f t="shared" si="18"/>
        <v>-12980</v>
      </c>
      <c r="K81" s="482">
        <f t="shared" si="18"/>
        <v>-13200</v>
      </c>
      <c r="L81" s="482">
        <f t="shared" si="18"/>
        <v>-13420</v>
      </c>
      <c r="M81" s="482">
        <f t="shared" si="18"/>
        <v>-13640</v>
      </c>
      <c r="N81" s="482">
        <f t="shared" si="18"/>
        <v>-13860</v>
      </c>
      <c r="O81" s="482">
        <f t="shared" si="18"/>
        <v>-14190</v>
      </c>
      <c r="P81" s="482">
        <f t="shared" si="18"/>
        <v>-14520</v>
      </c>
      <c r="Q81" s="482">
        <f t="shared" si="18"/>
        <v>-14850</v>
      </c>
      <c r="R81" s="482">
        <f t="shared" si="18"/>
        <v>-15180</v>
      </c>
      <c r="S81" s="482">
        <f t="shared" si="18"/>
        <v>-15510</v>
      </c>
      <c r="T81" s="482">
        <f t="shared" si="18"/>
        <v>-15840</v>
      </c>
      <c r="U81" s="482">
        <f t="shared" si="18"/>
        <v>-16170</v>
      </c>
      <c r="V81" s="482">
        <f t="shared" si="18"/>
        <v>-16500</v>
      </c>
      <c r="W81" s="482">
        <f t="shared" si="18"/>
        <v>-16830</v>
      </c>
      <c r="X81" s="482">
        <f t="shared" si="18"/>
        <v>-17160</v>
      </c>
      <c r="Y81" s="482">
        <f t="shared" si="18"/>
        <v>-17490</v>
      </c>
      <c r="Z81" s="482">
        <f t="shared" si="18"/>
        <v>-17820</v>
      </c>
      <c r="AA81" s="482">
        <f t="shared" si="18"/>
        <v>-18150</v>
      </c>
      <c r="AB81" s="482">
        <f t="shared" si="18"/>
        <v>-18480</v>
      </c>
      <c r="AC81" s="482">
        <f t="shared" si="18"/>
        <v>-18810</v>
      </c>
      <c r="AD81" s="482">
        <f t="shared" si="18"/>
        <v>-19140</v>
      </c>
      <c r="AE81" s="482">
        <f t="shared" si="18"/>
        <v>-19470</v>
      </c>
      <c r="AF81" s="482">
        <f t="shared" si="18"/>
        <v>-19910</v>
      </c>
      <c r="AG81" s="482">
        <f t="shared" si="18"/>
        <v>-20350</v>
      </c>
      <c r="AH81" s="482">
        <f t="shared" ref="AH81:AH96" si="19">AH44-AH7</f>
        <v>-20790</v>
      </c>
      <c r="AI81" s="17"/>
    </row>
    <row r="82" spans="1:35" s="13" customFormat="1" ht="12.75" x14ac:dyDescent="0.2">
      <c r="A82" s="579" t="s">
        <v>106</v>
      </c>
      <c r="B82" s="482">
        <f t="shared" si="17"/>
        <v>0</v>
      </c>
      <c r="C82" s="482">
        <f t="shared" ref="C82:Q82" si="20">C45-C8</f>
        <v>0</v>
      </c>
      <c r="D82" s="482">
        <f t="shared" si="20"/>
        <v>6280</v>
      </c>
      <c r="E82" s="482">
        <f t="shared" si="20"/>
        <v>12559.999999999993</v>
      </c>
      <c r="F82" s="482">
        <f t="shared" si="20"/>
        <v>14067.200000000004</v>
      </c>
      <c r="G82" s="482">
        <f t="shared" si="20"/>
        <v>14318.400000000001</v>
      </c>
      <c r="H82" s="482">
        <f t="shared" si="20"/>
        <v>14569.599999999999</v>
      </c>
      <c r="I82" s="482">
        <f t="shared" si="20"/>
        <v>16599.296000000002</v>
      </c>
      <c r="J82" s="482">
        <f t="shared" si="20"/>
        <v>16880.64</v>
      </c>
      <c r="K82" s="482">
        <f t="shared" si="20"/>
        <v>17161.983999999997</v>
      </c>
      <c r="L82" s="482">
        <f t="shared" si="20"/>
        <v>17443.328000000009</v>
      </c>
      <c r="M82" s="482">
        <f t="shared" si="20"/>
        <v>17724.672000000006</v>
      </c>
      <c r="N82" s="482">
        <f t="shared" si="20"/>
        <v>18146.687999999995</v>
      </c>
      <c r="O82" s="482">
        <f t="shared" si="20"/>
        <v>18568.703999999998</v>
      </c>
      <c r="P82" s="482">
        <f t="shared" si="20"/>
        <v>18990.72</v>
      </c>
      <c r="Q82" s="482">
        <f t="shared" si="20"/>
        <v>19412.736000000004</v>
      </c>
      <c r="R82" s="482">
        <f t="shared" si="18"/>
        <v>19834.752000000008</v>
      </c>
      <c r="S82" s="482">
        <f t="shared" si="18"/>
        <v>20256.767999999996</v>
      </c>
      <c r="T82" s="482">
        <f t="shared" si="18"/>
        <v>20678.784</v>
      </c>
      <c r="U82" s="482">
        <f t="shared" si="18"/>
        <v>21100.800000000003</v>
      </c>
      <c r="V82" s="482">
        <f t="shared" si="18"/>
        <v>21522.816000000006</v>
      </c>
      <c r="W82" s="482">
        <f t="shared" si="18"/>
        <v>21944.831999999995</v>
      </c>
      <c r="X82" s="482">
        <f t="shared" si="18"/>
        <v>22366.847999999998</v>
      </c>
      <c r="Y82" s="482">
        <f t="shared" si="18"/>
        <v>22788.864000000001</v>
      </c>
      <c r="Z82" s="482">
        <f t="shared" si="18"/>
        <v>23210.880000000005</v>
      </c>
      <c r="AA82" s="482">
        <f t="shared" si="18"/>
        <v>23632.896000000008</v>
      </c>
      <c r="AB82" s="482">
        <f t="shared" si="18"/>
        <v>24054.911999999997</v>
      </c>
      <c r="AC82" s="482">
        <f t="shared" si="18"/>
        <v>24476.928</v>
      </c>
      <c r="AD82" s="482">
        <f t="shared" si="18"/>
        <v>24898.944000000003</v>
      </c>
      <c r="AE82" s="482">
        <f t="shared" si="18"/>
        <v>25461.631999999998</v>
      </c>
      <c r="AF82" s="482">
        <f t="shared" si="18"/>
        <v>26024.320000000007</v>
      </c>
      <c r="AG82" s="482">
        <f t="shared" si="18"/>
        <v>26024.320000000007</v>
      </c>
      <c r="AH82" s="482">
        <f t="shared" si="19"/>
        <v>26024.320000000007</v>
      </c>
      <c r="AI82" s="17"/>
    </row>
    <row r="83" spans="1:35" s="13" customFormat="1" ht="12.75" x14ac:dyDescent="0.2">
      <c r="A83" s="579" t="s">
        <v>107</v>
      </c>
      <c r="B83" s="482">
        <f t="shared" si="17"/>
        <v>0</v>
      </c>
      <c r="C83" s="482">
        <f t="shared" si="18"/>
        <v>0</v>
      </c>
      <c r="D83" s="482">
        <f t="shared" si="18"/>
        <v>700</v>
      </c>
      <c r="E83" s="482">
        <f t="shared" si="18"/>
        <v>1400</v>
      </c>
      <c r="F83" s="482">
        <f t="shared" si="18"/>
        <v>1568</v>
      </c>
      <c r="G83" s="482">
        <f t="shared" si="18"/>
        <v>1596</v>
      </c>
      <c r="H83" s="482">
        <f t="shared" si="18"/>
        <v>1818.880000000001</v>
      </c>
      <c r="I83" s="482">
        <f t="shared" si="18"/>
        <v>1850.2399999999998</v>
      </c>
      <c r="J83" s="482">
        <f t="shared" si="18"/>
        <v>1881.6000000000004</v>
      </c>
      <c r="K83" s="482">
        <f t="shared" si="18"/>
        <v>1912.9600000000009</v>
      </c>
      <c r="L83" s="482">
        <f t="shared" si="18"/>
        <v>1944.3199999999997</v>
      </c>
      <c r="M83" s="482">
        <f t="shared" si="18"/>
        <v>1975.6800000000003</v>
      </c>
      <c r="N83" s="482">
        <f t="shared" si="18"/>
        <v>2022.7200000000012</v>
      </c>
      <c r="O83" s="482">
        <f t="shared" si="18"/>
        <v>2069.7600000000002</v>
      </c>
      <c r="P83" s="482">
        <f t="shared" si="18"/>
        <v>2116.8000000000011</v>
      </c>
      <c r="Q83" s="482">
        <f t="shared" si="18"/>
        <v>2163.84</v>
      </c>
      <c r="R83" s="482">
        <f t="shared" si="18"/>
        <v>2210.880000000001</v>
      </c>
      <c r="S83" s="482">
        <f t="shared" si="18"/>
        <v>2257.92</v>
      </c>
      <c r="T83" s="482">
        <f t="shared" si="18"/>
        <v>2304.9600000000009</v>
      </c>
      <c r="U83" s="482">
        <f t="shared" si="18"/>
        <v>2352</v>
      </c>
      <c r="V83" s="482">
        <f t="shared" si="18"/>
        <v>2399.0399999999991</v>
      </c>
      <c r="W83" s="482">
        <f t="shared" si="18"/>
        <v>2446.08</v>
      </c>
      <c r="X83" s="482">
        <f t="shared" si="18"/>
        <v>2493.119999999999</v>
      </c>
      <c r="Y83" s="482">
        <f t="shared" si="18"/>
        <v>2540.16</v>
      </c>
      <c r="Z83" s="482">
        <f t="shared" si="18"/>
        <v>2587.2000000000007</v>
      </c>
      <c r="AA83" s="482">
        <f t="shared" si="18"/>
        <v>2634.2400000000016</v>
      </c>
      <c r="AB83" s="482">
        <f t="shared" si="18"/>
        <v>2681.2799999999988</v>
      </c>
      <c r="AC83" s="482">
        <f t="shared" si="18"/>
        <v>2728.3199999999997</v>
      </c>
      <c r="AD83" s="482">
        <f t="shared" si="18"/>
        <v>2775.3600000000006</v>
      </c>
      <c r="AE83" s="482">
        <f t="shared" si="18"/>
        <v>2838.0800000000017</v>
      </c>
      <c r="AF83" s="482">
        <f t="shared" si="18"/>
        <v>2900.7999999999993</v>
      </c>
      <c r="AG83" s="482">
        <f t="shared" si="18"/>
        <v>2900.7999999999993</v>
      </c>
      <c r="AH83" s="482">
        <f t="shared" si="19"/>
        <v>2900.7999999999993</v>
      </c>
      <c r="AI83" s="17"/>
    </row>
    <row r="84" spans="1:35" s="13" customFormat="1" ht="12.75" x14ac:dyDescent="0.2">
      <c r="A84" s="579" t="s">
        <v>108</v>
      </c>
      <c r="B84" s="482">
        <f t="shared" si="17"/>
        <v>0</v>
      </c>
      <c r="C84" s="482">
        <f t="shared" si="18"/>
        <v>0</v>
      </c>
      <c r="D84" s="482">
        <f t="shared" si="18"/>
        <v>7894.5</v>
      </c>
      <c r="E84" s="482">
        <f t="shared" si="18"/>
        <v>15789</v>
      </c>
      <c r="F84" s="482">
        <f t="shared" si="18"/>
        <v>17683.68</v>
      </c>
      <c r="G84" s="482">
        <f t="shared" si="18"/>
        <v>17999.46</v>
      </c>
      <c r="H84" s="482">
        <f t="shared" si="18"/>
        <v>20513.068799999994</v>
      </c>
      <c r="I84" s="482">
        <f t="shared" si="18"/>
        <v>20866.742399999996</v>
      </c>
      <c r="J84" s="482">
        <f t="shared" si="18"/>
        <v>21220.416000000005</v>
      </c>
      <c r="K84" s="482">
        <f t="shared" si="18"/>
        <v>21574.089599999999</v>
      </c>
      <c r="L84" s="482">
        <f t="shared" si="18"/>
        <v>21927.763200000001</v>
      </c>
      <c r="M84" s="482">
        <f t="shared" si="18"/>
        <v>22281.436799999996</v>
      </c>
      <c r="N84" s="482">
        <f t="shared" si="18"/>
        <v>22811.947200000002</v>
      </c>
      <c r="O84" s="482">
        <f t="shared" si="18"/>
        <v>23342.457600000002</v>
      </c>
      <c r="P84" s="482">
        <f t="shared" si="18"/>
        <v>23872.968000000008</v>
      </c>
      <c r="Q84" s="482">
        <f t="shared" si="18"/>
        <v>24403.478400000007</v>
      </c>
      <c r="R84" s="482">
        <f t="shared" si="18"/>
        <v>24933.988799999992</v>
      </c>
      <c r="S84" s="482">
        <f t="shared" si="18"/>
        <v>25464.499199999998</v>
      </c>
      <c r="T84" s="482">
        <f t="shared" si="18"/>
        <v>25995.009599999998</v>
      </c>
      <c r="U84" s="482">
        <f t="shared" si="18"/>
        <v>26525.520000000004</v>
      </c>
      <c r="V84" s="482">
        <f t="shared" si="18"/>
        <v>27056.030399999996</v>
      </c>
      <c r="W84" s="482">
        <f t="shared" si="18"/>
        <v>27586.540799999995</v>
      </c>
      <c r="X84" s="482">
        <f t="shared" si="18"/>
        <v>28117.051200000002</v>
      </c>
      <c r="Y84" s="482">
        <f t="shared" si="18"/>
        <v>28647.561600000001</v>
      </c>
      <c r="Z84" s="482">
        <f t="shared" si="18"/>
        <v>29178.072</v>
      </c>
      <c r="AA84" s="482">
        <f t="shared" si="18"/>
        <v>29708.582399999992</v>
      </c>
      <c r="AB84" s="482">
        <f t="shared" si="18"/>
        <v>30239.092800000006</v>
      </c>
      <c r="AC84" s="482">
        <f t="shared" si="18"/>
        <v>30769.603199999998</v>
      </c>
      <c r="AD84" s="482">
        <f t="shared" si="18"/>
        <v>31300.113599999997</v>
      </c>
      <c r="AE84" s="482">
        <f t="shared" si="18"/>
        <v>32007.460800000008</v>
      </c>
      <c r="AF84" s="482">
        <f t="shared" si="18"/>
        <v>32714.808000000005</v>
      </c>
      <c r="AG84" s="482">
        <f t="shared" si="18"/>
        <v>32714.808000000005</v>
      </c>
      <c r="AH84" s="482">
        <f t="shared" si="19"/>
        <v>32714.808000000005</v>
      </c>
      <c r="AI84" s="17"/>
    </row>
    <row r="85" spans="1:35" s="13" customFormat="1" ht="25.5" x14ac:dyDescent="0.2">
      <c r="A85" s="579" t="s">
        <v>561</v>
      </c>
      <c r="B85" s="482">
        <f t="shared" si="17"/>
        <v>0</v>
      </c>
      <c r="C85" s="482">
        <f t="shared" si="18"/>
        <v>0</v>
      </c>
      <c r="D85" s="482">
        <f t="shared" si="18"/>
        <v>0</v>
      </c>
      <c r="E85" s="482">
        <f t="shared" si="18"/>
        <v>0</v>
      </c>
      <c r="F85" s="482">
        <f t="shared" si="18"/>
        <v>0</v>
      </c>
      <c r="G85" s="482">
        <f t="shared" si="18"/>
        <v>0</v>
      </c>
      <c r="H85" s="482">
        <f t="shared" si="18"/>
        <v>0</v>
      </c>
      <c r="I85" s="482">
        <f t="shared" si="18"/>
        <v>0</v>
      </c>
      <c r="J85" s="482">
        <f t="shared" si="18"/>
        <v>0</v>
      </c>
      <c r="K85" s="482">
        <f t="shared" si="18"/>
        <v>0</v>
      </c>
      <c r="L85" s="482">
        <f t="shared" si="18"/>
        <v>0</v>
      </c>
      <c r="M85" s="482">
        <f t="shared" si="18"/>
        <v>0</v>
      </c>
      <c r="N85" s="482">
        <f t="shared" si="18"/>
        <v>0</v>
      </c>
      <c r="O85" s="482">
        <f t="shared" si="18"/>
        <v>0</v>
      </c>
      <c r="P85" s="482">
        <f t="shared" si="18"/>
        <v>0</v>
      </c>
      <c r="Q85" s="482">
        <f t="shared" si="18"/>
        <v>0</v>
      </c>
      <c r="R85" s="482">
        <f t="shared" si="18"/>
        <v>0</v>
      </c>
      <c r="S85" s="482">
        <f t="shared" si="18"/>
        <v>0</v>
      </c>
      <c r="T85" s="482">
        <f t="shared" si="18"/>
        <v>0</v>
      </c>
      <c r="U85" s="482">
        <f t="shared" si="18"/>
        <v>0</v>
      </c>
      <c r="V85" s="482">
        <f t="shared" si="18"/>
        <v>0</v>
      </c>
      <c r="W85" s="482">
        <f t="shared" si="18"/>
        <v>0</v>
      </c>
      <c r="X85" s="482">
        <f t="shared" si="18"/>
        <v>0</v>
      </c>
      <c r="Y85" s="482">
        <f t="shared" si="18"/>
        <v>0</v>
      </c>
      <c r="Z85" s="482">
        <f t="shared" si="18"/>
        <v>0</v>
      </c>
      <c r="AA85" s="482">
        <f t="shared" si="18"/>
        <v>0</v>
      </c>
      <c r="AB85" s="482">
        <f t="shared" si="18"/>
        <v>0</v>
      </c>
      <c r="AC85" s="482">
        <f t="shared" si="18"/>
        <v>0</v>
      </c>
      <c r="AD85" s="482">
        <f t="shared" si="18"/>
        <v>0</v>
      </c>
      <c r="AE85" s="482">
        <f t="shared" si="18"/>
        <v>0</v>
      </c>
      <c r="AF85" s="482">
        <f t="shared" si="18"/>
        <v>0</v>
      </c>
      <c r="AG85" s="482">
        <f t="shared" si="18"/>
        <v>0</v>
      </c>
      <c r="AH85" s="482">
        <f t="shared" si="19"/>
        <v>0</v>
      </c>
      <c r="AI85" s="17"/>
    </row>
    <row r="86" spans="1:35" s="13" customFormat="1" ht="12.75" x14ac:dyDescent="0.2">
      <c r="A86" s="580" t="s">
        <v>109</v>
      </c>
      <c r="B86" s="482">
        <f t="shared" si="17"/>
        <v>0</v>
      </c>
      <c r="C86" s="482">
        <f t="shared" si="18"/>
        <v>0</v>
      </c>
      <c r="D86" s="482">
        <f t="shared" si="18"/>
        <v>0</v>
      </c>
      <c r="E86" s="482">
        <f t="shared" si="18"/>
        <v>0</v>
      </c>
      <c r="F86" s="482">
        <f t="shared" si="18"/>
        <v>0</v>
      </c>
      <c r="G86" s="482">
        <f t="shared" si="18"/>
        <v>0</v>
      </c>
      <c r="H86" s="482">
        <f t="shared" si="18"/>
        <v>0</v>
      </c>
      <c r="I86" s="482">
        <f t="shared" si="18"/>
        <v>0</v>
      </c>
      <c r="J86" s="482">
        <f t="shared" si="18"/>
        <v>0</v>
      </c>
      <c r="K86" s="482">
        <f t="shared" si="18"/>
        <v>0</v>
      </c>
      <c r="L86" s="482">
        <f t="shared" si="18"/>
        <v>0</v>
      </c>
      <c r="M86" s="482">
        <f t="shared" si="18"/>
        <v>0</v>
      </c>
      <c r="N86" s="482">
        <f t="shared" si="18"/>
        <v>0</v>
      </c>
      <c r="O86" s="482">
        <f t="shared" si="18"/>
        <v>0</v>
      </c>
      <c r="P86" s="482">
        <f t="shared" si="18"/>
        <v>0</v>
      </c>
      <c r="Q86" s="482">
        <f t="shared" si="18"/>
        <v>0</v>
      </c>
      <c r="R86" s="482">
        <f t="shared" si="18"/>
        <v>0</v>
      </c>
      <c r="S86" s="482">
        <f t="shared" si="18"/>
        <v>0</v>
      </c>
      <c r="T86" s="482">
        <f t="shared" si="18"/>
        <v>0</v>
      </c>
      <c r="U86" s="482">
        <f t="shared" si="18"/>
        <v>0</v>
      </c>
      <c r="V86" s="482">
        <f t="shared" si="18"/>
        <v>0</v>
      </c>
      <c r="W86" s="482">
        <f t="shared" si="18"/>
        <v>0</v>
      </c>
      <c r="X86" s="482">
        <f t="shared" si="18"/>
        <v>0</v>
      </c>
      <c r="Y86" s="482">
        <f t="shared" si="18"/>
        <v>0</v>
      </c>
      <c r="Z86" s="482">
        <f t="shared" si="18"/>
        <v>0</v>
      </c>
      <c r="AA86" s="482">
        <f t="shared" si="18"/>
        <v>0</v>
      </c>
      <c r="AB86" s="482">
        <f t="shared" si="18"/>
        <v>0</v>
      </c>
      <c r="AC86" s="482">
        <f t="shared" si="18"/>
        <v>0</v>
      </c>
      <c r="AD86" s="482">
        <f t="shared" si="18"/>
        <v>0</v>
      </c>
      <c r="AE86" s="482">
        <f t="shared" si="18"/>
        <v>0</v>
      </c>
      <c r="AF86" s="482">
        <f t="shared" si="18"/>
        <v>0</v>
      </c>
      <c r="AG86" s="482">
        <f t="shared" si="18"/>
        <v>0</v>
      </c>
      <c r="AH86" s="482">
        <f t="shared" si="19"/>
        <v>0</v>
      </c>
      <c r="AI86" s="17"/>
    </row>
    <row r="87" spans="1:35" s="13" customFormat="1" ht="12.75" x14ac:dyDescent="0.2">
      <c r="A87" s="578" t="s">
        <v>110</v>
      </c>
      <c r="B87" s="482">
        <f t="shared" si="17"/>
        <v>0</v>
      </c>
      <c r="C87" s="482">
        <f t="shared" si="18"/>
        <v>0</v>
      </c>
      <c r="D87" s="482">
        <f t="shared" si="18"/>
        <v>-3950</v>
      </c>
      <c r="E87" s="482">
        <f t="shared" si="18"/>
        <v>-7900</v>
      </c>
      <c r="F87" s="482">
        <f t="shared" si="18"/>
        <v>-8848</v>
      </c>
      <c r="G87" s="482">
        <f t="shared" si="18"/>
        <v>-9006</v>
      </c>
      <c r="H87" s="482">
        <f t="shared" si="18"/>
        <v>-10263.679999999997</v>
      </c>
      <c r="I87" s="482">
        <f t="shared" si="18"/>
        <v>-10440.64</v>
      </c>
      <c r="J87" s="482">
        <f t="shared" si="18"/>
        <v>-10617.599999999999</v>
      </c>
      <c r="K87" s="482">
        <f t="shared" si="18"/>
        <v>-10794.559999999998</v>
      </c>
      <c r="L87" s="482">
        <f t="shared" si="18"/>
        <v>-10971.52</v>
      </c>
      <c r="M87" s="482">
        <f t="shared" si="18"/>
        <v>-11148.48</v>
      </c>
      <c r="N87" s="482">
        <f t="shared" si="18"/>
        <v>-11413.919999999998</v>
      </c>
      <c r="O87" s="482">
        <f t="shared" si="18"/>
        <v>-11679.36</v>
      </c>
      <c r="P87" s="482">
        <f t="shared" si="18"/>
        <v>-11944.800000000003</v>
      </c>
      <c r="Q87" s="482">
        <f t="shared" si="18"/>
        <v>-12210.239999999998</v>
      </c>
      <c r="R87" s="482">
        <f t="shared" si="18"/>
        <v>-12475.68</v>
      </c>
      <c r="S87" s="482">
        <f t="shared" si="18"/>
        <v>-12741.119999999999</v>
      </c>
      <c r="T87" s="482">
        <f t="shared" si="18"/>
        <v>-13006.559999999998</v>
      </c>
      <c r="U87" s="482">
        <f t="shared" si="18"/>
        <v>-13272</v>
      </c>
      <c r="V87" s="482">
        <f t="shared" si="18"/>
        <v>-13537.440000000002</v>
      </c>
      <c r="W87" s="482">
        <f t="shared" si="18"/>
        <v>-13802.880000000001</v>
      </c>
      <c r="X87" s="482">
        <f t="shared" si="18"/>
        <v>-14068.32</v>
      </c>
      <c r="Y87" s="482">
        <f t="shared" si="18"/>
        <v>-14333.760000000002</v>
      </c>
      <c r="Z87" s="482">
        <f t="shared" si="18"/>
        <v>-14599.199999999997</v>
      </c>
      <c r="AA87" s="482">
        <f t="shared" si="18"/>
        <v>-14864.64</v>
      </c>
      <c r="AB87" s="482">
        <f t="shared" si="18"/>
        <v>-15130.080000000002</v>
      </c>
      <c r="AC87" s="482">
        <f t="shared" si="18"/>
        <v>-15395.52</v>
      </c>
      <c r="AD87" s="482">
        <f t="shared" si="18"/>
        <v>-15660.96</v>
      </c>
      <c r="AE87" s="482">
        <f t="shared" si="18"/>
        <v>-16014.880000000001</v>
      </c>
      <c r="AF87" s="482">
        <f t="shared" si="18"/>
        <v>-16368.800000000003</v>
      </c>
      <c r="AG87" s="482">
        <f t="shared" si="18"/>
        <v>-16368.800000000003</v>
      </c>
      <c r="AH87" s="482">
        <f t="shared" si="19"/>
        <v>-16368.800000000003</v>
      </c>
      <c r="AI87" s="17"/>
    </row>
    <row r="88" spans="1:35" s="13" customFormat="1" ht="12.75" x14ac:dyDescent="0.2">
      <c r="A88" s="579" t="s">
        <v>111</v>
      </c>
      <c r="B88" s="482">
        <f t="shared" si="17"/>
        <v>0</v>
      </c>
      <c r="C88" s="482">
        <f t="shared" si="18"/>
        <v>0</v>
      </c>
      <c r="D88" s="482">
        <f t="shared" si="18"/>
        <v>17335</v>
      </c>
      <c r="E88" s="482">
        <f t="shared" si="18"/>
        <v>34670</v>
      </c>
      <c r="F88" s="482">
        <f t="shared" si="18"/>
        <v>38830.399999999994</v>
      </c>
      <c r="G88" s="482">
        <f t="shared" si="18"/>
        <v>39523.800000000003</v>
      </c>
      <c r="H88" s="482">
        <f t="shared" si="18"/>
        <v>45043.263999999996</v>
      </c>
      <c r="I88" s="482">
        <f t="shared" si="18"/>
        <v>45819.871999999988</v>
      </c>
      <c r="J88" s="482">
        <f t="shared" si="18"/>
        <v>46596.479999999996</v>
      </c>
      <c r="K88" s="482">
        <f t="shared" si="18"/>
        <v>47373.088000000003</v>
      </c>
      <c r="L88" s="482">
        <f t="shared" si="18"/>
        <v>48149.696000000011</v>
      </c>
      <c r="M88" s="482">
        <f t="shared" si="18"/>
        <v>48926.304000000004</v>
      </c>
      <c r="N88" s="482">
        <f t="shared" si="18"/>
        <v>50091.216</v>
      </c>
      <c r="O88" s="482">
        <f t="shared" si="18"/>
        <v>51256.128000000012</v>
      </c>
      <c r="P88" s="482">
        <f t="shared" si="18"/>
        <v>52421.040000000008</v>
      </c>
      <c r="Q88" s="482">
        <f t="shared" si="18"/>
        <v>53585.95199999999</v>
      </c>
      <c r="R88" s="482">
        <f t="shared" si="18"/>
        <v>54750.864000000001</v>
      </c>
      <c r="S88" s="482">
        <f t="shared" si="18"/>
        <v>55915.775999999998</v>
      </c>
      <c r="T88" s="482">
        <f t="shared" si="18"/>
        <v>57080.688000000009</v>
      </c>
      <c r="U88" s="482">
        <f t="shared" si="18"/>
        <v>58245.600000000006</v>
      </c>
      <c r="V88" s="482">
        <f t="shared" si="18"/>
        <v>59410.512000000002</v>
      </c>
      <c r="W88" s="482">
        <f t="shared" si="18"/>
        <v>60575.423999999999</v>
      </c>
      <c r="X88" s="482">
        <f t="shared" si="18"/>
        <v>61740.335999999996</v>
      </c>
      <c r="Y88" s="482">
        <f t="shared" si="18"/>
        <v>62905.248000000021</v>
      </c>
      <c r="Z88" s="482">
        <f t="shared" si="18"/>
        <v>64070.16</v>
      </c>
      <c r="AA88" s="482">
        <f t="shared" si="18"/>
        <v>65235.072</v>
      </c>
      <c r="AB88" s="482">
        <f t="shared" si="18"/>
        <v>66399.983999999997</v>
      </c>
      <c r="AC88" s="482">
        <f t="shared" si="18"/>
        <v>67564.896000000022</v>
      </c>
      <c r="AD88" s="482">
        <f t="shared" si="18"/>
        <v>68729.80799999999</v>
      </c>
      <c r="AE88" s="482">
        <f t="shared" si="18"/>
        <v>70283.024000000005</v>
      </c>
      <c r="AF88" s="482">
        <f t="shared" si="18"/>
        <v>71836.24000000002</v>
      </c>
      <c r="AG88" s="482">
        <f t="shared" si="18"/>
        <v>71836.24000000002</v>
      </c>
      <c r="AH88" s="482">
        <f t="shared" si="19"/>
        <v>71836.24000000002</v>
      </c>
      <c r="AI88" s="17"/>
    </row>
    <row r="89" spans="1:35" s="13" customFormat="1" ht="12.75" x14ac:dyDescent="0.2">
      <c r="A89" s="579" t="s">
        <v>112</v>
      </c>
      <c r="B89" s="482">
        <f t="shared" si="17"/>
        <v>0</v>
      </c>
      <c r="C89" s="482">
        <f t="shared" si="18"/>
        <v>0</v>
      </c>
      <c r="D89" s="482">
        <f t="shared" si="18"/>
        <v>550</v>
      </c>
      <c r="E89" s="482">
        <f t="shared" si="18"/>
        <v>1100</v>
      </c>
      <c r="F89" s="482">
        <f t="shared" si="18"/>
        <v>1232</v>
      </c>
      <c r="G89" s="482">
        <f t="shared" si="18"/>
        <v>1254</v>
      </c>
      <c r="H89" s="482">
        <f t="shared" si="18"/>
        <v>1429.1200000000008</v>
      </c>
      <c r="I89" s="482">
        <f t="shared" si="18"/>
        <v>1453.7600000000002</v>
      </c>
      <c r="J89" s="482">
        <f t="shared" si="18"/>
        <v>1478.3999999999996</v>
      </c>
      <c r="K89" s="482">
        <f t="shared" si="18"/>
        <v>1503.0400000000009</v>
      </c>
      <c r="L89" s="482">
        <f t="shared" si="18"/>
        <v>1527.6800000000003</v>
      </c>
      <c r="M89" s="482">
        <f t="shared" si="18"/>
        <v>1552.3199999999997</v>
      </c>
      <c r="N89" s="482">
        <f t="shared" si="18"/>
        <v>1589.2800000000007</v>
      </c>
      <c r="O89" s="482">
        <f t="shared" si="18"/>
        <v>1626.2399999999998</v>
      </c>
      <c r="P89" s="482">
        <f t="shared" si="18"/>
        <v>1663.2000000000007</v>
      </c>
      <c r="Q89" s="482">
        <f t="shared" si="18"/>
        <v>1700.1599999999999</v>
      </c>
      <c r="R89" s="482">
        <f t="shared" si="18"/>
        <v>1737.1200000000008</v>
      </c>
      <c r="S89" s="482">
        <f t="shared" si="18"/>
        <v>1774.08</v>
      </c>
      <c r="T89" s="482">
        <f t="shared" si="18"/>
        <v>1811.0400000000009</v>
      </c>
      <c r="U89" s="482">
        <f t="shared" si="18"/>
        <v>1848</v>
      </c>
      <c r="V89" s="482">
        <f t="shared" si="18"/>
        <v>1884.9599999999991</v>
      </c>
      <c r="W89" s="482">
        <f t="shared" si="18"/>
        <v>1921.9200000000019</v>
      </c>
      <c r="X89" s="482">
        <f t="shared" si="18"/>
        <v>1958.880000000001</v>
      </c>
      <c r="Y89" s="482">
        <f t="shared" ref="C89:AG97" si="21">Y52-Y15</f>
        <v>1995.840000000002</v>
      </c>
      <c r="Z89" s="482">
        <f t="shared" si="21"/>
        <v>2032.7999999999993</v>
      </c>
      <c r="AA89" s="482">
        <f t="shared" si="21"/>
        <v>2069.760000000002</v>
      </c>
      <c r="AB89" s="482">
        <f t="shared" si="21"/>
        <v>2106.7200000000012</v>
      </c>
      <c r="AC89" s="482">
        <f t="shared" si="21"/>
        <v>2143.6800000000003</v>
      </c>
      <c r="AD89" s="482">
        <f t="shared" si="21"/>
        <v>2180.6399999999994</v>
      </c>
      <c r="AE89" s="482">
        <f t="shared" si="21"/>
        <v>2229.9200000000019</v>
      </c>
      <c r="AF89" s="482">
        <f t="shared" si="21"/>
        <v>2279.2000000000007</v>
      </c>
      <c r="AG89" s="482">
        <f t="shared" si="21"/>
        <v>2279.2000000000007</v>
      </c>
      <c r="AH89" s="482">
        <f t="shared" si="19"/>
        <v>2279.2000000000007</v>
      </c>
      <c r="AI89" s="17"/>
    </row>
    <row r="90" spans="1:35" s="13" customFormat="1" ht="12.75" x14ac:dyDescent="0.2">
      <c r="A90" s="579" t="s">
        <v>113</v>
      </c>
      <c r="B90" s="482">
        <f t="shared" si="17"/>
        <v>0</v>
      </c>
      <c r="C90" s="482">
        <f t="shared" si="21"/>
        <v>0</v>
      </c>
      <c r="D90" s="482">
        <f t="shared" si="21"/>
        <v>0</v>
      </c>
      <c r="E90" s="482">
        <f t="shared" si="21"/>
        <v>0</v>
      </c>
      <c r="F90" s="482">
        <f t="shared" si="21"/>
        <v>0</v>
      </c>
      <c r="G90" s="482">
        <f t="shared" si="21"/>
        <v>0</v>
      </c>
      <c r="H90" s="482">
        <f t="shared" si="21"/>
        <v>0</v>
      </c>
      <c r="I90" s="482">
        <f t="shared" si="21"/>
        <v>0</v>
      </c>
      <c r="J90" s="482">
        <f t="shared" si="21"/>
        <v>0</v>
      </c>
      <c r="K90" s="482">
        <f t="shared" si="21"/>
        <v>0</v>
      </c>
      <c r="L90" s="482">
        <f t="shared" si="21"/>
        <v>0</v>
      </c>
      <c r="M90" s="482">
        <f t="shared" si="21"/>
        <v>0</v>
      </c>
      <c r="N90" s="482">
        <f t="shared" si="21"/>
        <v>0</v>
      </c>
      <c r="O90" s="482">
        <f t="shared" si="21"/>
        <v>0</v>
      </c>
      <c r="P90" s="482">
        <f t="shared" si="21"/>
        <v>0</v>
      </c>
      <c r="Q90" s="482">
        <f t="shared" si="21"/>
        <v>0</v>
      </c>
      <c r="R90" s="482">
        <f t="shared" si="21"/>
        <v>0</v>
      </c>
      <c r="S90" s="482">
        <f t="shared" si="21"/>
        <v>0</v>
      </c>
      <c r="T90" s="482">
        <f t="shared" si="21"/>
        <v>0</v>
      </c>
      <c r="U90" s="482">
        <f t="shared" si="21"/>
        <v>0</v>
      </c>
      <c r="V90" s="482">
        <f t="shared" si="21"/>
        <v>0</v>
      </c>
      <c r="W90" s="482">
        <f t="shared" si="21"/>
        <v>0</v>
      </c>
      <c r="X90" s="482">
        <f t="shared" si="21"/>
        <v>0</v>
      </c>
      <c r="Y90" s="482">
        <f t="shared" si="21"/>
        <v>0</v>
      </c>
      <c r="Z90" s="482">
        <f t="shared" si="21"/>
        <v>0</v>
      </c>
      <c r="AA90" s="482">
        <f t="shared" si="21"/>
        <v>0</v>
      </c>
      <c r="AB90" s="482">
        <f t="shared" si="21"/>
        <v>0</v>
      </c>
      <c r="AC90" s="482">
        <f t="shared" si="21"/>
        <v>0</v>
      </c>
      <c r="AD90" s="482">
        <f t="shared" si="21"/>
        <v>0</v>
      </c>
      <c r="AE90" s="482">
        <f t="shared" si="21"/>
        <v>0</v>
      </c>
      <c r="AF90" s="482">
        <f t="shared" si="21"/>
        <v>0</v>
      </c>
      <c r="AG90" s="482">
        <f t="shared" si="21"/>
        <v>0</v>
      </c>
      <c r="AH90" s="482">
        <f t="shared" si="19"/>
        <v>0</v>
      </c>
      <c r="AI90" s="17"/>
    </row>
    <row r="91" spans="1:35" s="13" customFormat="1" ht="25.5" x14ac:dyDescent="0.2">
      <c r="A91" s="579" t="s">
        <v>562</v>
      </c>
      <c r="B91" s="482">
        <f t="shared" si="17"/>
        <v>0</v>
      </c>
      <c r="C91" s="482">
        <f t="shared" si="21"/>
        <v>0</v>
      </c>
      <c r="D91" s="482">
        <f t="shared" si="21"/>
        <v>-150</v>
      </c>
      <c r="E91" s="482">
        <f t="shared" si="21"/>
        <v>-300</v>
      </c>
      <c r="F91" s="482">
        <f t="shared" si="21"/>
        <v>-336</v>
      </c>
      <c r="G91" s="482">
        <f t="shared" si="21"/>
        <v>-342</v>
      </c>
      <c r="H91" s="482">
        <f t="shared" si="21"/>
        <v>-389.76000000000022</v>
      </c>
      <c r="I91" s="482">
        <f t="shared" si="21"/>
        <v>-396.47999999999956</v>
      </c>
      <c r="J91" s="482">
        <f t="shared" si="21"/>
        <v>-403.20000000000073</v>
      </c>
      <c r="K91" s="482">
        <f t="shared" si="21"/>
        <v>-409.92000000000007</v>
      </c>
      <c r="L91" s="482">
        <f t="shared" si="21"/>
        <v>-416.63999999999942</v>
      </c>
      <c r="M91" s="482">
        <f t="shared" si="21"/>
        <v>-423.36000000000058</v>
      </c>
      <c r="N91" s="482">
        <f t="shared" si="21"/>
        <v>-433.44000000000051</v>
      </c>
      <c r="O91" s="482">
        <f t="shared" si="21"/>
        <v>-443.52000000000044</v>
      </c>
      <c r="P91" s="482">
        <f t="shared" si="21"/>
        <v>-453.60000000000036</v>
      </c>
      <c r="Q91" s="482">
        <f t="shared" si="21"/>
        <v>-463.68000000000029</v>
      </c>
      <c r="R91" s="482">
        <f t="shared" si="21"/>
        <v>-473.76000000000022</v>
      </c>
      <c r="S91" s="482">
        <f t="shared" si="21"/>
        <v>-483.84000000000015</v>
      </c>
      <c r="T91" s="482">
        <f t="shared" si="21"/>
        <v>-493.92000000000007</v>
      </c>
      <c r="U91" s="482">
        <f t="shared" si="21"/>
        <v>-504</v>
      </c>
      <c r="V91" s="482">
        <f t="shared" si="21"/>
        <v>-514.07999999999993</v>
      </c>
      <c r="W91" s="482">
        <f t="shared" si="21"/>
        <v>-524.15999999999985</v>
      </c>
      <c r="X91" s="482">
        <f t="shared" si="21"/>
        <v>-534.23999999999978</v>
      </c>
      <c r="Y91" s="482">
        <f t="shared" si="21"/>
        <v>-544.31999999999971</v>
      </c>
      <c r="Z91" s="482">
        <f t="shared" si="21"/>
        <v>-554.39999999999964</v>
      </c>
      <c r="AA91" s="482">
        <f t="shared" si="21"/>
        <v>-564.47999999999956</v>
      </c>
      <c r="AB91" s="482">
        <f t="shared" si="21"/>
        <v>-574.55999999999949</v>
      </c>
      <c r="AC91" s="482">
        <f t="shared" si="21"/>
        <v>-584.63999999999942</v>
      </c>
      <c r="AD91" s="482">
        <f t="shared" si="21"/>
        <v>-594.71999999999935</v>
      </c>
      <c r="AE91" s="482">
        <f t="shared" si="21"/>
        <v>-608.15999999999985</v>
      </c>
      <c r="AF91" s="482">
        <f t="shared" si="21"/>
        <v>-621.59999999999854</v>
      </c>
      <c r="AG91" s="482">
        <f t="shared" si="21"/>
        <v>-621.59999999999854</v>
      </c>
      <c r="AH91" s="482">
        <f t="shared" si="19"/>
        <v>-621.59999999999854</v>
      </c>
      <c r="AI91" s="17"/>
    </row>
    <row r="92" spans="1:35" s="13" customFormat="1" ht="12.75" x14ac:dyDescent="0.2">
      <c r="A92" s="580" t="s">
        <v>114</v>
      </c>
      <c r="B92" s="482">
        <f t="shared" si="17"/>
        <v>0</v>
      </c>
      <c r="C92" s="482">
        <f t="shared" si="21"/>
        <v>0</v>
      </c>
      <c r="D92" s="482">
        <f t="shared" si="21"/>
        <v>23659.5</v>
      </c>
      <c r="E92" s="482">
        <f t="shared" si="21"/>
        <v>47319</v>
      </c>
      <c r="F92" s="482">
        <f t="shared" si="21"/>
        <v>53197.27999999997</v>
      </c>
      <c r="G92" s="482">
        <f t="shared" si="21"/>
        <v>54143.660000000033</v>
      </c>
      <c r="H92" s="482">
        <f t="shared" si="21"/>
        <v>60180.492799999949</v>
      </c>
      <c r="I92" s="482">
        <f t="shared" si="21"/>
        <v>62992.790399999998</v>
      </c>
      <c r="J92" s="482">
        <f t="shared" si="21"/>
        <v>64056.736000000034</v>
      </c>
      <c r="K92" s="482">
        <f t="shared" si="21"/>
        <v>65120.681600000011</v>
      </c>
      <c r="L92" s="482">
        <f t="shared" si="21"/>
        <v>66184.627199999988</v>
      </c>
      <c r="M92" s="482">
        <f t="shared" si="21"/>
        <v>67248.572800000024</v>
      </c>
      <c r="N92" s="482">
        <f t="shared" si="21"/>
        <v>68954.491200000106</v>
      </c>
      <c r="O92" s="482">
        <f t="shared" si="21"/>
        <v>70550.409600000072</v>
      </c>
      <c r="P92" s="482">
        <f t="shared" si="21"/>
        <v>72146.328000000038</v>
      </c>
      <c r="Q92" s="482">
        <f t="shared" si="21"/>
        <v>73742.246399999945</v>
      </c>
      <c r="R92" s="482">
        <f t="shared" si="21"/>
        <v>75338.164800000028</v>
      </c>
      <c r="S92" s="482">
        <f t="shared" si="21"/>
        <v>76934.083199999935</v>
      </c>
      <c r="T92" s="482">
        <f t="shared" si="21"/>
        <v>78530.001600000018</v>
      </c>
      <c r="U92" s="482">
        <f t="shared" si="21"/>
        <v>80125.920000000042</v>
      </c>
      <c r="V92" s="482">
        <f t="shared" si="21"/>
        <v>81721.83839999995</v>
      </c>
      <c r="W92" s="482">
        <f t="shared" si="21"/>
        <v>83317.756800000032</v>
      </c>
      <c r="X92" s="482">
        <f t="shared" si="21"/>
        <v>84913.675199999998</v>
      </c>
      <c r="Y92" s="482">
        <f t="shared" si="21"/>
        <v>86509.59360000008</v>
      </c>
      <c r="Z92" s="482">
        <f t="shared" si="21"/>
        <v>88105.511999999988</v>
      </c>
      <c r="AA92" s="482">
        <f t="shared" si="21"/>
        <v>89701.43040000007</v>
      </c>
      <c r="AB92" s="482">
        <f t="shared" si="21"/>
        <v>91297.348800000036</v>
      </c>
      <c r="AC92" s="482">
        <f t="shared" si="21"/>
        <v>92893.267200000002</v>
      </c>
      <c r="AD92" s="482">
        <f t="shared" si="21"/>
        <v>94489.185600000026</v>
      </c>
      <c r="AE92" s="482">
        <f t="shared" si="21"/>
        <v>96727.076799999923</v>
      </c>
      <c r="AF92" s="482">
        <f t="shared" si="21"/>
        <v>98854.967999999993</v>
      </c>
      <c r="AG92" s="482">
        <f t="shared" si="21"/>
        <v>98414.967999999993</v>
      </c>
      <c r="AH92" s="482">
        <f t="shared" si="19"/>
        <v>97974.967999999993</v>
      </c>
      <c r="AI92" s="17"/>
    </row>
    <row r="93" spans="1:35" s="13" customFormat="1" ht="12.75" x14ac:dyDescent="0.2">
      <c r="A93" s="581" t="s">
        <v>115</v>
      </c>
      <c r="B93" s="482">
        <f t="shared" si="17"/>
        <v>0</v>
      </c>
      <c r="C93" s="482">
        <f t="shared" si="21"/>
        <v>0</v>
      </c>
      <c r="D93" s="482">
        <f t="shared" si="21"/>
        <v>0</v>
      </c>
      <c r="E93" s="482">
        <f t="shared" si="21"/>
        <v>0</v>
      </c>
      <c r="F93" s="482">
        <f t="shared" si="21"/>
        <v>0</v>
      </c>
      <c r="G93" s="482">
        <f t="shared" si="21"/>
        <v>0</v>
      </c>
      <c r="H93" s="482">
        <f t="shared" si="21"/>
        <v>0</v>
      </c>
      <c r="I93" s="482">
        <f t="shared" si="21"/>
        <v>0</v>
      </c>
      <c r="J93" s="482">
        <f t="shared" si="21"/>
        <v>0</v>
      </c>
      <c r="K93" s="482">
        <f t="shared" si="21"/>
        <v>0</v>
      </c>
      <c r="L93" s="482">
        <f t="shared" si="21"/>
        <v>0</v>
      </c>
      <c r="M93" s="482">
        <f t="shared" si="21"/>
        <v>0</v>
      </c>
      <c r="N93" s="482">
        <f t="shared" si="21"/>
        <v>0</v>
      </c>
      <c r="O93" s="482">
        <f t="shared" si="21"/>
        <v>0</v>
      </c>
      <c r="P93" s="482">
        <f t="shared" si="21"/>
        <v>0</v>
      </c>
      <c r="Q93" s="482">
        <f t="shared" si="21"/>
        <v>0</v>
      </c>
      <c r="R93" s="482">
        <f t="shared" si="21"/>
        <v>0</v>
      </c>
      <c r="S93" s="482">
        <f t="shared" si="21"/>
        <v>0</v>
      </c>
      <c r="T93" s="482">
        <f t="shared" si="21"/>
        <v>0</v>
      </c>
      <c r="U93" s="482">
        <f t="shared" si="21"/>
        <v>0</v>
      </c>
      <c r="V93" s="482">
        <f t="shared" si="21"/>
        <v>0</v>
      </c>
      <c r="W93" s="482">
        <f t="shared" si="21"/>
        <v>0</v>
      </c>
      <c r="X93" s="482">
        <f t="shared" si="21"/>
        <v>0</v>
      </c>
      <c r="Y93" s="482">
        <f t="shared" si="21"/>
        <v>0</v>
      </c>
      <c r="Z93" s="482">
        <f t="shared" si="21"/>
        <v>0</v>
      </c>
      <c r="AA93" s="482">
        <f t="shared" si="21"/>
        <v>0</v>
      </c>
      <c r="AB93" s="482">
        <f t="shared" si="21"/>
        <v>0</v>
      </c>
      <c r="AC93" s="482">
        <f t="shared" si="21"/>
        <v>0</v>
      </c>
      <c r="AD93" s="482">
        <f t="shared" si="21"/>
        <v>0</v>
      </c>
      <c r="AE93" s="482">
        <f t="shared" si="21"/>
        <v>0</v>
      </c>
      <c r="AF93" s="482">
        <f t="shared" si="21"/>
        <v>0</v>
      </c>
      <c r="AG93" s="482">
        <f t="shared" si="21"/>
        <v>0</v>
      </c>
      <c r="AH93" s="482">
        <f t="shared" si="19"/>
        <v>0</v>
      </c>
      <c r="AI93" s="17"/>
    </row>
    <row r="94" spans="1:35" s="13" customFormat="1" ht="12.75" x14ac:dyDescent="0.2">
      <c r="A94" s="579" t="s">
        <v>116</v>
      </c>
      <c r="B94" s="482">
        <f t="shared" si="17"/>
        <v>0</v>
      </c>
      <c r="C94" s="482">
        <f t="shared" si="21"/>
        <v>0</v>
      </c>
      <c r="D94" s="482">
        <f t="shared" si="21"/>
        <v>0</v>
      </c>
      <c r="E94" s="482">
        <f t="shared" si="21"/>
        <v>0</v>
      </c>
      <c r="F94" s="482">
        <f t="shared" si="21"/>
        <v>0</v>
      </c>
      <c r="G94" s="482">
        <f t="shared" si="21"/>
        <v>0</v>
      </c>
      <c r="H94" s="482">
        <f t="shared" si="21"/>
        <v>0</v>
      </c>
      <c r="I94" s="482">
        <f t="shared" si="21"/>
        <v>0</v>
      </c>
      <c r="J94" s="482">
        <f t="shared" si="21"/>
        <v>0</v>
      </c>
      <c r="K94" s="482">
        <f t="shared" si="21"/>
        <v>0</v>
      </c>
      <c r="L94" s="482">
        <f t="shared" si="21"/>
        <v>0</v>
      </c>
      <c r="M94" s="482">
        <f t="shared" si="21"/>
        <v>0</v>
      </c>
      <c r="N94" s="482">
        <f t="shared" si="21"/>
        <v>0</v>
      </c>
      <c r="O94" s="482">
        <f t="shared" si="21"/>
        <v>0</v>
      </c>
      <c r="P94" s="482">
        <f t="shared" si="21"/>
        <v>0</v>
      </c>
      <c r="Q94" s="482">
        <f t="shared" si="21"/>
        <v>0</v>
      </c>
      <c r="R94" s="482">
        <f t="shared" si="21"/>
        <v>0</v>
      </c>
      <c r="S94" s="482">
        <f t="shared" si="21"/>
        <v>0</v>
      </c>
      <c r="T94" s="482">
        <f t="shared" si="21"/>
        <v>0</v>
      </c>
      <c r="U94" s="482">
        <f t="shared" si="21"/>
        <v>0</v>
      </c>
      <c r="V94" s="482">
        <f t="shared" si="21"/>
        <v>0</v>
      </c>
      <c r="W94" s="482">
        <f t="shared" si="21"/>
        <v>0</v>
      </c>
      <c r="X94" s="482">
        <f t="shared" si="21"/>
        <v>0</v>
      </c>
      <c r="Y94" s="482">
        <f t="shared" si="21"/>
        <v>0</v>
      </c>
      <c r="Z94" s="482">
        <f t="shared" si="21"/>
        <v>0</v>
      </c>
      <c r="AA94" s="482">
        <f t="shared" si="21"/>
        <v>0</v>
      </c>
      <c r="AB94" s="482">
        <f t="shared" si="21"/>
        <v>0</v>
      </c>
      <c r="AC94" s="482">
        <f t="shared" si="21"/>
        <v>0</v>
      </c>
      <c r="AD94" s="482">
        <f t="shared" si="21"/>
        <v>0</v>
      </c>
      <c r="AE94" s="482">
        <f t="shared" si="21"/>
        <v>0</v>
      </c>
      <c r="AF94" s="482">
        <f t="shared" si="21"/>
        <v>0</v>
      </c>
      <c r="AG94" s="482">
        <f t="shared" si="21"/>
        <v>0</v>
      </c>
      <c r="AH94" s="482">
        <f t="shared" si="19"/>
        <v>0</v>
      </c>
      <c r="AI94" s="17"/>
    </row>
    <row r="95" spans="1:35" s="13" customFormat="1" ht="12.75" x14ac:dyDescent="0.2">
      <c r="A95" s="579" t="s">
        <v>117</v>
      </c>
      <c r="B95" s="482">
        <f t="shared" si="17"/>
        <v>0</v>
      </c>
      <c r="C95" s="482">
        <f t="shared" si="21"/>
        <v>0</v>
      </c>
      <c r="D95" s="482">
        <f t="shared" si="21"/>
        <v>0</v>
      </c>
      <c r="E95" s="482">
        <f t="shared" si="21"/>
        <v>0</v>
      </c>
      <c r="F95" s="482">
        <f t="shared" si="21"/>
        <v>0</v>
      </c>
      <c r="G95" s="482">
        <f t="shared" si="21"/>
        <v>0</v>
      </c>
      <c r="H95" s="482">
        <f t="shared" si="21"/>
        <v>0</v>
      </c>
      <c r="I95" s="482">
        <f t="shared" si="21"/>
        <v>0</v>
      </c>
      <c r="J95" s="482">
        <f t="shared" si="21"/>
        <v>0</v>
      </c>
      <c r="K95" s="482">
        <f t="shared" si="21"/>
        <v>0</v>
      </c>
      <c r="L95" s="482">
        <f t="shared" si="21"/>
        <v>0</v>
      </c>
      <c r="M95" s="482">
        <f t="shared" si="21"/>
        <v>0</v>
      </c>
      <c r="N95" s="482">
        <f t="shared" si="21"/>
        <v>0</v>
      </c>
      <c r="O95" s="482">
        <f t="shared" si="21"/>
        <v>0</v>
      </c>
      <c r="P95" s="482">
        <f t="shared" si="21"/>
        <v>0</v>
      </c>
      <c r="Q95" s="482">
        <f t="shared" si="21"/>
        <v>0</v>
      </c>
      <c r="R95" s="482">
        <f t="shared" si="21"/>
        <v>0</v>
      </c>
      <c r="S95" s="482">
        <f t="shared" si="21"/>
        <v>0</v>
      </c>
      <c r="T95" s="482">
        <f t="shared" si="21"/>
        <v>0</v>
      </c>
      <c r="U95" s="482">
        <f t="shared" si="21"/>
        <v>0</v>
      </c>
      <c r="V95" s="482">
        <f t="shared" si="21"/>
        <v>0</v>
      </c>
      <c r="W95" s="482">
        <f t="shared" si="21"/>
        <v>0</v>
      </c>
      <c r="X95" s="482">
        <f t="shared" si="21"/>
        <v>0</v>
      </c>
      <c r="Y95" s="482">
        <f t="shared" si="21"/>
        <v>0</v>
      </c>
      <c r="Z95" s="482">
        <f t="shared" si="21"/>
        <v>0</v>
      </c>
      <c r="AA95" s="482">
        <f t="shared" si="21"/>
        <v>0</v>
      </c>
      <c r="AB95" s="482">
        <f t="shared" si="21"/>
        <v>0</v>
      </c>
      <c r="AC95" s="482">
        <f t="shared" si="21"/>
        <v>0</v>
      </c>
      <c r="AD95" s="482">
        <f t="shared" si="21"/>
        <v>0</v>
      </c>
      <c r="AE95" s="482">
        <f t="shared" si="21"/>
        <v>0</v>
      </c>
      <c r="AF95" s="482">
        <f t="shared" si="21"/>
        <v>0</v>
      </c>
      <c r="AG95" s="482">
        <f t="shared" si="21"/>
        <v>0</v>
      </c>
      <c r="AH95" s="482">
        <f t="shared" si="19"/>
        <v>0</v>
      </c>
      <c r="AI95" s="17"/>
    </row>
    <row r="96" spans="1:35" s="13" customFormat="1" ht="12.75" x14ac:dyDescent="0.2">
      <c r="A96" s="579" t="s">
        <v>118</v>
      </c>
      <c r="B96" s="482">
        <f t="shared" si="17"/>
        <v>0</v>
      </c>
      <c r="C96" s="482">
        <f t="shared" si="21"/>
        <v>0</v>
      </c>
      <c r="D96" s="482">
        <f t="shared" si="21"/>
        <v>0</v>
      </c>
      <c r="E96" s="482">
        <f t="shared" si="21"/>
        <v>0</v>
      </c>
      <c r="F96" s="482">
        <f t="shared" si="21"/>
        <v>0</v>
      </c>
      <c r="G96" s="482">
        <f t="shared" si="21"/>
        <v>0</v>
      </c>
      <c r="H96" s="482">
        <f t="shared" si="21"/>
        <v>0</v>
      </c>
      <c r="I96" s="482">
        <f t="shared" si="21"/>
        <v>0</v>
      </c>
      <c r="J96" s="482">
        <f t="shared" si="21"/>
        <v>0</v>
      </c>
      <c r="K96" s="482">
        <f t="shared" si="21"/>
        <v>0</v>
      </c>
      <c r="L96" s="482">
        <f t="shared" si="21"/>
        <v>0</v>
      </c>
      <c r="M96" s="482">
        <f t="shared" si="21"/>
        <v>0</v>
      </c>
      <c r="N96" s="482">
        <f t="shared" si="21"/>
        <v>0</v>
      </c>
      <c r="O96" s="482">
        <f t="shared" si="21"/>
        <v>0</v>
      </c>
      <c r="P96" s="482">
        <f t="shared" si="21"/>
        <v>0</v>
      </c>
      <c r="Q96" s="482">
        <f t="shared" si="21"/>
        <v>0</v>
      </c>
      <c r="R96" s="482">
        <f t="shared" si="21"/>
        <v>0</v>
      </c>
      <c r="S96" s="482">
        <f t="shared" si="21"/>
        <v>0</v>
      </c>
      <c r="T96" s="482">
        <f t="shared" si="21"/>
        <v>0</v>
      </c>
      <c r="U96" s="482">
        <f t="shared" si="21"/>
        <v>0</v>
      </c>
      <c r="V96" s="482">
        <f t="shared" si="21"/>
        <v>0</v>
      </c>
      <c r="W96" s="482">
        <f t="shared" si="21"/>
        <v>0</v>
      </c>
      <c r="X96" s="482">
        <f t="shared" si="21"/>
        <v>0</v>
      </c>
      <c r="Y96" s="482">
        <f t="shared" si="21"/>
        <v>0</v>
      </c>
      <c r="Z96" s="482">
        <f t="shared" si="21"/>
        <v>0</v>
      </c>
      <c r="AA96" s="482">
        <f t="shared" si="21"/>
        <v>0</v>
      </c>
      <c r="AB96" s="482">
        <f t="shared" si="21"/>
        <v>0</v>
      </c>
      <c r="AC96" s="482">
        <f t="shared" si="21"/>
        <v>0</v>
      </c>
      <c r="AD96" s="482">
        <f t="shared" si="21"/>
        <v>0</v>
      </c>
      <c r="AE96" s="482">
        <f t="shared" si="21"/>
        <v>0</v>
      </c>
      <c r="AF96" s="482">
        <f t="shared" si="21"/>
        <v>0</v>
      </c>
      <c r="AG96" s="482">
        <f t="shared" si="21"/>
        <v>0</v>
      </c>
      <c r="AH96" s="482">
        <f t="shared" si="19"/>
        <v>0</v>
      </c>
      <c r="AI96" s="17"/>
    </row>
    <row r="97" spans="1:35" s="13" customFormat="1" ht="12.75" x14ac:dyDescent="0.2">
      <c r="A97" s="580" t="s">
        <v>119</v>
      </c>
      <c r="B97" s="482">
        <f t="shared" si="17"/>
        <v>0</v>
      </c>
      <c r="C97" s="482">
        <f t="shared" si="21"/>
        <v>0</v>
      </c>
      <c r="D97" s="482">
        <f t="shared" si="21"/>
        <v>0</v>
      </c>
      <c r="E97" s="482">
        <f t="shared" si="21"/>
        <v>0</v>
      </c>
      <c r="F97" s="482">
        <f t="shared" si="21"/>
        <v>0</v>
      </c>
      <c r="G97" s="482">
        <f t="shared" si="21"/>
        <v>0</v>
      </c>
      <c r="H97" s="482">
        <f t="shared" si="21"/>
        <v>0</v>
      </c>
      <c r="I97" s="482">
        <f t="shared" si="21"/>
        <v>0</v>
      </c>
      <c r="J97" s="482">
        <f t="shared" si="21"/>
        <v>0</v>
      </c>
      <c r="K97" s="482">
        <f t="shared" si="21"/>
        <v>0</v>
      </c>
      <c r="L97" s="482">
        <f t="shared" si="21"/>
        <v>0</v>
      </c>
      <c r="M97" s="482">
        <f t="shared" si="21"/>
        <v>0</v>
      </c>
      <c r="N97" s="482">
        <f t="shared" si="21"/>
        <v>0</v>
      </c>
      <c r="O97" s="482">
        <f t="shared" si="21"/>
        <v>0</v>
      </c>
      <c r="P97" s="482">
        <f t="shared" si="21"/>
        <v>0</v>
      </c>
      <c r="Q97" s="482">
        <f t="shared" si="21"/>
        <v>0</v>
      </c>
      <c r="R97" s="482">
        <f t="shared" si="21"/>
        <v>0</v>
      </c>
      <c r="S97" s="482">
        <f t="shared" si="21"/>
        <v>0</v>
      </c>
      <c r="T97" s="482">
        <f t="shared" si="21"/>
        <v>0</v>
      </c>
      <c r="U97" s="482">
        <f t="shared" si="21"/>
        <v>0</v>
      </c>
      <c r="V97" s="482">
        <f t="shared" si="21"/>
        <v>0</v>
      </c>
      <c r="W97" s="482">
        <f t="shared" si="21"/>
        <v>0</v>
      </c>
      <c r="X97" s="482">
        <f t="shared" si="21"/>
        <v>0</v>
      </c>
      <c r="Y97" s="482">
        <f t="shared" si="21"/>
        <v>0</v>
      </c>
      <c r="Z97" s="482">
        <f t="shared" si="21"/>
        <v>0</v>
      </c>
      <c r="AA97" s="482">
        <f t="shared" si="21"/>
        <v>0</v>
      </c>
      <c r="AB97" s="482">
        <f t="shared" si="21"/>
        <v>0</v>
      </c>
      <c r="AC97" s="482">
        <f t="shared" si="21"/>
        <v>0</v>
      </c>
      <c r="AD97" s="482">
        <f t="shared" si="21"/>
        <v>0</v>
      </c>
      <c r="AE97" s="482">
        <f t="shared" si="21"/>
        <v>0</v>
      </c>
      <c r="AF97" s="482">
        <f t="shared" ref="C97:AG100" si="22">AF60-AF23</f>
        <v>0</v>
      </c>
      <c r="AG97" s="482">
        <f t="shared" si="22"/>
        <v>0</v>
      </c>
      <c r="AH97" s="482">
        <f>AH60-AH23</f>
        <v>0</v>
      </c>
      <c r="AI97" s="17"/>
    </row>
    <row r="98" spans="1:35" s="13" customFormat="1" ht="12.75" x14ac:dyDescent="0.2">
      <c r="A98" s="579" t="s">
        <v>120</v>
      </c>
      <c r="B98" s="482">
        <f t="shared" si="17"/>
        <v>0</v>
      </c>
      <c r="C98" s="482">
        <f t="shared" si="22"/>
        <v>0</v>
      </c>
      <c r="D98" s="482">
        <f t="shared" si="22"/>
        <v>0</v>
      </c>
      <c r="E98" s="482">
        <f t="shared" si="22"/>
        <v>0</v>
      </c>
      <c r="F98" s="482">
        <f t="shared" si="22"/>
        <v>0</v>
      </c>
      <c r="G98" s="482">
        <f t="shared" si="22"/>
        <v>0</v>
      </c>
      <c r="H98" s="482">
        <f t="shared" si="22"/>
        <v>0</v>
      </c>
      <c r="I98" s="482">
        <f t="shared" si="22"/>
        <v>0</v>
      </c>
      <c r="J98" s="482">
        <f t="shared" si="22"/>
        <v>0</v>
      </c>
      <c r="K98" s="482">
        <f t="shared" si="22"/>
        <v>0</v>
      </c>
      <c r="L98" s="482">
        <f t="shared" si="22"/>
        <v>0</v>
      </c>
      <c r="M98" s="482">
        <f t="shared" si="22"/>
        <v>0</v>
      </c>
      <c r="N98" s="482">
        <f t="shared" si="22"/>
        <v>0</v>
      </c>
      <c r="O98" s="482">
        <f t="shared" si="22"/>
        <v>0</v>
      </c>
      <c r="P98" s="482">
        <f t="shared" si="22"/>
        <v>0</v>
      </c>
      <c r="Q98" s="482">
        <f t="shared" si="22"/>
        <v>0</v>
      </c>
      <c r="R98" s="482">
        <f t="shared" si="22"/>
        <v>0</v>
      </c>
      <c r="S98" s="482">
        <f t="shared" si="22"/>
        <v>0</v>
      </c>
      <c r="T98" s="482">
        <f t="shared" si="22"/>
        <v>0</v>
      </c>
      <c r="U98" s="482">
        <f t="shared" si="22"/>
        <v>0</v>
      </c>
      <c r="V98" s="482">
        <f t="shared" si="22"/>
        <v>0</v>
      </c>
      <c r="W98" s="482">
        <f t="shared" si="22"/>
        <v>0</v>
      </c>
      <c r="X98" s="482">
        <f t="shared" si="22"/>
        <v>0</v>
      </c>
      <c r="Y98" s="482">
        <f t="shared" si="22"/>
        <v>0</v>
      </c>
      <c r="Z98" s="482">
        <f t="shared" si="22"/>
        <v>0</v>
      </c>
      <c r="AA98" s="482">
        <f t="shared" si="22"/>
        <v>0</v>
      </c>
      <c r="AB98" s="482">
        <f t="shared" si="22"/>
        <v>0</v>
      </c>
      <c r="AC98" s="482">
        <f t="shared" si="22"/>
        <v>0</v>
      </c>
      <c r="AD98" s="482">
        <f t="shared" si="22"/>
        <v>0</v>
      </c>
      <c r="AE98" s="482">
        <f t="shared" si="22"/>
        <v>0</v>
      </c>
      <c r="AF98" s="482">
        <f t="shared" si="22"/>
        <v>0</v>
      </c>
      <c r="AG98" s="482">
        <f t="shared" si="22"/>
        <v>0</v>
      </c>
      <c r="AH98" s="482">
        <f>AH61-AH24</f>
        <v>0</v>
      </c>
      <c r="AI98" s="17"/>
    </row>
    <row r="99" spans="1:35" s="13" customFormat="1" ht="12.75" x14ac:dyDescent="0.2">
      <c r="A99" s="579" t="s">
        <v>121</v>
      </c>
      <c r="B99" s="482">
        <f t="shared" si="17"/>
        <v>0</v>
      </c>
      <c r="C99" s="482">
        <f t="shared" si="22"/>
        <v>0</v>
      </c>
      <c r="D99" s="482">
        <f t="shared" si="22"/>
        <v>0</v>
      </c>
      <c r="E99" s="482">
        <f t="shared" si="22"/>
        <v>0</v>
      </c>
      <c r="F99" s="482">
        <f t="shared" si="22"/>
        <v>0</v>
      </c>
      <c r="G99" s="482">
        <f t="shared" si="22"/>
        <v>0</v>
      </c>
      <c r="H99" s="482">
        <f t="shared" si="22"/>
        <v>0</v>
      </c>
      <c r="I99" s="482">
        <f t="shared" si="22"/>
        <v>0</v>
      </c>
      <c r="J99" s="482">
        <f t="shared" si="22"/>
        <v>0</v>
      </c>
      <c r="K99" s="482">
        <f t="shared" si="22"/>
        <v>0</v>
      </c>
      <c r="L99" s="482">
        <f t="shared" si="22"/>
        <v>0</v>
      </c>
      <c r="M99" s="482">
        <f t="shared" si="22"/>
        <v>0</v>
      </c>
      <c r="N99" s="482">
        <f t="shared" si="22"/>
        <v>0</v>
      </c>
      <c r="O99" s="482">
        <f t="shared" si="22"/>
        <v>0</v>
      </c>
      <c r="P99" s="482">
        <f t="shared" si="22"/>
        <v>0</v>
      </c>
      <c r="Q99" s="482">
        <f t="shared" si="22"/>
        <v>0</v>
      </c>
      <c r="R99" s="482">
        <f t="shared" si="22"/>
        <v>0</v>
      </c>
      <c r="S99" s="482">
        <f t="shared" si="22"/>
        <v>0</v>
      </c>
      <c r="T99" s="482">
        <f t="shared" si="22"/>
        <v>0</v>
      </c>
      <c r="U99" s="482">
        <f t="shared" si="22"/>
        <v>0</v>
      </c>
      <c r="V99" s="482">
        <f t="shared" si="22"/>
        <v>0</v>
      </c>
      <c r="W99" s="482">
        <f t="shared" si="22"/>
        <v>0</v>
      </c>
      <c r="X99" s="482">
        <f t="shared" si="22"/>
        <v>0</v>
      </c>
      <c r="Y99" s="482">
        <f t="shared" si="22"/>
        <v>0</v>
      </c>
      <c r="Z99" s="482">
        <f t="shared" si="22"/>
        <v>0</v>
      </c>
      <c r="AA99" s="482">
        <f t="shared" si="22"/>
        <v>0</v>
      </c>
      <c r="AB99" s="482">
        <f t="shared" si="22"/>
        <v>0</v>
      </c>
      <c r="AC99" s="482">
        <f t="shared" si="22"/>
        <v>0</v>
      </c>
      <c r="AD99" s="482">
        <f t="shared" si="22"/>
        <v>0</v>
      </c>
      <c r="AE99" s="482">
        <f t="shared" si="22"/>
        <v>0</v>
      </c>
      <c r="AF99" s="482">
        <f t="shared" si="22"/>
        <v>0</v>
      </c>
      <c r="AG99" s="482">
        <f t="shared" si="22"/>
        <v>0</v>
      </c>
      <c r="AH99" s="482">
        <f>AH62-AH25</f>
        <v>0</v>
      </c>
      <c r="AI99" s="17"/>
    </row>
    <row r="100" spans="1:35" s="13" customFormat="1" ht="12.75" x14ac:dyDescent="0.2">
      <c r="A100" s="579" t="s">
        <v>122</v>
      </c>
      <c r="B100" s="482">
        <f t="shared" si="17"/>
        <v>0</v>
      </c>
      <c r="C100" s="482">
        <f t="shared" si="22"/>
        <v>0</v>
      </c>
      <c r="D100" s="482">
        <f t="shared" si="22"/>
        <v>0</v>
      </c>
      <c r="E100" s="482">
        <f t="shared" si="22"/>
        <v>0</v>
      </c>
      <c r="F100" s="482">
        <f t="shared" si="22"/>
        <v>0</v>
      </c>
      <c r="G100" s="482">
        <f t="shared" si="22"/>
        <v>0</v>
      </c>
      <c r="H100" s="482">
        <f t="shared" si="22"/>
        <v>0</v>
      </c>
      <c r="I100" s="482">
        <f t="shared" si="22"/>
        <v>0</v>
      </c>
      <c r="J100" s="482">
        <f t="shared" si="22"/>
        <v>0</v>
      </c>
      <c r="K100" s="482">
        <f t="shared" si="22"/>
        <v>0</v>
      </c>
      <c r="L100" s="482">
        <f t="shared" si="22"/>
        <v>0</v>
      </c>
      <c r="M100" s="482">
        <f t="shared" si="22"/>
        <v>0</v>
      </c>
      <c r="N100" s="482">
        <f t="shared" si="22"/>
        <v>0</v>
      </c>
      <c r="O100" s="482">
        <f t="shared" si="22"/>
        <v>0</v>
      </c>
      <c r="P100" s="482">
        <f t="shared" si="22"/>
        <v>0</v>
      </c>
      <c r="Q100" s="482">
        <f t="shared" si="22"/>
        <v>0</v>
      </c>
      <c r="R100" s="482">
        <f t="shared" si="22"/>
        <v>0</v>
      </c>
      <c r="S100" s="482">
        <f t="shared" si="22"/>
        <v>0</v>
      </c>
      <c r="T100" s="482">
        <f t="shared" si="22"/>
        <v>0</v>
      </c>
      <c r="U100" s="482">
        <f t="shared" si="22"/>
        <v>0</v>
      </c>
      <c r="V100" s="482">
        <f t="shared" si="22"/>
        <v>0</v>
      </c>
      <c r="W100" s="482">
        <f t="shared" si="22"/>
        <v>0</v>
      </c>
      <c r="X100" s="482">
        <f t="shared" si="22"/>
        <v>0</v>
      </c>
      <c r="Y100" s="482">
        <f t="shared" si="22"/>
        <v>0</v>
      </c>
      <c r="Z100" s="482">
        <f t="shared" si="22"/>
        <v>0</v>
      </c>
      <c r="AA100" s="482">
        <f t="shared" si="22"/>
        <v>0</v>
      </c>
      <c r="AB100" s="482">
        <f t="shared" si="22"/>
        <v>0</v>
      </c>
      <c r="AC100" s="482">
        <f t="shared" si="22"/>
        <v>0</v>
      </c>
      <c r="AD100" s="482">
        <f t="shared" si="22"/>
        <v>0</v>
      </c>
      <c r="AE100" s="482">
        <f t="shared" si="22"/>
        <v>0</v>
      </c>
      <c r="AF100" s="482">
        <f t="shared" si="22"/>
        <v>0</v>
      </c>
      <c r="AG100" s="482">
        <f t="shared" si="22"/>
        <v>0</v>
      </c>
      <c r="AH100" s="482">
        <f>AH63-AH26</f>
        <v>0</v>
      </c>
      <c r="AI100" s="17"/>
    </row>
    <row r="101" spans="1:35" s="13" customFormat="1" ht="12.75" x14ac:dyDescent="0.2">
      <c r="A101" s="580" t="s">
        <v>123</v>
      </c>
      <c r="B101" s="465">
        <f>SUM(B94:B100)</f>
        <v>0</v>
      </c>
      <c r="C101" s="465">
        <f t="shared" ref="C101:AG101" si="23">SUM(C94:C100)</f>
        <v>0</v>
      </c>
      <c r="D101" s="465">
        <f t="shared" si="23"/>
        <v>0</v>
      </c>
      <c r="E101" s="465">
        <f t="shared" si="23"/>
        <v>0</v>
      </c>
      <c r="F101" s="465">
        <f t="shared" si="23"/>
        <v>0</v>
      </c>
      <c r="G101" s="465">
        <f t="shared" si="23"/>
        <v>0</v>
      </c>
      <c r="H101" s="465">
        <f t="shared" si="23"/>
        <v>0</v>
      </c>
      <c r="I101" s="465">
        <f t="shared" si="23"/>
        <v>0</v>
      </c>
      <c r="J101" s="465">
        <f t="shared" si="23"/>
        <v>0</v>
      </c>
      <c r="K101" s="465">
        <f t="shared" si="23"/>
        <v>0</v>
      </c>
      <c r="L101" s="465">
        <f t="shared" si="23"/>
        <v>0</v>
      </c>
      <c r="M101" s="465">
        <f t="shared" si="23"/>
        <v>0</v>
      </c>
      <c r="N101" s="465">
        <f t="shared" si="23"/>
        <v>0</v>
      </c>
      <c r="O101" s="465">
        <f t="shared" si="23"/>
        <v>0</v>
      </c>
      <c r="P101" s="465">
        <f t="shared" si="23"/>
        <v>0</v>
      </c>
      <c r="Q101" s="465">
        <f t="shared" si="23"/>
        <v>0</v>
      </c>
      <c r="R101" s="465">
        <f t="shared" si="23"/>
        <v>0</v>
      </c>
      <c r="S101" s="465">
        <f t="shared" si="23"/>
        <v>0</v>
      </c>
      <c r="T101" s="465">
        <f t="shared" si="23"/>
        <v>0</v>
      </c>
      <c r="U101" s="465">
        <f t="shared" si="23"/>
        <v>0</v>
      </c>
      <c r="V101" s="465">
        <f t="shared" si="23"/>
        <v>0</v>
      </c>
      <c r="W101" s="465">
        <f t="shared" si="23"/>
        <v>0</v>
      </c>
      <c r="X101" s="465">
        <f t="shared" si="23"/>
        <v>0</v>
      </c>
      <c r="Y101" s="465">
        <f t="shared" si="23"/>
        <v>0</v>
      </c>
      <c r="Z101" s="465">
        <f t="shared" si="23"/>
        <v>0</v>
      </c>
      <c r="AA101" s="465">
        <f t="shared" si="23"/>
        <v>0</v>
      </c>
      <c r="AB101" s="465">
        <f t="shared" si="23"/>
        <v>0</v>
      </c>
      <c r="AC101" s="465">
        <f t="shared" si="23"/>
        <v>0</v>
      </c>
      <c r="AD101" s="465">
        <f t="shared" si="23"/>
        <v>0</v>
      </c>
      <c r="AE101" s="465">
        <f t="shared" si="23"/>
        <v>0</v>
      </c>
      <c r="AF101" s="465">
        <f t="shared" si="23"/>
        <v>0</v>
      </c>
      <c r="AG101" s="465">
        <f t="shared" si="23"/>
        <v>0</v>
      </c>
      <c r="AH101" s="465">
        <f>SUM(AH94:AH100)</f>
        <v>0</v>
      </c>
      <c r="AI101" s="12"/>
    </row>
    <row r="102" spans="1:35" s="13" customFormat="1" ht="12" customHeight="1" x14ac:dyDescent="0.2">
      <c r="A102" s="464" t="s">
        <v>124</v>
      </c>
      <c r="B102" s="465">
        <f>SUM(B92,B101)</f>
        <v>0</v>
      </c>
      <c r="C102" s="465">
        <f t="shared" ref="C102:AG102" si="24">SUM(C92,C101)</f>
        <v>0</v>
      </c>
      <c r="D102" s="465">
        <f t="shared" si="24"/>
        <v>23659.5</v>
      </c>
      <c r="E102" s="465">
        <f t="shared" si="24"/>
        <v>47319</v>
      </c>
      <c r="F102" s="465">
        <f t="shared" si="24"/>
        <v>53197.27999999997</v>
      </c>
      <c r="G102" s="465">
        <f t="shared" si="24"/>
        <v>54143.660000000033</v>
      </c>
      <c r="H102" s="465">
        <f t="shared" si="24"/>
        <v>60180.492799999949</v>
      </c>
      <c r="I102" s="465">
        <f t="shared" si="24"/>
        <v>62992.790399999998</v>
      </c>
      <c r="J102" s="465">
        <f t="shared" si="24"/>
        <v>64056.736000000034</v>
      </c>
      <c r="K102" s="465">
        <f t="shared" si="24"/>
        <v>65120.681600000011</v>
      </c>
      <c r="L102" s="465">
        <f t="shared" si="24"/>
        <v>66184.627199999988</v>
      </c>
      <c r="M102" s="465">
        <f t="shared" si="24"/>
        <v>67248.572800000024</v>
      </c>
      <c r="N102" s="465">
        <f t="shared" si="24"/>
        <v>68954.491200000106</v>
      </c>
      <c r="O102" s="465">
        <f t="shared" si="24"/>
        <v>70550.409600000072</v>
      </c>
      <c r="P102" s="465">
        <f t="shared" si="24"/>
        <v>72146.328000000038</v>
      </c>
      <c r="Q102" s="465">
        <f t="shared" si="24"/>
        <v>73742.246399999945</v>
      </c>
      <c r="R102" s="465">
        <f t="shared" si="24"/>
        <v>75338.164800000028</v>
      </c>
      <c r="S102" s="465">
        <f t="shared" si="24"/>
        <v>76934.083199999935</v>
      </c>
      <c r="T102" s="465">
        <f t="shared" si="24"/>
        <v>78530.001600000018</v>
      </c>
      <c r="U102" s="465">
        <f t="shared" si="24"/>
        <v>80125.920000000042</v>
      </c>
      <c r="V102" s="465">
        <f t="shared" si="24"/>
        <v>81721.83839999995</v>
      </c>
      <c r="W102" s="465">
        <f t="shared" si="24"/>
        <v>83317.756800000032</v>
      </c>
      <c r="X102" s="465">
        <f t="shared" si="24"/>
        <v>84913.675199999998</v>
      </c>
      <c r="Y102" s="465">
        <f t="shared" si="24"/>
        <v>86509.59360000008</v>
      </c>
      <c r="Z102" s="465">
        <f t="shared" si="24"/>
        <v>88105.511999999988</v>
      </c>
      <c r="AA102" s="465">
        <f t="shared" si="24"/>
        <v>89701.43040000007</v>
      </c>
      <c r="AB102" s="465">
        <f t="shared" si="24"/>
        <v>91297.348800000036</v>
      </c>
      <c r="AC102" s="465">
        <f t="shared" si="24"/>
        <v>92893.267200000002</v>
      </c>
      <c r="AD102" s="465">
        <f t="shared" si="24"/>
        <v>94489.185600000026</v>
      </c>
      <c r="AE102" s="465">
        <f t="shared" si="24"/>
        <v>96727.076799999923</v>
      </c>
      <c r="AF102" s="465">
        <f t="shared" si="24"/>
        <v>98854.967999999993</v>
      </c>
      <c r="AG102" s="465">
        <f t="shared" si="24"/>
        <v>98414.967999999993</v>
      </c>
      <c r="AH102" s="465">
        <f>SUM(AH92,AH101)</f>
        <v>97974.967999999993</v>
      </c>
      <c r="AI102" s="12"/>
    </row>
    <row r="103" spans="1:35" s="13" customFormat="1" ht="12.75" x14ac:dyDescent="0.2">
      <c r="A103" s="433" t="s">
        <v>125</v>
      </c>
      <c r="B103" s="482">
        <f>IF(B$79&gt;='Datu ievade'!$B$33,IF('Datu ievade'!$B$369='Datu ievade'!$B$370,'Datu ievade'!B260*'Datu ievade'!B392+'Datu ievade'!B262,'Datu ievade'!B260*('Datu ievade'!B393-'Datu ievade'!B394)+'Datu ievade'!B262),0)</f>
        <v>0</v>
      </c>
      <c r="C103" s="482">
        <f>IF(C$79&gt;='Datu ievade'!$B$33,IF('Datu ievade'!$B$369='Datu ievade'!$B$370,'Datu ievade'!C260*'Datu ievade'!C392+'Datu ievade'!C262,'Datu ievade'!C260*('Datu ievade'!C393-'Datu ievade'!C394)+'Datu ievade'!C262),0)</f>
        <v>0</v>
      </c>
      <c r="D103" s="482">
        <f>D66-D29</f>
        <v>7548.1999999999534</v>
      </c>
      <c r="E103" s="482">
        <f ca="1">E66-E29</f>
        <v>16039.924999999988</v>
      </c>
      <c r="F103" s="482">
        <f t="shared" ref="F103:AG103" ca="1" si="25">F66-F29</f>
        <v>12517.675000000017</v>
      </c>
      <c r="G103" s="482">
        <f t="shared" ca="1" si="25"/>
        <v>12685.574999999983</v>
      </c>
      <c r="H103" s="482">
        <f t="shared" ca="1" si="25"/>
        <v>13797.000000000029</v>
      </c>
      <c r="I103" s="482">
        <f t="shared" ca="1" si="25"/>
        <v>15541.699999999983</v>
      </c>
      <c r="J103" s="482">
        <f t="shared" ca="1" si="25"/>
        <v>16653.124999999971</v>
      </c>
      <c r="K103" s="482">
        <f t="shared" ca="1" si="25"/>
        <v>16821.025000000023</v>
      </c>
      <c r="L103" s="482">
        <f t="shared" ca="1" si="25"/>
        <v>17144.049999999988</v>
      </c>
      <c r="M103" s="482">
        <f t="shared" ca="1" si="25"/>
        <v>19043.874999999971</v>
      </c>
      <c r="N103" s="482">
        <f t="shared" ca="1" si="25"/>
        <v>19056.650000000023</v>
      </c>
      <c r="O103" s="482">
        <f t="shared" ca="1" si="25"/>
        <v>19069.425000000017</v>
      </c>
      <c r="P103" s="482">
        <f t="shared" ca="1" si="25"/>
        <v>15928.600000000006</v>
      </c>
      <c r="Q103" s="482">
        <f t="shared" ca="1" si="25"/>
        <v>16561.874999999942</v>
      </c>
      <c r="R103" s="482">
        <f t="shared" ca="1" si="25"/>
        <v>16574.650000000052</v>
      </c>
      <c r="S103" s="482">
        <f t="shared" ca="1" si="25"/>
        <v>17375.825000000012</v>
      </c>
      <c r="T103" s="482">
        <f t="shared" ca="1" si="25"/>
        <v>17388.600000000064</v>
      </c>
      <c r="U103" s="482">
        <f t="shared" ca="1" si="25"/>
        <v>22131.774999999994</v>
      </c>
      <c r="V103" s="482">
        <f t="shared" ca="1" si="25"/>
        <v>21201.024999999994</v>
      </c>
      <c r="W103" s="482">
        <f t="shared" ca="1" si="25"/>
        <v>22002.200000000012</v>
      </c>
      <c r="X103" s="482">
        <f t="shared" ca="1" si="25"/>
        <v>22014.974999999977</v>
      </c>
      <c r="Y103" s="482">
        <f t="shared" ca="1" si="25"/>
        <v>22816.149999999965</v>
      </c>
      <c r="Z103" s="482">
        <f t="shared" ca="1" si="25"/>
        <v>23617.325000000012</v>
      </c>
      <c r="AA103" s="482">
        <f t="shared" ca="1" si="25"/>
        <v>22686.57500000007</v>
      </c>
      <c r="AB103" s="482">
        <f t="shared" ca="1" si="25"/>
        <v>23487.749999999942</v>
      </c>
      <c r="AC103" s="482">
        <f t="shared" ca="1" si="25"/>
        <v>24288.92499999993</v>
      </c>
      <c r="AD103" s="482">
        <f t="shared" ca="1" si="25"/>
        <v>24301.699999999953</v>
      </c>
      <c r="AE103" s="482">
        <f t="shared" ca="1" si="25"/>
        <v>24947.750000000058</v>
      </c>
      <c r="AF103" s="482">
        <f t="shared" ca="1" si="25"/>
        <v>25438.67499999993</v>
      </c>
      <c r="AG103" s="482">
        <f t="shared" ca="1" si="25"/>
        <v>24650.274999999965</v>
      </c>
      <c r="AH103" s="482">
        <f ca="1">AH66-AH29</f>
        <v>24650.274999999965</v>
      </c>
      <c r="AI103" s="17"/>
    </row>
    <row r="104" spans="1:35" s="13" customFormat="1" ht="12.75" x14ac:dyDescent="0.2">
      <c r="A104" s="433" t="s">
        <v>126</v>
      </c>
      <c r="B104" s="482">
        <f>IF('Saimnieciskas pamatdarbibas NP'!B$5&gt;='Datu ievade'!$B$33,IF('Datu ievade'!$B$369='Datu ievade'!$B$370,'Datu ievade'!B269*'Datu ievade'!B392+'Datu ievade'!B271,'Datu ievade'!B269*('Datu ievade'!B393-'Datu ievade'!B394)+'Datu ievade'!B271),0)</f>
        <v>0</v>
      </c>
      <c r="C104" s="482">
        <f>IF('Saimnieciskas pamatdarbibas NP'!C$5&gt;='Datu ievade'!$B$33,IF('Datu ievade'!$B$369='Datu ievade'!$B$370,'Datu ievade'!C269*'Datu ievade'!C392+'Datu ievade'!C271,'Datu ievade'!C269*('Datu ievade'!C393-'Datu ievade'!C394)+'Datu ievade'!C271),0)</f>
        <v>0</v>
      </c>
      <c r="D104" s="482">
        <f t="shared" ref="D104:E109" si="26">D67-D30</f>
        <v>1079.9999999999964</v>
      </c>
      <c r="E104" s="482">
        <f t="shared" ca="1" si="26"/>
        <v>2294.9999999999964</v>
      </c>
      <c r="F104" s="482">
        <f t="shared" ref="F104:AG104" ca="1" si="27">F67-F30</f>
        <v>7695</v>
      </c>
      <c r="G104" s="482">
        <f t="shared" ca="1" si="27"/>
        <v>7829.9999999999927</v>
      </c>
      <c r="H104" s="482">
        <f t="shared" ca="1" si="27"/>
        <v>8100</v>
      </c>
      <c r="I104" s="482">
        <f t="shared" ca="1" si="27"/>
        <v>8505</v>
      </c>
      <c r="J104" s="482">
        <f t="shared" ca="1" si="27"/>
        <v>8775</v>
      </c>
      <c r="K104" s="482">
        <f t="shared" ca="1" si="27"/>
        <v>8910.0000000000073</v>
      </c>
      <c r="L104" s="482">
        <f t="shared" ca="1" si="27"/>
        <v>9045</v>
      </c>
      <c r="M104" s="482">
        <f t="shared" ca="1" si="27"/>
        <v>9450</v>
      </c>
      <c r="N104" s="482">
        <f t="shared" ca="1" si="27"/>
        <v>9585</v>
      </c>
      <c r="O104" s="482">
        <f t="shared" ca="1" si="27"/>
        <v>9720</v>
      </c>
      <c r="P104" s="482">
        <f t="shared" ca="1" si="27"/>
        <v>9315</v>
      </c>
      <c r="Q104" s="482">
        <f t="shared" ca="1" si="27"/>
        <v>9449.9999999999927</v>
      </c>
      <c r="R104" s="482">
        <f t="shared" ca="1" si="27"/>
        <v>9585.0000000000073</v>
      </c>
      <c r="S104" s="482">
        <f t="shared" ca="1" si="27"/>
        <v>9855</v>
      </c>
      <c r="T104" s="482">
        <f t="shared" ca="1" si="27"/>
        <v>9990.0000000000073</v>
      </c>
      <c r="U104" s="482">
        <f t="shared" ca="1" si="27"/>
        <v>10935</v>
      </c>
      <c r="V104" s="482">
        <f t="shared" ca="1" si="27"/>
        <v>10935.000000000007</v>
      </c>
      <c r="W104" s="482">
        <f t="shared" ca="1" si="27"/>
        <v>11205</v>
      </c>
      <c r="X104" s="482">
        <f t="shared" ca="1" si="27"/>
        <v>11339.999999999993</v>
      </c>
      <c r="Y104" s="482">
        <f t="shared" ca="1" si="27"/>
        <v>11609.999999999993</v>
      </c>
      <c r="Z104" s="482">
        <f t="shared" ca="1" si="27"/>
        <v>11880</v>
      </c>
      <c r="AA104" s="482">
        <f t="shared" ca="1" si="27"/>
        <v>11880</v>
      </c>
      <c r="AB104" s="482">
        <f t="shared" ca="1" si="27"/>
        <v>12149.999999999993</v>
      </c>
      <c r="AC104" s="482">
        <f t="shared" ca="1" si="27"/>
        <v>12419.999999999993</v>
      </c>
      <c r="AD104" s="482">
        <f t="shared" ca="1" si="27"/>
        <v>12555</v>
      </c>
      <c r="AE104" s="482">
        <f t="shared" ca="1" si="27"/>
        <v>12825.000000000015</v>
      </c>
      <c r="AF104" s="482">
        <f t="shared" ca="1" si="27"/>
        <v>13094.999999999993</v>
      </c>
      <c r="AG104" s="482">
        <f t="shared" ca="1" si="27"/>
        <v>12960</v>
      </c>
      <c r="AH104" s="482">
        <f ca="1">AH67-AH30</f>
        <v>12960</v>
      </c>
      <c r="AI104" s="17"/>
    </row>
    <row r="105" spans="1:35" s="13" customFormat="1" ht="12.75" x14ac:dyDescent="0.2">
      <c r="A105" s="433" t="s">
        <v>127</v>
      </c>
      <c r="B105" s="482">
        <f>IF(B$79&gt;='Datu ievade'!$B$33,IF('Datu ievade'!$B$369='Datu ievade'!$B$370,'Datu ievade'!B276*'Datu ievade'!B392+'Datu ievade'!B278,'Datu ievade'!B276*('Datu ievade'!B393-'Datu ievade'!B394)+'Datu ievade'!B278),0)</f>
        <v>0</v>
      </c>
      <c r="C105" s="482">
        <f>IF(C$79&gt;='Datu ievade'!$B$33,IF('Datu ievade'!$B$369='Datu ievade'!$B$370,'Datu ievade'!C276*'Datu ievade'!C392+'Datu ievade'!C278,'Datu ievade'!C276*('Datu ievade'!C393-'Datu ievade'!C394)+'Datu ievade'!C278),0)</f>
        <v>0</v>
      </c>
      <c r="D105" s="482">
        <f t="shared" si="26"/>
        <v>959.99999999999636</v>
      </c>
      <c r="E105" s="482">
        <f t="shared" ca="1" si="26"/>
        <v>2039.9999999999964</v>
      </c>
      <c r="F105" s="482">
        <f t="shared" ref="F105:AG105" ca="1" si="28">F68-F31</f>
        <v>6840</v>
      </c>
      <c r="G105" s="482">
        <f t="shared" ca="1" si="28"/>
        <v>6959.9999999999964</v>
      </c>
      <c r="H105" s="482">
        <f t="shared" ca="1" si="28"/>
        <v>7200</v>
      </c>
      <c r="I105" s="482">
        <f t="shared" ca="1" si="28"/>
        <v>7560</v>
      </c>
      <c r="J105" s="482">
        <f t="shared" ca="1" si="28"/>
        <v>7800</v>
      </c>
      <c r="K105" s="482">
        <f t="shared" ca="1" si="28"/>
        <v>7920.0000000000073</v>
      </c>
      <c r="L105" s="482">
        <f t="shared" ca="1" si="28"/>
        <v>8040</v>
      </c>
      <c r="M105" s="482">
        <f t="shared" ca="1" si="28"/>
        <v>8400</v>
      </c>
      <c r="N105" s="482">
        <f t="shared" ca="1" si="28"/>
        <v>8520</v>
      </c>
      <c r="O105" s="482">
        <f t="shared" ca="1" si="28"/>
        <v>8640</v>
      </c>
      <c r="P105" s="482">
        <f t="shared" ca="1" si="28"/>
        <v>8280</v>
      </c>
      <c r="Q105" s="482">
        <f t="shared" ca="1" si="28"/>
        <v>8399.9999999999927</v>
      </c>
      <c r="R105" s="482">
        <f t="shared" ca="1" si="28"/>
        <v>8520.0000000000073</v>
      </c>
      <c r="S105" s="482">
        <f t="shared" ca="1" si="28"/>
        <v>8760</v>
      </c>
      <c r="T105" s="482">
        <f t="shared" ca="1" si="28"/>
        <v>8880.0000000000073</v>
      </c>
      <c r="U105" s="482">
        <f t="shared" ca="1" si="28"/>
        <v>9719.9999999999964</v>
      </c>
      <c r="V105" s="482">
        <f t="shared" ca="1" si="28"/>
        <v>9720.0000000000073</v>
      </c>
      <c r="W105" s="482">
        <f t="shared" ca="1" si="28"/>
        <v>9960</v>
      </c>
      <c r="X105" s="482">
        <f t="shared" ca="1" si="28"/>
        <v>10079.999999999993</v>
      </c>
      <c r="Y105" s="482">
        <f t="shared" ca="1" si="28"/>
        <v>10319.999999999993</v>
      </c>
      <c r="Z105" s="482">
        <f t="shared" ca="1" si="28"/>
        <v>10560</v>
      </c>
      <c r="AA105" s="482">
        <f t="shared" ca="1" si="28"/>
        <v>10560</v>
      </c>
      <c r="AB105" s="482">
        <f t="shared" ca="1" si="28"/>
        <v>10799.999999999993</v>
      </c>
      <c r="AC105" s="482">
        <f t="shared" ca="1" si="28"/>
        <v>11039.999999999993</v>
      </c>
      <c r="AD105" s="482">
        <f t="shared" ca="1" si="28"/>
        <v>11160</v>
      </c>
      <c r="AE105" s="482">
        <f t="shared" ca="1" si="28"/>
        <v>11400.000000000015</v>
      </c>
      <c r="AF105" s="482">
        <f t="shared" ca="1" si="28"/>
        <v>11639.999999999993</v>
      </c>
      <c r="AG105" s="482">
        <f t="shared" ca="1" si="28"/>
        <v>11520</v>
      </c>
      <c r="AH105" s="482">
        <f ca="1">AH68-AH31</f>
        <v>11520</v>
      </c>
      <c r="AI105" s="17"/>
    </row>
    <row r="106" spans="1:35" s="13" customFormat="1" ht="12.75" x14ac:dyDescent="0.2">
      <c r="A106" s="582" t="s">
        <v>128</v>
      </c>
      <c r="B106" s="465">
        <f t="shared" ref="B106:AG106" si="29">SUM(B103:B105)</f>
        <v>0</v>
      </c>
      <c r="C106" s="465">
        <f t="shared" si="29"/>
        <v>0</v>
      </c>
      <c r="D106" s="465">
        <f t="shared" si="29"/>
        <v>9588.1999999999462</v>
      </c>
      <c r="E106" s="465">
        <f t="shared" ca="1" si="29"/>
        <v>20374.924999999981</v>
      </c>
      <c r="F106" s="465">
        <f t="shared" ca="1" si="29"/>
        <v>27052.675000000017</v>
      </c>
      <c r="G106" s="465">
        <f t="shared" ca="1" si="29"/>
        <v>27475.574999999972</v>
      </c>
      <c r="H106" s="465">
        <f t="shared" ca="1" si="29"/>
        <v>29097.000000000029</v>
      </c>
      <c r="I106" s="465">
        <f t="shared" ca="1" si="29"/>
        <v>31606.699999999983</v>
      </c>
      <c r="J106" s="465">
        <f t="shared" ca="1" si="29"/>
        <v>33228.124999999971</v>
      </c>
      <c r="K106" s="465">
        <f t="shared" ca="1" si="29"/>
        <v>33651.025000000038</v>
      </c>
      <c r="L106" s="465">
        <f t="shared" ca="1" si="29"/>
        <v>34229.049999999988</v>
      </c>
      <c r="M106" s="465">
        <f t="shared" ca="1" si="29"/>
        <v>36893.874999999971</v>
      </c>
      <c r="N106" s="465">
        <f t="shared" ca="1" si="29"/>
        <v>37161.650000000023</v>
      </c>
      <c r="O106" s="465">
        <f t="shared" ca="1" si="29"/>
        <v>37429.425000000017</v>
      </c>
      <c r="P106" s="465">
        <f t="shared" ca="1" si="29"/>
        <v>33523.600000000006</v>
      </c>
      <c r="Q106" s="465">
        <f t="shared" ca="1" si="29"/>
        <v>34411.874999999927</v>
      </c>
      <c r="R106" s="465">
        <f t="shared" ca="1" si="29"/>
        <v>34679.650000000067</v>
      </c>
      <c r="S106" s="465">
        <f t="shared" ca="1" si="29"/>
        <v>35990.825000000012</v>
      </c>
      <c r="T106" s="465">
        <f t="shared" ca="1" si="29"/>
        <v>36258.600000000079</v>
      </c>
      <c r="U106" s="465">
        <f t="shared" ca="1" si="29"/>
        <v>42786.774999999994</v>
      </c>
      <c r="V106" s="465">
        <f t="shared" ca="1" si="29"/>
        <v>41856.025000000009</v>
      </c>
      <c r="W106" s="465">
        <f t="shared" ca="1" si="29"/>
        <v>43167.200000000012</v>
      </c>
      <c r="X106" s="465">
        <f t="shared" ca="1" si="29"/>
        <v>43434.974999999962</v>
      </c>
      <c r="Y106" s="465">
        <f t="shared" ca="1" si="29"/>
        <v>44746.149999999951</v>
      </c>
      <c r="Z106" s="465">
        <f t="shared" ca="1" si="29"/>
        <v>46057.325000000012</v>
      </c>
      <c r="AA106" s="465">
        <f t="shared" ca="1" si="29"/>
        <v>45126.57500000007</v>
      </c>
      <c r="AB106" s="465">
        <f t="shared" ca="1" si="29"/>
        <v>46437.749999999927</v>
      </c>
      <c r="AC106" s="465">
        <f t="shared" ca="1" si="29"/>
        <v>47748.924999999916</v>
      </c>
      <c r="AD106" s="465">
        <f t="shared" ca="1" si="29"/>
        <v>48016.699999999953</v>
      </c>
      <c r="AE106" s="465">
        <f t="shared" ca="1" si="29"/>
        <v>49172.750000000087</v>
      </c>
      <c r="AF106" s="465">
        <f t="shared" ca="1" si="29"/>
        <v>50173.674999999916</v>
      </c>
      <c r="AG106" s="465">
        <f t="shared" ca="1" si="29"/>
        <v>49130.274999999965</v>
      </c>
      <c r="AH106" s="465">
        <f ca="1">SUM(AH103:AH105)</f>
        <v>49130.274999999965</v>
      </c>
      <c r="AI106" s="12"/>
    </row>
    <row r="107" spans="1:35" s="13" customFormat="1" ht="12.75" x14ac:dyDescent="0.2">
      <c r="A107" s="433" t="s">
        <v>129</v>
      </c>
      <c r="B107" s="482">
        <f>IF(B$79&gt;='Datu ievade'!$B$33,IF('Datu ievade'!$B$369='Datu ievade'!$B$370,'Datu ievade'!B295*'Datu ievade'!B399+'Datu ievade'!B297,'Datu ievade'!B295*('Datu ievade'!B400-'Datu ievade'!B401)+'Datu ievade'!B297),0)</f>
        <v>0</v>
      </c>
      <c r="C107" s="482">
        <f>IF(C$79&gt;='Datu ievade'!$B$33,IF('Datu ievade'!$B$369='Datu ievade'!$B$370,'Datu ievade'!C295*'Datu ievade'!C399+'Datu ievade'!C297,'Datu ievade'!C295*('Datu ievade'!C400-'Datu ievade'!C401)+'Datu ievade'!C297),0)</f>
        <v>0</v>
      </c>
      <c r="D107" s="482">
        <f t="shared" si="26"/>
        <v>11344.199999999983</v>
      </c>
      <c r="E107" s="482">
        <f t="shared" ca="1" si="26"/>
        <v>22688.399999999994</v>
      </c>
      <c r="F107" s="482">
        <f t="shared" ref="F107:AG107" ca="1" si="30">F70-F33</f>
        <v>35379.084999999992</v>
      </c>
      <c r="G107" s="482">
        <f t="shared" ca="1" si="30"/>
        <v>35496.614999999962</v>
      </c>
      <c r="H107" s="482">
        <f t="shared" ca="1" si="30"/>
        <v>38567.725000000035</v>
      </c>
      <c r="I107" s="482">
        <f t="shared" ca="1" si="30"/>
        <v>40132.662500000006</v>
      </c>
      <c r="J107" s="482">
        <f t="shared" ca="1" si="30"/>
        <v>42465.377499999944</v>
      </c>
      <c r="K107" s="482">
        <f t="shared" ca="1" si="30"/>
        <v>43321.30250000002</v>
      </c>
      <c r="L107" s="482">
        <f t="shared" ca="1" si="30"/>
        <v>44147.844999999972</v>
      </c>
      <c r="M107" s="482">
        <f t="shared" ca="1" si="30"/>
        <v>47218.954999999987</v>
      </c>
      <c r="N107" s="482">
        <f t="shared" ca="1" si="30"/>
        <v>48104.262500000012</v>
      </c>
      <c r="O107" s="482">
        <f t="shared" ca="1" si="30"/>
        <v>48251.175000000047</v>
      </c>
      <c r="P107" s="482">
        <f t="shared" ca="1" si="30"/>
        <v>38828.334999999992</v>
      </c>
      <c r="Q107" s="482">
        <f t="shared" ca="1" si="30"/>
        <v>41072.902500000026</v>
      </c>
      <c r="R107" s="482">
        <f t="shared" ca="1" si="30"/>
        <v>41249.197500000009</v>
      </c>
      <c r="S107" s="482">
        <f t="shared" ca="1" si="30"/>
        <v>42163.887499999983</v>
      </c>
      <c r="T107" s="482">
        <f t="shared" ca="1" si="30"/>
        <v>43787.590000000055</v>
      </c>
      <c r="U107" s="482">
        <f t="shared" ca="1" si="30"/>
        <v>50609.439999999973</v>
      </c>
      <c r="V107" s="482">
        <f t="shared" ca="1" si="30"/>
        <v>52233.142499999987</v>
      </c>
      <c r="W107" s="482">
        <f t="shared" ca="1" si="30"/>
        <v>52409.437500000029</v>
      </c>
      <c r="X107" s="482">
        <f t="shared" ca="1" si="30"/>
        <v>54033.139999999985</v>
      </c>
      <c r="Y107" s="482">
        <f t="shared" ca="1" si="30"/>
        <v>54209.435000000027</v>
      </c>
      <c r="Z107" s="482">
        <f t="shared" ca="1" si="30"/>
        <v>55124.124999999971</v>
      </c>
      <c r="AA107" s="482">
        <f t="shared" ca="1" si="30"/>
        <v>56009.432500000024</v>
      </c>
      <c r="AB107" s="482">
        <f t="shared" ca="1" si="30"/>
        <v>56924.122499999969</v>
      </c>
      <c r="AC107" s="482">
        <f t="shared" ca="1" si="30"/>
        <v>57809.430000000022</v>
      </c>
      <c r="AD107" s="482">
        <f t="shared" ca="1" si="30"/>
        <v>57985.725000000006</v>
      </c>
      <c r="AE107" s="482">
        <f t="shared" ca="1" si="30"/>
        <v>58929.797500000015</v>
      </c>
      <c r="AF107" s="482">
        <f t="shared" ca="1" si="30"/>
        <v>60582.882500000065</v>
      </c>
      <c r="AG107" s="482">
        <f t="shared" ca="1" si="30"/>
        <v>60582.882500000065</v>
      </c>
      <c r="AH107" s="482">
        <f ca="1">AH70-AH33</f>
        <v>61321.277500000026</v>
      </c>
      <c r="AI107" s="17"/>
    </row>
    <row r="108" spans="1:35" s="13" customFormat="1" ht="12.75" x14ac:dyDescent="0.2">
      <c r="A108" s="433" t="s">
        <v>130</v>
      </c>
      <c r="B108" s="482">
        <f>IF(B$79&gt;='Datu ievade'!$B$33,IF('Datu ievade'!$B$369='Datu ievade'!$B$370,'Datu ievade'!B304*'Datu ievade'!B399+'Datu ievade'!B306,'Datu ievade'!B304*('Datu ievade'!B400-'Datu ievade'!B401)+'Datu ievade'!B306),0)</f>
        <v>0</v>
      </c>
      <c r="C108" s="482">
        <f>IF(C$79&gt;='Datu ievade'!$B$33,IF('Datu ievade'!$B$369='Datu ievade'!$B$370,'Datu ievade'!C296*'Datu ievade'!C400+'Datu ievade'!C298,'Datu ievade'!C296*('Datu ievade'!C401-'Datu ievade'!C402)+'Datu ievade'!C298),0)</f>
        <v>0</v>
      </c>
      <c r="D108" s="482">
        <f t="shared" si="26"/>
        <v>1520</v>
      </c>
      <c r="E108" s="482">
        <f t="shared" ca="1" si="26"/>
        <v>3040</v>
      </c>
      <c r="F108" s="482">
        <f t="shared" ref="F108:AG108" ca="1" si="31">F71-F34</f>
        <v>3705</v>
      </c>
      <c r="G108" s="482">
        <f t="shared" ca="1" si="31"/>
        <v>3704.9999999999964</v>
      </c>
      <c r="H108" s="482">
        <f t="shared" ca="1" si="31"/>
        <v>4085.0000000000036</v>
      </c>
      <c r="I108" s="482">
        <f t="shared" ca="1" si="31"/>
        <v>4275.0000000000036</v>
      </c>
      <c r="J108" s="482">
        <f t="shared" ca="1" si="31"/>
        <v>4559.9999999999927</v>
      </c>
      <c r="K108" s="482">
        <f t="shared" ca="1" si="31"/>
        <v>4655.0000000000036</v>
      </c>
      <c r="L108" s="482">
        <f t="shared" ca="1" si="31"/>
        <v>4750</v>
      </c>
      <c r="M108" s="482">
        <f t="shared" ca="1" si="31"/>
        <v>5130</v>
      </c>
      <c r="N108" s="482">
        <f t="shared" ca="1" si="31"/>
        <v>5225</v>
      </c>
      <c r="O108" s="482">
        <f t="shared" ca="1" si="31"/>
        <v>5225.0000000000073</v>
      </c>
      <c r="P108" s="482">
        <f t="shared" ca="1" si="31"/>
        <v>3990</v>
      </c>
      <c r="Q108" s="482">
        <f t="shared" ca="1" si="31"/>
        <v>4275.0000000000036</v>
      </c>
      <c r="R108" s="482">
        <f t="shared" ca="1" si="31"/>
        <v>4274.9999999999964</v>
      </c>
      <c r="S108" s="482">
        <f t="shared" ca="1" si="31"/>
        <v>4369.9999999999964</v>
      </c>
      <c r="T108" s="482">
        <f t="shared" ca="1" si="31"/>
        <v>4560.0000000000109</v>
      </c>
      <c r="U108" s="482">
        <f t="shared" ca="1" si="31"/>
        <v>5415.0000000000036</v>
      </c>
      <c r="V108" s="482">
        <f t="shared" ca="1" si="31"/>
        <v>5605</v>
      </c>
      <c r="W108" s="482">
        <f t="shared" ca="1" si="31"/>
        <v>5605</v>
      </c>
      <c r="X108" s="482">
        <f t="shared" ca="1" si="31"/>
        <v>5795</v>
      </c>
      <c r="Y108" s="482">
        <f t="shared" ca="1" si="31"/>
        <v>5795</v>
      </c>
      <c r="Z108" s="482">
        <f t="shared" ca="1" si="31"/>
        <v>5890</v>
      </c>
      <c r="AA108" s="482">
        <f t="shared" ca="1" si="31"/>
        <v>5985</v>
      </c>
      <c r="AB108" s="482">
        <f t="shared" ca="1" si="31"/>
        <v>6079.9999999999927</v>
      </c>
      <c r="AC108" s="482">
        <f t="shared" ca="1" si="31"/>
        <v>6175</v>
      </c>
      <c r="AD108" s="482">
        <f t="shared" ca="1" si="31"/>
        <v>6174.9999999999964</v>
      </c>
      <c r="AE108" s="482">
        <f t="shared" ca="1" si="31"/>
        <v>6270</v>
      </c>
      <c r="AF108" s="482">
        <f t="shared" ca="1" si="31"/>
        <v>6460.0000000000073</v>
      </c>
      <c r="AG108" s="482">
        <f t="shared" ca="1" si="31"/>
        <v>6460.0000000000073</v>
      </c>
      <c r="AH108" s="482">
        <f ca="1">AH71-AH34</f>
        <v>6555</v>
      </c>
      <c r="AI108" s="17"/>
    </row>
    <row r="109" spans="1:35" s="13" customFormat="1" ht="12.75" x14ac:dyDescent="0.2">
      <c r="A109" s="433" t="s">
        <v>131</v>
      </c>
      <c r="B109" s="482">
        <f>IF(B$79&gt;='Datu ievade'!$B$33,IF('Datu ievade'!$B$369='Datu ievade'!$B$370,'Datu ievade'!B311*'Datu ievade'!B399+'Datu ievade'!B313,'Datu ievade'!B311*('Datu ievade'!B400-'Datu ievade'!B401)+'Datu ievade'!B313),0)</f>
        <v>0</v>
      </c>
      <c r="C109" s="482">
        <f>IF(C$79&gt;='Datu ievade'!$B$33,IF('Datu ievade'!$B$369='Datu ievade'!$B$370,'Datu ievade'!C297*'Datu ievade'!C401+'Datu ievade'!C299,'Datu ievade'!C297*('Datu ievade'!C402-'Datu ievade'!C403)+'Datu ievade'!C299),0)</f>
        <v>0</v>
      </c>
      <c r="D109" s="482">
        <f t="shared" si="26"/>
        <v>1119.9999999999982</v>
      </c>
      <c r="E109" s="482">
        <f t="shared" ca="1" si="26"/>
        <v>2240</v>
      </c>
      <c r="F109" s="482">
        <f t="shared" ref="F109:AG109" ca="1" si="32">F72-F35</f>
        <v>2730</v>
      </c>
      <c r="G109" s="482">
        <f t="shared" ca="1" si="32"/>
        <v>2729.9999999999964</v>
      </c>
      <c r="H109" s="482">
        <f t="shared" ca="1" si="32"/>
        <v>3010</v>
      </c>
      <c r="I109" s="482">
        <f t="shared" ca="1" si="32"/>
        <v>3150.0000000000036</v>
      </c>
      <c r="J109" s="482">
        <f t="shared" ca="1" si="32"/>
        <v>3359.9999999999927</v>
      </c>
      <c r="K109" s="482">
        <f t="shared" ca="1" si="32"/>
        <v>3430.0000000000036</v>
      </c>
      <c r="L109" s="482">
        <f t="shared" ca="1" si="32"/>
        <v>3500</v>
      </c>
      <c r="M109" s="482">
        <f t="shared" ca="1" si="32"/>
        <v>3780</v>
      </c>
      <c r="N109" s="482">
        <f t="shared" ca="1" si="32"/>
        <v>3850</v>
      </c>
      <c r="O109" s="482">
        <f t="shared" ca="1" si="32"/>
        <v>3850.0000000000036</v>
      </c>
      <c r="P109" s="482">
        <f t="shared" ca="1" si="32"/>
        <v>2940</v>
      </c>
      <c r="Q109" s="482">
        <f t="shared" ca="1" si="32"/>
        <v>3150.0000000000036</v>
      </c>
      <c r="R109" s="482">
        <f t="shared" ca="1" si="32"/>
        <v>3150</v>
      </c>
      <c r="S109" s="482">
        <f t="shared" ca="1" si="32"/>
        <v>3220</v>
      </c>
      <c r="T109" s="482">
        <f t="shared" ca="1" si="32"/>
        <v>3360.0000000000036</v>
      </c>
      <c r="U109" s="482">
        <f t="shared" ca="1" si="32"/>
        <v>3990</v>
      </c>
      <c r="V109" s="482">
        <f t="shared" ca="1" si="32"/>
        <v>4130</v>
      </c>
      <c r="W109" s="482">
        <f t="shared" ca="1" si="32"/>
        <v>4130</v>
      </c>
      <c r="X109" s="482">
        <f t="shared" ca="1" si="32"/>
        <v>4270</v>
      </c>
      <c r="Y109" s="482">
        <f t="shared" ca="1" si="32"/>
        <v>4270</v>
      </c>
      <c r="Z109" s="482">
        <f t="shared" ca="1" si="32"/>
        <v>4340</v>
      </c>
      <c r="AA109" s="482">
        <f t="shared" ca="1" si="32"/>
        <v>4410</v>
      </c>
      <c r="AB109" s="482">
        <f t="shared" ca="1" si="32"/>
        <v>4479.9999999999964</v>
      </c>
      <c r="AC109" s="482">
        <f t="shared" ca="1" si="32"/>
        <v>4550</v>
      </c>
      <c r="AD109" s="482">
        <f t="shared" ca="1" si="32"/>
        <v>4550.0000000000036</v>
      </c>
      <c r="AE109" s="482">
        <f t="shared" ca="1" si="32"/>
        <v>4620.0000000000036</v>
      </c>
      <c r="AF109" s="482">
        <f t="shared" ca="1" si="32"/>
        <v>4760.0000000000036</v>
      </c>
      <c r="AG109" s="482">
        <f t="shared" ca="1" si="32"/>
        <v>4760.0000000000036</v>
      </c>
      <c r="AH109" s="482">
        <f ca="1">AH72-AH35</f>
        <v>4830</v>
      </c>
      <c r="AI109" s="17"/>
    </row>
    <row r="110" spans="1:35" s="13" customFormat="1" ht="12.75" x14ac:dyDescent="0.2">
      <c r="A110" s="582" t="s">
        <v>132</v>
      </c>
      <c r="B110" s="465">
        <f t="shared" ref="B110:AG110" si="33">SUM(B107:B109)</f>
        <v>0</v>
      </c>
      <c r="C110" s="465">
        <f t="shared" si="33"/>
        <v>0</v>
      </c>
      <c r="D110" s="465">
        <f t="shared" si="33"/>
        <v>13984.199999999981</v>
      </c>
      <c r="E110" s="465">
        <f t="shared" ca="1" si="33"/>
        <v>27968.399999999994</v>
      </c>
      <c r="F110" s="465">
        <f t="shared" ca="1" si="33"/>
        <v>41814.084999999992</v>
      </c>
      <c r="G110" s="465">
        <f t="shared" ca="1" si="33"/>
        <v>41931.614999999962</v>
      </c>
      <c r="H110" s="465">
        <f t="shared" ca="1" si="33"/>
        <v>45662.725000000035</v>
      </c>
      <c r="I110" s="465">
        <f t="shared" ca="1" si="33"/>
        <v>47557.662500000006</v>
      </c>
      <c r="J110" s="465">
        <f t="shared" ca="1" si="33"/>
        <v>50385.37749999993</v>
      </c>
      <c r="K110" s="465">
        <f t="shared" ca="1" si="33"/>
        <v>51406.30250000002</v>
      </c>
      <c r="L110" s="465">
        <f t="shared" ca="1" si="33"/>
        <v>52397.844999999972</v>
      </c>
      <c r="M110" s="465">
        <f t="shared" ca="1" si="33"/>
        <v>56128.954999999987</v>
      </c>
      <c r="N110" s="465">
        <f t="shared" ca="1" si="33"/>
        <v>57179.262500000012</v>
      </c>
      <c r="O110" s="465">
        <f t="shared" ca="1" si="33"/>
        <v>57326.175000000061</v>
      </c>
      <c r="P110" s="465">
        <f t="shared" ca="1" si="33"/>
        <v>45758.334999999992</v>
      </c>
      <c r="Q110" s="465">
        <f t="shared" ca="1" si="33"/>
        <v>48497.902500000026</v>
      </c>
      <c r="R110" s="465">
        <f t="shared" ca="1" si="33"/>
        <v>48674.197500000009</v>
      </c>
      <c r="S110" s="465">
        <f t="shared" ca="1" si="33"/>
        <v>49753.887499999983</v>
      </c>
      <c r="T110" s="465">
        <f t="shared" ca="1" si="33"/>
        <v>51707.590000000069</v>
      </c>
      <c r="U110" s="465">
        <f t="shared" ca="1" si="33"/>
        <v>60014.439999999973</v>
      </c>
      <c r="V110" s="465">
        <f t="shared" ca="1" si="33"/>
        <v>61968.142499999987</v>
      </c>
      <c r="W110" s="465">
        <f t="shared" ca="1" si="33"/>
        <v>62144.437500000029</v>
      </c>
      <c r="X110" s="465">
        <f t="shared" ca="1" si="33"/>
        <v>64098.139999999985</v>
      </c>
      <c r="Y110" s="465">
        <f t="shared" ca="1" si="33"/>
        <v>64274.435000000027</v>
      </c>
      <c r="Z110" s="465">
        <f t="shared" ca="1" si="33"/>
        <v>65354.124999999971</v>
      </c>
      <c r="AA110" s="465">
        <f t="shared" ca="1" si="33"/>
        <v>66404.432500000024</v>
      </c>
      <c r="AB110" s="465">
        <f t="shared" ca="1" si="33"/>
        <v>67484.122499999954</v>
      </c>
      <c r="AC110" s="465">
        <f t="shared" ca="1" si="33"/>
        <v>68534.430000000022</v>
      </c>
      <c r="AD110" s="465">
        <f t="shared" ca="1" si="33"/>
        <v>68710.725000000006</v>
      </c>
      <c r="AE110" s="465">
        <f t="shared" ca="1" si="33"/>
        <v>69819.797500000015</v>
      </c>
      <c r="AF110" s="465">
        <f t="shared" ca="1" si="33"/>
        <v>71802.882500000065</v>
      </c>
      <c r="AG110" s="518">
        <f t="shared" ca="1" si="33"/>
        <v>71802.882500000065</v>
      </c>
      <c r="AH110" s="518">
        <f ca="1">SUM(AH107:AH109)</f>
        <v>72706.277500000026</v>
      </c>
      <c r="AI110" s="19"/>
    </row>
    <row r="111" spans="1:35" s="13" customFormat="1" ht="25.5" x14ac:dyDescent="0.2">
      <c r="A111" s="464" t="s">
        <v>133</v>
      </c>
      <c r="B111" s="465">
        <f t="shared" ref="B111:AG111" si="34">SUM(B106,B110)</f>
        <v>0</v>
      </c>
      <c r="C111" s="465">
        <f t="shared" si="34"/>
        <v>0</v>
      </c>
      <c r="D111" s="465">
        <f t="shared" si="34"/>
        <v>23572.399999999929</v>
      </c>
      <c r="E111" s="465">
        <f t="shared" ca="1" si="34"/>
        <v>48343.324999999975</v>
      </c>
      <c r="F111" s="465">
        <f t="shared" ca="1" si="34"/>
        <v>68866.760000000009</v>
      </c>
      <c r="G111" s="465">
        <f t="shared" ca="1" si="34"/>
        <v>69407.18999999993</v>
      </c>
      <c r="H111" s="465">
        <f t="shared" ca="1" si="34"/>
        <v>74759.725000000064</v>
      </c>
      <c r="I111" s="465">
        <f t="shared" ca="1" si="34"/>
        <v>79164.362499999988</v>
      </c>
      <c r="J111" s="465">
        <f t="shared" ca="1" si="34"/>
        <v>83613.5024999999</v>
      </c>
      <c r="K111" s="465">
        <f t="shared" ca="1" si="34"/>
        <v>85057.327500000058</v>
      </c>
      <c r="L111" s="465">
        <f t="shared" ca="1" si="34"/>
        <v>86626.89499999996</v>
      </c>
      <c r="M111" s="465">
        <f t="shared" ca="1" si="34"/>
        <v>93022.829999999958</v>
      </c>
      <c r="N111" s="465">
        <f t="shared" ca="1" si="34"/>
        <v>94340.912500000035</v>
      </c>
      <c r="O111" s="465">
        <f t="shared" ca="1" si="34"/>
        <v>94755.600000000079</v>
      </c>
      <c r="P111" s="465">
        <f t="shared" ca="1" si="34"/>
        <v>79281.934999999998</v>
      </c>
      <c r="Q111" s="465">
        <f t="shared" ca="1" si="34"/>
        <v>82909.777499999953</v>
      </c>
      <c r="R111" s="465">
        <f t="shared" ca="1" si="34"/>
        <v>83353.847500000076</v>
      </c>
      <c r="S111" s="465">
        <f t="shared" ca="1" si="34"/>
        <v>85744.712499999994</v>
      </c>
      <c r="T111" s="465">
        <f t="shared" ca="1" si="34"/>
        <v>87966.190000000148</v>
      </c>
      <c r="U111" s="465">
        <f t="shared" ca="1" si="34"/>
        <v>102801.21499999997</v>
      </c>
      <c r="V111" s="465">
        <f t="shared" ca="1" si="34"/>
        <v>103824.1675</v>
      </c>
      <c r="W111" s="465">
        <f t="shared" ca="1" si="34"/>
        <v>105311.63750000004</v>
      </c>
      <c r="X111" s="465">
        <f t="shared" ca="1" si="34"/>
        <v>107533.11499999995</v>
      </c>
      <c r="Y111" s="465">
        <f t="shared" ca="1" si="34"/>
        <v>109020.58499999998</v>
      </c>
      <c r="Z111" s="465">
        <f t="shared" ca="1" si="34"/>
        <v>111411.44999999998</v>
      </c>
      <c r="AA111" s="465">
        <f t="shared" ca="1" si="34"/>
        <v>111531.00750000009</v>
      </c>
      <c r="AB111" s="465">
        <f t="shared" ca="1" si="34"/>
        <v>113921.87249999988</v>
      </c>
      <c r="AC111" s="465">
        <f t="shared" ca="1" si="34"/>
        <v>116283.35499999994</v>
      </c>
      <c r="AD111" s="465">
        <f t="shared" ca="1" si="34"/>
        <v>116727.42499999996</v>
      </c>
      <c r="AE111" s="465">
        <f t="shared" ca="1" si="34"/>
        <v>118992.5475000001</v>
      </c>
      <c r="AF111" s="465">
        <f t="shared" ca="1" si="34"/>
        <v>121976.55749999998</v>
      </c>
      <c r="AG111" s="465">
        <f t="shared" ca="1" si="34"/>
        <v>120933.15750000003</v>
      </c>
      <c r="AH111" s="465">
        <f ca="1">SUM(AH106,AH110)</f>
        <v>121836.55249999999</v>
      </c>
      <c r="AI111" s="12"/>
    </row>
    <row r="112" spans="1:35" s="13" customFormat="1" ht="25.5" x14ac:dyDescent="0.2">
      <c r="A112" s="464" t="s">
        <v>134</v>
      </c>
      <c r="B112" s="465">
        <f t="shared" ref="B112:AG112" si="35">B111-B102</f>
        <v>0</v>
      </c>
      <c r="C112" s="465">
        <f t="shared" si="35"/>
        <v>0</v>
      </c>
      <c r="D112" s="465">
        <f t="shared" si="35"/>
        <v>-87.100000000071304</v>
      </c>
      <c r="E112" s="465">
        <f t="shared" ca="1" si="35"/>
        <v>1024.3249999999753</v>
      </c>
      <c r="F112" s="465">
        <f t="shared" ca="1" si="35"/>
        <v>15669.48000000004</v>
      </c>
      <c r="G112" s="465">
        <f t="shared" ca="1" si="35"/>
        <v>15263.529999999897</v>
      </c>
      <c r="H112" s="465">
        <f t="shared" ca="1" si="35"/>
        <v>14579.232200000115</v>
      </c>
      <c r="I112" s="465">
        <f t="shared" ca="1" si="35"/>
        <v>16171.57209999999</v>
      </c>
      <c r="J112" s="465">
        <f t="shared" ca="1" si="35"/>
        <v>19556.766499999867</v>
      </c>
      <c r="K112" s="465">
        <f t="shared" ca="1" si="35"/>
        <v>19936.645900000047</v>
      </c>
      <c r="L112" s="465">
        <f t="shared" ca="1" si="35"/>
        <v>20442.267799999972</v>
      </c>
      <c r="M112" s="465">
        <f t="shared" ca="1" si="35"/>
        <v>25774.257199999935</v>
      </c>
      <c r="N112" s="465">
        <f t="shared" ca="1" si="35"/>
        <v>25386.421299999929</v>
      </c>
      <c r="O112" s="465">
        <f t="shared" ca="1" si="35"/>
        <v>24205.190400000007</v>
      </c>
      <c r="P112" s="465">
        <f t="shared" ca="1" si="35"/>
        <v>7135.60699999996</v>
      </c>
      <c r="Q112" s="465">
        <f t="shared" ca="1" si="35"/>
        <v>9167.5311000000074</v>
      </c>
      <c r="R112" s="465">
        <f t="shared" ca="1" si="35"/>
        <v>8015.6827000000485</v>
      </c>
      <c r="S112" s="465">
        <f t="shared" ca="1" si="35"/>
        <v>8810.6293000000587</v>
      </c>
      <c r="T112" s="465">
        <f t="shared" ca="1" si="35"/>
        <v>9436.1884000001301</v>
      </c>
      <c r="U112" s="465">
        <f t="shared" ca="1" si="35"/>
        <v>22675.294999999925</v>
      </c>
      <c r="V112" s="465">
        <f t="shared" ca="1" si="35"/>
        <v>22102.329100000046</v>
      </c>
      <c r="W112" s="465">
        <f t="shared" ca="1" si="35"/>
        <v>21993.880700000009</v>
      </c>
      <c r="X112" s="465">
        <f t="shared" ca="1" si="35"/>
        <v>22619.439799999949</v>
      </c>
      <c r="Y112" s="465">
        <f t="shared" ca="1" si="35"/>
        <v>22510.991399999897</v>
      </c>
      <c r="Z112" s="465">
        <f t="shared" ca="1" si="35"/>
        <v>23305.937999999995</v>
      </c>
      <c r="AA112" s="465">
        <f t="shared" ca="1" si="35"/>
        <v>21829.577100000024</v>
      </c>
      <c r="AB112" s="465">
        <f t="shared" ca="1" si="35"/>
        <v>22624.523699999845</v>
      </c>
      <c r="AC112" s="465">
        <f t="shared" ca="1" si="35"/>
        <v>23390.087799999936</v>
      </c>
      <c r="AD112" s="465">
        <f t="shared" ca="1" si="35"/>
        <v>22238.239399999933</v>
      </c>
      <c r="AE112" s="465">
        <f t="shared" ca="1" si="35"/>
        <v>22265.47070000018</v>
      </c>
      <c r="AF112" s="465">
        <f t="shared" ca="1" si="35"/>
        <v>23121.589499999987</v>
      </c>
      <c r="AG112" s="465">
        <f t="shared" ca="1" si="35"/>
        <v>22518.189500000037</v>
      </c>
      <c r="AH112" s="465">
        <f ca="1">AH111-AH102</f>
        <v>23861.584499999997</v>
      </c>
      <c r="AI112" s="12"/>
    </row>
    <row r="114" spans="2:37" hidden="1" x14ac:dyDescent="0.2"/>
    <row r="115" spans="2:37" hidden="1" x14ac:dyDescent="0.2"/>
    <row r="116" spans="2:37" hidden="1" x14ac:dyDescent="0.2">
      <c r="B116" s="54">
        <f ca="1">Aprekini!B341</f>
        <v>0</v>
      </c>
      <c r="C116" s="54">
        <f ca="1">Aprekini!C341</f>
        <v>288951.94962500012</v>
      </c>
      <c r="D116" s="54">
        <f ca="1">Aprekini!D341</f>
        <v>572689.04962499999</v>
      </c>
      <c r="E116" s="54">
        <f ca="1">Aprekini!E341</f>
        <v>-460.57037500012666</v>
      </c>
      <c r="F116" s="54">
        <f ca="1">Aprekini!F341</f>
        <v>-462.47037500003353</v>
      </c>
      <c r="G116" s="54">
        <f ca="1">Aprekini!G341</f>
        <v>-461.3703749999404</v>
      </c>
      <c r="H116" s="54">
        <f ca="1">Aprekini!H341</f>
        <v>-165.390625</v>
      </c>
      <c r="I116" s="54">
        <f ca="1">Aprekini!I341</f>
        <v>111.38137499988079</v>
      </c>
      <c r="J116" s="54">
        <f ca="1">Aprekini!J341</f>
        <v>399.7457249998115</v>
      </c>
      <c r="K116" s="54">
        <f ca="1">Aprekini!K341</f>
        <v>400.84572500037029</v>
      </c>
      <c r="L116" s="54">
        <f ca="1">Aprekini!L341</f>
        <v>398.94572500046343</v>
      </c>
      <c r="M116" s="54">
        <f ca="1">Aprekini!M341</f>
        <v>400.0457250000909</v>
      </c>
      <c r="N116" s="54">
        <f ca="1">Aprekini!N341</f>
        <v>400.14572500018403</v>
      </c>
      <c r="O116" s="54">
        <f ca="1">Aprekini!O341</f>
        <v>400.24572500027716</v>
      </c>
      <c r="P116" s="54">
        <f ca="1">Aprekini!P341</f>
        <v>936.21112499991432</v>
      </c>
      <c r="Q116" s="54">
        <f ca="1">Aprekini!Q341</f>
        <v>1493.1727250004187</v>
      </c>
      <c r="R116" s="54">
        <f ca="1">Aprekini!R341</f>
        <v>2049.3266250002198</v>
      </c>
      <c r="S116" s="54">
        <f ca="1">Aprekini!S341</f>
        <v>2050.3266250002198</v>
      </c>
      <c r="T116" s="54">
        <f ca="1">Aprekini!T341</f>
        <v>2050.3266250002198</v>
      </c>
      <c r="U116" s="54">
        <f ca="1">Aprekini!U341</f>
        <v>2050.3266249997541</v>
      </c>
      <c r="V116" s="54">
        <f ca="1">Aprekini!V341</f>
        <v>2050.3266250002198</v>
      </c>
      <c r="W116" s="54">
        <f ca="1">Aprekini!W341</f>
        <v>2050.3266250002198</v>
      </c>
      <c r="X116" s="54">
        <f ca="1">Aprekini!X341</f>
        <v>2050.3266249997541</v>
      </c>
      <c r="Y116" s="54">
        <f ca="1">Aprekini!Y341</f>
        <v>2050.3266249997541</v>
      </c>
      <c r="Z116" s="54">
        <f ca="1">Aprekini!Z341</f>
        <v>2050.3266250002198</v>
      </c>
      <c r="AA116" s="54">
        <f ca="1">Aprekini!AA341</f>
        <v>2050.3266250002198</v>
      </c>
      <c r="AB116" s="54">
        <f ca="1">Aprekini!AB341</f>
        <v>2050.3266250002198</v>
      </c>
      <c r="AC116" s="54">
        <f ca="1">Aprekini!AC341</f>
        <v>2050.3266250002198</v>
      </c>
      <c r="AD116" s="54">
        <f ca="1">Aprekini!AD341</f>
        <v>2050.3266249997541</v>
      </c>
      <c r="AE116" s="54">
        <f ca="1">Aprekini!AE341</f>
        <v>2050.3266250002198</v>
      </c>
      <c r="AF116" s="54">
        <f ca="1">Aprekini!AF341</f>
        <v>2050.3266250002198</v>
      </c>
      <c r="AG116" s="54">
        <f ca="1">Aprekini!AG341</f>
        <v>2050.3266250002198</v>
      </c>
      <c r="AH116" s="54">
        <f ca="1">Aprekini!AH341</f>
        <v>2050.3266249997541</v>
      </c>
      <c r="AI116" s="54">
        <f>Aprekini!AI341</f>
        <v>0</v>
      </c>
      <c r="AJ116" s="54">
        <f>Aprekini!AJ341</f>
        <v>0</v>
      </c>
      <c r="AK116" s="54">
        <f>Aprekini!AK341</f>
        <v>0</v>
      </c>
    </row>
    <row r="117" spans="2:37" hidden="1" x14ac:dyDescent="0.2">
      <c r="C117" s="5">
        <f>-13044+91</f>
        <v>-12953</v>
      </c>
      <c r="D117" s="54"/>
      <c r="E117" s="5">
        <v>1</v>
      </c>
      <c r="F117" s="54">
        <v>-1</v>
      </c>
      <c r="H117" s="5">
        <f>5415+246</f>
        <v>5661</v>
      </c>
      <c r="I117" s="5">
        <f>5504+254</f>
        <v>5758</v>
      </c>
      <c r="J117" s="5">
        <f>5591+296</f>
        <v>5887</v>
      </c>
      <c r="K117" s="5">
        <v>1</v>
      </c>
      <c r="L117" s="5">
        <v>-2</v>
      </c>
      <c r="M117" s="5">
        <v>1</v>
      </c>
      <c r="P117" s="5">
        <f>6235+391</f>
        <v>6626</v>
      </c>
      <c r="Q117" s="5">
        <f>6302+402</f>
        <v>6704</v>
      </c>
      <c r="R117" s="5">
        <f>6429+391</f>
        <v>6820</v>
      </c>
      <c r="S117" s="5">
        <v>1</v>
      </c>
    </row>
    <row r="118" spans="2:37" hidden="1" x14ac:dyDescent="0.2">
      <c r="C118" s="54">
        <f ca="1">C117+C116</f>
        <v>275998.94962500012</v>
      </c>
      <c r="D118" s="54">
        <f t="shared" ref="D118:AG118" ca="1" si="36">D117+D116</f>
        <v>572689.04962499999</v>
      </c>
      <c r="E118" s="54">
        <f t="shared" ca="1" si="36"/>
        <v>-459.57037500012666</v>
      </c>
      <c r="F118" s="54">
        <f t="shared" ca="1" si="36"/>
        <v>-463.47037500003353</v>
      </c>
      <c r="G118" s="54">
        <f t="shared" ca="1" si="36"/>
        <v>-461.3703749999404</v>
      </c>
      <c r="H118" s="54">
        <f t="shared" ca="1" si="36"/>
        <v>5495.609375</v>
      </c>
      <c r="I118" s="54">
        <f t="shared" ca="1" si="36"/>
        <v>5869.3813749998808</v>
      </c>
      <c r="J118" s="54">
        <f t="shared" ca="1" si="36"/>
        <v>6286.7457249998115</v>
      </c>
      <c r="K118" s="54">
        <f t="shared" ca="1" si="36"/>
        <v>401.84572500037029</v>
      </c>
      <c r="L118" s="54">
        <f t="shared" ca="1" si="36"/>
        <v>396.94572500046343</v>
      </c>
      <c r="M118" s="54">
        <f t="shared" ca="1" si="36"/>
        <v>401.0457250000909</v>
      </c>
      <c r="N118" s="54">
        <f t="shared" ca="1" si="36"/>
        <v>400.14572500018403</v>
      </c>
      <c r="O118" s="54">
        <f t="shared" ca="1" si="36"/>
        <v>400.24572500027716</v>
      </c>
      <c r="P118" s="54">
        <f t="shared" ca="1" si="36"/>
        <v>7562.2111249999143</v>
      </c>
      <c r="Q118" s="54">
        <f t="shared" ca="1" si="36"/>
        <v>8197.1727250004187</v>
      </c>
      <c r="R118" s="54">
        <f t="shared" ca="1" si="36"/>
        <v>8869.3266250002198</v>
      </c>
      <c r="S118" s="54">
        <f t="shared" ca="1" si="36"/>
        <v>2051.3266250002198</v>
      </c>
      <c r="T118" s="54">
        <f t="shared" ca="1" si="36"/>
        <v>2050.3266250002198</v>
      </c>
      <c r="U118" s="54">
        <f t="shared" ca="1" si="36"/>
        <v>2050.3266249997541</v>
      </c>
      <c r="V118" s="54">
        <f t="shared" ca="1" si="36"/>
        <v>2050.3266250002198</v>
      </c>
      <c r="W118" s="54">
        <f t="shared" ca="1" si="36"/>
        <v>2050.3266250002198</v>
      </c>
      <c r="X118" s="54">
        <f t="shared" ca="1" si="36"/>
        <v>2050.3266249997541</v>
      </c>
      <c r="Y118" s="54">
        <f t="shared" ca="1" si="36"/>
        <v>2050.3266249997541</v>
      </c>
      <c r="Z118" s="54">
        <f t="shared" ca="1" si="36"/>
        <v>2050.3266250002198</v>
      </c>
      <c r="AA118" s="54">
        <f t="shared" ca="1" si="36"/>
        <v>2050.3266250002198</v>
      </c>
      <c r="AB118" s="54">
        <f t="shared" ca="1" si="36"/>
        <v>2050.3266250002198</v>
      </c>
      <c r="AC118" s="54">
        <f t="shared" ca="1" si="36"/>
        <v>2050.3266250002198</v>
      </c>
      <c r="AD118" s="54">
        <f t="shared" ca="1" si="36"/>
        <v>2050.3266249997541</v>
      </c>
      <c r="AE118" s="54">
        <f t="shared" ca="1" si="36"/>
        <v>2050.3266250002198</v>
      </c>
      <c r="AF118" s="54">
        <f t="shared" ca="1" si="36"/>
        <v>2050.3266250002198</v>
      </c>
      <c r="AG118" s="54">
        <f t="shared" ca="1" si="36"/>
        <v>2050.3266250002198</v>
      </c>
      <c r="AH118" s="54">
        <f ca="1">AH117+AH116</f>
        <v>2050.3266249997541</v>
      </c>
      <c r="AI118" s="54">
        <f>AI117+AI116</f>
        <v>0</v>
      </c>
      <c r="AJ118" s="54">
        <f>AJ117+AJ116</f>
        <v>0</v>
      </c>
      <c r="AK118" s="54">
        <f>AK117+AK116</f>
        <v>0</v>
      </c>
    </row>
    <row r="120" spans="2:37" x14ac:dyDescent="0.2">
      <c r="D120" s="54">
        <f>D111-Aprekini!D184</f>
        <v>0</v>
      </c>
      <c r="E120" s="54">
        <f ca="1">E111-Aprekini!E184</f>
        <v>0</v>
      </c>
      <c r="F120" s="54">
        <f ca="1">F111-Aprekini!F184</f>
        <v>0</v>
      </c>
      <c r="G120" s="54">
        <f ca="1">G111-Aprekini!G184</f>
        <v>0</v>
      </c>
      <c r="H120" s="54">
        <f ca="1">H111-Aprekini!H184</f>
        <v>0</v>
      </c>
      <c r="I120" s="54">
        <f ca="1">I111-Aprekini!I184</f>
        <v>0</v>
      </c>
      <c r="J120" s="54">
        <f ca="1">J111-Aprekini!J184</f>
        <v>0</v>
      </c>
      <c r="K120" s="54">
        <f ca="1">K111-Aprekini!K184</f>
        <v>0</v>
      </c>
      <c r="L120" s="54">
        <f ca="1">L111-Aprekini!L184</f>
        <v>0</v>
      </c>
      <c r="M120" s="54">
        <f ca="1">M111-Aprekini!M184</f>
        <v>0</v>
      </c>
      <c r="N120" s="54">
        <f ca="1">N111-Aprekini!N184</f>
        <v>0</v>
      </c>
      <c r="O120" s="54">
        <f ca="1">O111-Aprekini!O184</f>
        <v>0</v>
      </c>
      <c r="P120" s="54">
        <f ca="1">P111-Aprekini!P184</f>
        <v>0</v>
      </c>
      <c r="Q120" s="54">
        <f ca="1">Q111-Aprekini!Q184</f>
        <v>0</v>
      </c>
      <c r="R120" s="54">
        <f ca="1">R111-Aprekini!R184</f>
        <v>0</v>
      </c>
      <c r="S120" s="54">
        <f ca="1">S111-Aprekini!S184</f>
        <v>0</v>
      </c>
      <c r="T120" s="54">
        <f ca="1">T111-Aprekini!T184</f>
        <v>0</v>
      </c>
      <c r="U120" s="54">
        <f ca="1">U111-Aprekini!U184</f>
        <v>0</v>
      </c>
      <c r="V120" s="54">
        <f ca="1">V111-Aprekini!V184</f>
        <v>0</v>
      </c>
      <c r="W120" s="54">
        <f ca="1">W111-Aprekini!W184</f>
        <v>0</v>
      </c>
      <c r="X120" s="54">
        <f ca="1">X111-Aprekini!X184</f>
        <v>0</v>
      </c>
      <c r="Y120" s="54">
        <f ca="1">Y111-Aprekini!Y184</f>
        <v>0</v>
      </c>
      <c r="Z120" s="54">
        <f ca="1">Z111-Aprekini!Z184</f>
        <v>0</v>
      </c>
      <c r="AA120" s="54">
        <f ca="1">AA111-Aprekini!AA184</f>
        <v>0</v>
      </c>
      <c r="AB120" s="54">
        <f ca="1">AB111-Aprekini!AB184</f>
        <v>0</v>
      </c>
      <c r="AC120" s="54">
        <f ca="1">AC111-Aprekini!AC184</f>
        <v>0</v>
      </c>
      <c r="AD120" s="54">
        <f ca="1">AD111-Aprekini!AD184</f>
        <v>0</v>
      </c>
      <c r="AE120" s="54">
        <f ca="1">AE111-Aprekini!AE184</f>
        <v>0</v>
      </c>
      <c r="AF120" s="54">
        <f ca="1">AF111-Aprekini!AF184</f>
        <v>0</v>
      </c>
      <c r="AG120" s="54">
        <f ca="1">AG111-Aprekini!AG184</f>
        <v>-417845.99999999994</v>
      </c>
      <c r="AH120" s="54">
        <f ca="1">AH111-Aprekini!AH184</f>
        <v>0</v>
      </c>
    </row>
    <row r="122" spans="2:37" x14ac:dyDescent="0.2">
      <c r="D122" s="790"/>
    </row>
    <row r="123" spans="2:37" x14ac:dyDescent="0.2">
      <c r="D123" s="790"/>
    </row>
    <row r="124" spans="2:37" x14ac:dyDescent="0.2">
      <c r="D124" s="790"/>
    </row>
  </sheetData>
  <phoneticPr fontId="2" type="noConversion"/>
  <dataValidations count="1">
    <dataValidation operator="equal" allowBlank="1" showErrorMessage="1" errorTitle="Jāievada pozitīvs skaitlis" error="Jāievada pozitīvs skaitlis" sqref="B73:AI75">
      <formula1>0</formula1>
      <formula2>0</formula2>
    </dataValidation>
  </dataValidations>
  <pageMargins left="0.59027777777777779" right="0.59027777777777779" top="0.75" bottom="0.88888888888888884" header="0.51180555555555551" footer="0.75"/>
  <pageSetup paperSize="9" scale="78" firstPageNumber="0" orientation="landscape" horizontalDpi="300" verticalDpi="300" r:id="rId1"/>
  <headerFooter alignWithMargins="0">
    <oddFooter>&amp;L&amp;A&amp;R&amp;P</oddFooter>
  </headerFooter>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35"/>
  <sheetViews>
    <sheetView showGridLines="0" zoomScaleNormal="100" zoomScaleSheetLayoutView="90" workbookViewId="0">
      <pane xSplit="1" topLeftCell="B1" activePane="topRight" state="frozen"/>
      <selection pane="topRight" activeCell="B29" sqref="B29"/>
    </sheetView>
  </sheetViews>
  <sheetFormatPr defaultRowHeight="12" x14ac:dyDescent="0.2"/>
  <cols>
    <col min="1" max="1" width="43.5703125" style="22" customWidth="1"/>
    <col min="2" max="2" width="8.7109375" style="22" customWidth="1"/>
    <col min="3" max="3" width="10.42578125" style="22" customWidth="1"/>
    <col min="4" max="5" width="11.85546875" style="22" customWidth="1"/>
    <col min="6" max="7" width="9.85546875" style="22" customWidth="1"/>
    <col min="8" max="8" width="10.28515625" style="22" customWidth="1"/>
    <col min="9" max="9" width="11.7109375" style="22" customWidth="1"/>
    <col min="10" max="10" width="11.28515625" style="22" customWidth="1"/>
    <col min="11" max="11" width="12" style="22" customWidth="1"/>
    <col min="12" max="12" width="11.28515625" style="22" customWidth="1"/>
    <col min="13" max="13" width="10.28515625" style="22" customWidth="1"/>
    <col min="14" max="14" width="10.7109375" style="22" customWidth="1"/>
    <col min="15" max="15" width="10.28515625" style="22" customWidth="1"/>
    <col min="16" max="16" width="10.140625" style="22" customWidth="1"/>
    <col min="17" max="33" width="9.85546875" style="22" customWidth="1"/>
    <col min="34" max="34" width="9.140625" style="22"/>
    <col min="35" max="35" width="0" style="22" hidden="1" customWidth="1"/>
    <col min="36" max="36" width="10.5703125" style="22" hidden="1" customWidth="1"/>
    <col min="37" max="16384" width="9.140625" style="22"/>
  </cols>
  <sheetData>
    <row r="1" spans="1:36" ht="16.5" x14ac:dyDescent="0.2">
      <c r="A1" s="20" t="str">
        <f>'Datu ievade'!B6</f>
        <v>A pašvaldība</v>
      </c>
      <c r="B1" s="21" t="str">
        <f>'Datu ievade'!B8</f>
        <v>Ūdenssaimniecības attīstība A pašvaldībā</v>
      </c>
    </row>
    <row r="3" spans="1:36" ht="36" x14ac:dyDescent="0.2">
      <c r="A3" s="583" t="s">
        <v>462</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23"/>
      <c r="AJ3" s="23"/>
    </row>
    <row r="4" spans="1:36" s="25" customFormat="1" ht="12.75" x14ac:dyDescent="0.2">
      <c r="A4" s="585"/>
      <c r="B4" s="586"/>
      <c r="C4" s="586"/>
      <c r="D4" s="586"/>
      <c r="E4" s="586"/>
      <c r="F4" s="586"/>
      <c r="G4" s="586"/>
      <c r="H4" s="586"/>
      <c r="I4" s="586"/>
      <c r="J4" s="586"/>
      <c r="K4" s="586"/>
      <c r="L4" s="586"/>
      <c r="M4" s="586"/>
      <c r="N4" s="586"/>
      <c r="O4" s="586"/>
      <c r="P4" s="586"/>
      <c r="Q4" s="587" t="s">
        <v>21</v>
      </c>
      <c r="R4" s="586"/>
      <c r="S4" s="586"/>
      <c r="T4" s="586"/>
      <c r="U4" s="586"/>
      <c r="V4" s="586"/>
      <c r="W4" s="586"/>
      <c r="X4" s="586"/>
      <c r="Y4" s="586"/>
      <c r="Z4" s="586"/>
      <c r="AA4" s="586"/>
      <c r="AB4" s="586"/>
      <c r="AC4" s="586"/>
      <c r="AD4" s="586"/>
      <c r="AE4" s="586"/>
      <c r="AF4" s="586"/>
      <c r="AG4" s="586"/>
      <c r="AH4" s="586"/>
      <c r="AI4" s="24"/>
      <c r="AJ4" s="24"/>
    </row>
    <row r="5" spans="1:36" s="25" customFormat="1" ht="12.75" x14ac:dyDescent="0.2">
      <c r="A5" s="585"/>
      <c r="B5" s="588">
        <f>Aprekini!B5</f>
        <v>2014</v>
      </c>
      <c r="C5" s="588">
        <f t="shared" ref="C5:AG5" si="0">B5+1</f>
        <v>2015</v>
      </c>
      <c r="D5" s="588">
        <f t="shared" si="0"/>
        <v>2016</v>
      </c>
      <c r="E5" s="588">
        <f t="shared" si="0"/>
        <v>2017</v>
      </c>
      <c r="F5" s="588">
        <f t="shared" si="0"/>
        <v>2018</v>
      </c>
      <c r="G5" s="588">
        <f t="shared" si="0"/>
        <v>2019</v>
      </c>
      <c r="H5" s="588">
        <f t="shared" si="0"/>
        <v>2020</v>
      </c>
      <c r="I5" s="588">
        <f t="shared" si="0"/>
        <v>2021</v>
      </c>
      <c r="J5" s="588">
        <f t="shared" si="0"/>
        <v>2022</v>
      </c>
      <c r="K5" s="588">
        <f t="shared" si="0"/>
        <v>2023</v>
      </c>
      <c r="L5" s="588">
        <f t="shared" si="0"/>
        <v>2024</v>
      </c>
      <c r="M5" s="588">
        <f t="shared" si="0"/>
        <v>2025</v>
      </c>
      <c r="N5" s="588">
        <f t="shared" si="0"/>
        <v>2026</v>
      </c>
      <c r="O5" s="588">
        <f t="shared" si="0"/>
        <v>2027</v>
      </c>
      <c r="P5" s="588">
        <f t="shared" si="0"/>
        <v>2028</v>
      </c>
      <c r="Q5" s="588">
        <f t="shared" si="0"/>
        <v>2029</v>
      </c>
      <c r="R5" s="588">
        <f t="shared" si="0"/>
        <v>2030</v>
      </c>
      <c r="S5" s="588">
        <f t="shared" si="0"/>
        <v>2031</v>
      </c>
      <c r="T5" s="588">
        <f t="shared" si="0"/>
        <v>2032</v>
      </c>
      <c r="U5" s="588">
        <f t="shared" si="0"/>
        <v>2033</v>
      </c>
      <c r="V5" s="588">
        <f t="shared" si="0"/>
        <v>2034</v>
      </c>
      <c r="W5" s="588">
        <f t="shared" si="0"/>
        <v>2035</v>
      </c>
      <c r="X5" s="588">
        <f t="shared" si="0"/>
        <v>2036</v>
      </c>
      <c r="Y5" s="588">
        <f t="shared" si="0"/>
        <v>2037</v>
      </c>
      <c r="Z5" s="588">
        <f t="shared" si="0"/>
        <v>2038</v>
      </c>
      <c r="AA5" s="588">
        <f t="shared" si="0"/>
        <v>2039</v>
      </c>
      <c r="AB5" s="588">
        <f t="shared" si="0"/>
        <v>2040</v>
      </c>
      <c r="AC5" s="588">
        <f t="shared" si="0"/>
        <v>2041</v>
      </c>
      <c r="AD5" s="588">
        <f t="shared" si="0"/>
        <v>2042</v>
      </c>
      <c r="AE5" s="588">
        <f t="shared" si="0"/>
        <v>2043</v>
      </c>
      <c r="AF5" s="588">
        <f t="shared" si="0"/>
        <v>2044</v>
      </c>
      <c r="AG5" s="588">
        <f t="shared" si="0"/>
        <v>2045</v>
      </c>
      <c r="AH5" s="588">
        <f>AG5+1</f>
        <v>2046</v>
      </c>
      <c r="AI5" s="26"/>
      <c r="AJ5" s="26"/>
    </row>
    <row r="6" spans="1:36" s="25" customFormat="1" ht="12.75" x14ac:dyDescent="0.2">
      <c r="A6" s="589" t="s">
        <v>89</v>
      </c>
      <c r="B6" s="590"/>
      <c r="C6" s="590"/>
      <c r="D6" s="590"/>
      <c r="E6" s="590"/>
      <c r="F6" s="590"/>
      <c r="G6" s="590"/>
      <c r="H6" s="590"/>
      <c r="I6" s="590"/>
      <c r="J6" s="590"/>
      <c r="K6" s="590"/>
      <c r="L6" s="590"/>
      <c r="M6" s="590"/>
      <c r="N6" s="590"/>
      <c r="O6" s="590"/>
      <c r="P6" s="590"/>
      <c r="Q6" s="590"/>
      <c r="R6" s="590"/>
      <c r="S6" s="590"/>
      <c r="T6" s="590"/>
      <c r="U6" s="588"/>
      <c r="V6" s="588"/>
      <c r="W6" s="588"/>
      <c r="X6" s="588"/>
      <c r="Y6" s="588"/>
      <c r="Z6" s="588"/>
      <c r="AA6" s="588"/>
      <c r="AB6" s="588"/>
      <c r="AC6" s="588"/>
      <c r="AD6" s="588"/>
      <c r="AE6" s="588"/>
      <c r="AF6" s="588"/>
      <c r="AG6" s="588"/>
      <c r="AH6" s="588"/>
      <c r="AI6" s="26"/>
      <c r="AJ6" s="26"/>
    </row>
    <row r="7" spans="1:36" s="25" customFormat="1" ht="12.75" x14ac:dyDescent="0.2">
      <c r="A7" s="331" t="s">
        <v>90</v>
      </c>
      <c r="B7" s="591">
        <f ca="1">Aprekini!B313</f>
        <v>29334.712899999984</v>
      </c>
      <c r="C7" s="591">
        <f ca="1">Aprekini!C313</f>
        <v>13269.095303000067</v>
      </c>
      <c r="D7" s="591">
        <f ca="1">Aprekini!D313</f>
        <v>14914.996689999942</v>
      </c>
      <c r="E7" s="591">
        <f ca="1">Aprekini!E313</f>
        <v>16560.898076999933</v>
      </c>
      <c r="F7" s="591">
        <f ca="1">Aprekini!F313</f>
        <v>-15731.564761376678</v>
      </c>
      <c r="G7" s="591">
        <f ca="1">Aprekini!G313</f>
        <v>-14982.180503376847</v>
      </c>
      <c r="H7" s="591">
        <f ca="1">Aprekini!H313</f>
        <v>-15709.669045376679</v>
      </c>
      <c r="I7" s="591">
        <f ca="1">Aprekini!I313</f>
        <v>-13836.007387376711</v>
      </c>
      <c r="J7" s="591">
        <f ca="1">Aprekini!J313</f>
        <v>-10494.003729376796</v>
      </c>
      <c r="K7" s="591">
        <f ca="1">Aprekini!K313</f>
        <v>-8958.7900713766867</v>
      </c>
      <c r="L7" s="591">
        <f ca="1">Aprekini!L313</f>
        <v>-9370.3714133768517</v>
      </c>
      <c r="M7" s="591">
        <f ca="1">Aprekini!M313</f>
        <v>-4081.5727553767792</v>
      </c>
      <c r="N7" s="591">
        <f ca="1">Aprekini!N313</f>
        <v>-3585.7868973767327</v>
      </c>
      <c r="O7" s="591">
        <f ca="1">Aprekini!O313</f>
        <v>-3883.3960393768211</v>
      </c>
      <c r="P7" s="591">
        <f ca="1">Aprekini!P313</f>
        <v>15542.911609263741</v>
      </c>
      <c r="Q7" s="591">
        <f ca="1">Aprekini!Q313</f>
        <v>17057.149596263655</v>
      </c>
      <c r="R7" s="591">
        <f ca="1">Aprekini!R313</f>
        <v>16459.777583263814</v>
      </c>
      <c r="S7" s="591">
        <f ca="1">Aprekini!S313</f>
        <v>17789.200570263783</v>
      </c>
      <c r="T7" s="591">
        <f ca="1">Aprekini!T313</f>
        <v>18075.223557263846</v>
      </c>
      <c r="U7" s="591">
        <f ca="1">Aprekini!U313</f>
        <v>31848.806544263614</v>
      </c>
      <c r="V7" s="591">
        <f ca="1">Aprekini!V313</f>
        <v>32134.829531263676</v>
      </c>
      <c r="W7" s="591">
        <f ca="1">Aprekini!W313</f>
        <v>32560.857518263743</v>
      </c>
      <c r="X7" s="591">
        <f ca="1">Aprekini!X313</f>
        <v>32846.880505263689</v>
      </c>
      <c r="Y7" s="591">
        <f ca="1">Aprekini!Y313</f>
        <v>33272.908492263756</v>
      </c>
      <c r="Z7" s="591">
        <f ca="1">Aprekini!Z313</f>
        <v>34602.331479263725</v>
      </c>
      <c r="AA7" s="591">
        <f ca="1">Aprekini!AA313</f>
        <v>33984.959466263768</v>
      </c>
      <c r="AB7" s="591">
        <f ca="1">Aprekini!AB313</f>
        <v>35314.382453263621</v>
      </c>
      <c r="AC7" s="591">
        <f ca="1">Aprekini!AC313</f>
        <v>35740.410440263804</v>
      </c>
      <c r="AD7" s="591">
        <f ca="1">Aprekini!AD313</f>
        <v>35123.038427263731</v>
      </c>
      <c r="AE7" s="591">
        <f ca="1">Aprekini!AE313</f>
        <v>35413.033614263753</v>
      </c>
      <c r="AF7" s="591">
        <f ca="1">Aprekini!AF313</f>
        <v>36856.42880126345</v>
      </c>
      <c r="AG7" s="591">
        <f ca="1">Aprekini!AG313</f>
        <v>36241.028801263543</v>
      </c>
      <c r="AH7" s="591">
        <f ca="1">Aprekini!AH313</f>
        <v>37572.423801263561</v>
      </c>
      <c r="AI7" s="27"/>
      <c r="AJ7" s="27"/>
    </row>
    <row r="8" spans="1:36" s="51" customFormat="1" ht="12.75" x14ac:dyDescent="0.2">
      <c r="A8" s="358" t="s">
        <v>91</v>
      </c>
      <c r="B8" s="592">
        <f>-'Saimnieciskas pamatdarbibas NP'!B74*'Datu ievade'!E319</f>
        <v>-20725.375</v>
      </c>
      <c r="C8" s="592">
        <f>-'Saimnieciskas pamatdarbibas NP'!C74*'Datu ievade'!F319</f>
        <v>-20819.049375000002</v>
      </c>
      <c r="D8" s="592">
        <f>-'Saimnieciskas pamatdarbibas NP'!D74*'Datu ievade'!G319</f>
        <v>-22619.430624999997</v>
      </c>
      <c r="E8" s="592">
        <f ca="1">-'Saimnieciskas pamatdarbibas NP'!E74*'Datu ievade'!H319</f>
        <v>-24419.811874999999</v>
      </c>
      <c r="F8" s="592">
        <f ca="1">-'Saimnieciskas pamatdarbibas NP'!F74*'Datu ievade'!I319</f>
        <v>-25756.864250000002</v>
      </c>
      <c r="G8" s="592">
        <f ca="1">-'Saimnieciskas pamatdarbibas NP'!G74*'Datu ievade'!J319</f>
        <v>-26198.393249999997</v>
      </c>
      <c r="H8" s="592">
        <f ca="1">-'Saimnieciskas pamatdarbibas NP'!H74*'Datu ievade'!K319</f>
        <v>-21456.481</v>
      </c>
      <c r="I8" s="592">
        <f ca="1">-'Saimnieciskas pamatdarbibas NP'!I74*'Datu ievade'!L319</f>
        <v>-21929.311999999998</v>
      </c>
      <c r="J8" s="592">
        <f ca="1">-'Saimnieciskas pamatdarbibas NP'!J74*'Datu ievade'!M319</f>
        <v>-22390.942599999998</v>
      </c>
      <c r="K8" s="592">
        <f ca="1">-'Saimnieciskas pamatdarbibas NP'!K74*'Datu ievade'!N319</f>
        <v>-22780.301600000003</v>
      </c>
      <c r="L8" s="592">
        <f ca="1">-'Saimnieciskas pamatdarbibas NP'!L74*'Datu ievade'!O319</f>
        <v>-23091.788799999998</v>
      </c>
      <c r="M8" s="592">
        <f ca="1">-'Saimnieciskas pamatdarbibas NP'!M74*'Datu ievade'!P319</f>
        <v>-23631.291199999996</v>
      </c>
      <c r="N8" s="592">
        <f ca="1">-'Saimnieciskas pamatdarbibas NP'!N74*'Datu ievade'!Q319</f>
        <v>-24098.522000000001</v>
      </c>
      <c r="O8" s="592">
        <f ca="1">-'Saimnieciskas pamatdarbibas NP'!O74*'Datu ievade'!R319</f>
        <v>-24529.617000000002</v>
      </c>
      <c r="P8" s="592">
        <f ca="1">-'Saimnieciskas pamatdarbibas NP'!P74*'Datu ievade'!S319</f>
        <v>-18270.103800000001</v>
      </c>
      <c r="Q8" s="592">
        <f ca="1">-'Saimnieciskas pamatdarbibas NP'!Q74*'Datu ievade'!T319</f>
        <v>-18441.115199999997</v>
      </c>
      <c r="R8" s="592">
        <f ca="1">-'Saimnieciskas pamatdarbibas NP'!R74*'Datu ievade'!U319</f>
        <v>-18791.538300000004</v>
      </c>
      <c r="S8" s="592">
        <f ca="1">-'Saimnieciskas pamatdarbibas NP'!S74*'Datu ievade'!V319</f>
        <v>-19200.365249999999</v>
      </c>
      <c r="T8" s="592">
        <f ca="1">-'Saimnieciskas pamatdarbibas NP'!T74*'Datu ievade'!W319</f>
        <v>-19577.890200000002</v>
      </c>
      <c r="U8" s="592">
        <f ca="1">-'Saimnieciskas pamatdarbibas NP'!U74*'Datu ievade'!X319</f>
        <v>-20360.041949999999</v>
      </c>
      <c r="V8" s="592">
        <f ca="1">-'Saimnieciskas pamatdarbibas NP'!V74*'Datu ievade'!Y319</f>
        <v>-20737.566899999998</v>
      </c>
      <c r="W8" s="592">
        <f ca="1">-'Saimnieciskas pamatdarbibas NP'!W74*'Datu ievade'!Z319</f>
        <v>-21119.292000000001</v>
      </c>
      <c r="X8" s="592">
        <f ca="1">-'Saimnieciskas pamatdarbibas NP'!X74*'Datu ievade'!AA319</f>
        <v>-21496.816949999997</v>
      </c>
      <c r="Y8" s="592">
        <f ca="1">-'Saimnieciskas pamatdarbibas NP'!Y74*'Datu ievade'!AB319</f>
        <v>-21878.54205</v>
      </c>
      <c r="Z8" s="592">
        <f ca="1">-'Saimnieciskas pamatdarbibas NP'!Z74*'Datu ievade'!AC319</f>
        <v>-22287.368999999999</v>
      </c>
      <c r="AA8" s="592">
        <f ca="1">-'Saimnieciskas pamatdarbibas NP'!AA74*'Datu ievade'!AD319</f>
        <v>-22637.792100000002</v>
      </c>
      <c r="AB8" s="592">
        <f ca="1">-'Saimnieciskas pamatdarbibas NP'!AB74*'Datu ievade'!AE319</f>
        <v>-23046.619050000001</v>
      </c>
      <c r="AC8" s="592">
        <f ca="1">-'Saimnieciskas pamatdarbibas NP'!AC74*'Datu ievade'!AF319</f>
        <v>-23428.344149999997</v>
      </c>
      <c r="AD8" s="592">
        <f ca="1">-'Saimnieciskas pamatdarbibas NP'!AD74*'Datu ievade'!AG319</f>
        <v>-23778.767249999997</v>
      </c>
      <c r="AE8" s="592">
        <f ca="1">-'Saimnieciskas pamatdarbibas NP'!AE74*'Datu ievade'!AH319</f>
        <v>-24245.998050000002</v>
      </c>
      <c r="AF8" s="592">
        <f ca="1">-'Saimnieciskas pamatdarbibas NP'!AF74*'Datu ievade'!AI319</f>
        <v>-24744.530850000003</v>
      </c>
      <c r="AG8" s="592">
        <f ca="1">-'Saimnieciskas pamatdarbibas NP'!AG74*'Datu ievade'!AJ319</f>
        <v>-24713.22885</v>
      </c>
      <c r="AH8" s="592">
        <f ca="1">-'Saimnieciskas pamatdarbibas NP'!AH74*'Datu ievade'!AK319</f>
        <v>-24740.330699999999</v>
      </c>
      <c r="AI8" s="50"/>
      <c r="AJ8" s="50"/>
    </row>
    <row r="9" spans="1:36" s="51" customFormat="1" ht="12.75" x14ac:dyDescent="0.2">
      <c r="A9" s="358" t="s">
        <v>92</v>
      </c>
      <c r="B9" s="592">
        <f>Aprekini!B312</f>
        <v>28432</v>
      </c>
      <c r="C9" s="592">
        <f>Aprekini!C312</f>
        <v>28432</v>
      </c>
      <c r="D9" s="592">
        <f>Aprekini!D312</f>
        <v>28432</v>
      </c>
      <c r="E9" s="592">
        <f>Aprekini!E312</f>
        <v>28432</v>
      </c>
      <c r="F9" s="592">
        <f>Aprekini!F312</f>
        <v>115325.9</v>
      </c>
      <c r="G9" s="592">
        <f>Aprekini!G312</f>
        <v>115325.9</v>
      </c>
      <c r="H9" s="592">
        <f>Aprekini!H312</f>
        <v>115325.9</v>
      </c>
      <c r="I9" s="592">
        <f>Aprekini!I312</f>
        <v>115325.9</v>
      </c>
      <c r="J9" s="592">
        <f>Aprekini!J312</f>
        <v>115325.9</v>
      </c>
      <c r="K9" s="592">
        <f>Aprekini!K312</f>
        <v>115325.9</v>
      </c>
      <c r="L9" s="592">
        <f>Aprekini!L312</f>
        <v>115325.9</v>
      </c>
      <c r="M9" s="592">
        <f>Aprekini!M312</f>
        <v>115325.9</v>
      </c>
      <c r="N9" s="592">
        <f>Aprekini!N312</f>
        <v>115325.9</v>
      </c>
      <c r="O9" s="592">
        <f>Aprekini!O312</f>
        <v>115325.9</v>
      </c>
      <c r="P9" s="592">
        <f>Aprekini!P312</f>
        <v>47425</v>
      </c>
      <c r="Q9" s="592">
        <f>Aprekini!Q312</f>
        <v>39313</v>
      </c>
      <c r="R9" s="592">
        <f>Aprekini!R312</f>
        <v>39293</v>
      </c>
      <c r="S9" s="592">
        <f>Aprekini!S312</f>
        <v>39293</v>
      </c>
      <c r="T9" s="592">
        <f>Aprekini!T312</f>
        <v>39293</v>
      </c>
      <c r="U9" s="592">
        <f>Aprekini!U312</f>
        <v>39293</v>
      </c>
      <c r="V9" s="592">
        <f>Aprekini!V312</f>
        <v>39293</v>
      </c>
      <c r="W9" s="592">
        <f>Aprekini!W312</f>
        <v>39293</v>
      </c>
      <c r="X9" s="592">
        <f>Aprekini!X312</f>
        <v>39293</v>
      </c>
      <c r="Y9" s="592">
        <f>Aprekini!Y312</f>
        <v>39293</v>
      </c>
      <c r="Z9" s="592">
        <f>Aprekini!Z312</f>
        <v>39293</v>
      </c>
      <c r="AA9" s="592">
        <f>Aprekini!AA312</f>
        <v>39293</v>
      </c>
      <c r="AB9" s="592">
        <f>Aprekini!AB312</f>
        <v>39293</v>
      </c>
      <c r="AC9" s="592">
        <f>Aprekini!AC312</f>
        <v>39293</v>
      </c>
      <c r="AD9" s="592">
        <f>Aprekini!AD312</f>
        <v>39293</v>
      </c>
      <c r="AE9" s="592">
        <f>Aprekini!AE312</f>
        <v>39293</v>
      </c>
      <c r="AF9" s="592">
        <f>Aprekini!AF312</f>
        <v>39293</v>
      </c>
      <c r="AG9" s="592">
        <f>Aprekini!AG312</f>
        <v>39293</v>
      </c>
      <c r="AH9" s="592">
        <f>Aprekini!AH312</f>
        <v>39293</v>
      </c>
      <c r="AI9" s="50"/>
      <c r="AJ9" s="50"/>
    </row>
    <row r="10" spans="1:36" s="51" customFormat="1" ht="12.75" x14ac:dyDescent="0.2">
      <c r="A10" s="358" t="s">
        <v>93</v>
      </c>
      <c r="B10" s="592">
        <f ca="1">-(Aprekini!B293+Aprekini!B298)</f>
        <v>0</v>
      </c>
      <c r="C10" s="592">
        <f ca="1">-(Aprekini!C293+Aprekini!C298)</f>
        <v>0</v>
      </c>
      <c r="D10" s="592">
        <f ca="1">-(Aprekini!D293+Aprekini!D298)</f>
        <v>0</v>
      </c>
      <c r="E10" s="592">
        <f ca="1">-(Aprekini!E293+Aprekini!E298)</f>
        <v>0</v>
      </c>
      <c r="F10" s="592">
        <f ca="1">-(Aprekini!F293+Aprekini!F298)</f>
        <v>-40873.485403623279</v>
      </c>
      <c r="G10" s="592">
        <f ca="1">-(Aprekini!G293+Aprekini!G298)</f>
        <v>-40873.485403623279</v>
      </c>
      <c r="H10" s="592">
        <f ca="1">-(Aprekini!H293+Aprekini!H298)</f>
        <v>-40873.485403623279</v>
      </c>
      <c r="I10" s="592">
        <f ca="1">-(Aprekini!I293+Aprekini!I298)</f>
        <v>-40873.485403623279</v>
      </c>
      <c r="J10" s="592">
        <f ca="1">-(Aprekini!J293+Aprekini!J298)</f>
        <v>-40873.485403623279</v>
      </c>
      <c r="K10" s="592">
        <f ca="1">-(Aprekini!K293+Aprekini!K298)</f>
        <v>-40873.485403623279</v>
      </c>
      <c r="L10" s="592">
        <f ca="1">-(Aprekini!L293+Aprekini!L298)</f>
        <v>-40873.485403623279</v>
      </c>
      <c r="M10" s="592">
        <f ca="1">-(Aprekini!M293+Aprekini!M298)</f>
        <v>-40873.485403623279</v>
      </c>
      <c r="N10" s="592">
        <f ca="1">-(Aprekini!N293+Aprekini!N298)</f>
        <v>-40873.485403623279</v>
      </c>
      <c r="O10" s="592">
        <f ca="1">-(Aprekini!O293+Aprekini!O298)</f>
        <v>-40873.485403623279</v>
      </c>
      <c r="P10" s="592">
        <f ca="1">-(Aprekini!P293+Aprekini!P298)</f>
        <v>-8934.0000652636954</v>
      </c>
      <c r="Q10" s="592">
        <f ca="1">-(Aprekini!Q293+Aprekini!Q298)</f>
        <v>-8934.0000652636954</v>
      </c>
      <c r="R10" s="592">
        <f ca="1">-(Aprekini!R293+Aprekini!R298)</f>
        <v>-8934.0000652636954</v>
      </c>
      <c r="S10" s="592">
        <f ca="1">-(Aprekini!S293+Aprekini!S298)</f>
        <v>-8934.0000652636954</v>
      </c>
      <c r="T10" s="592">
        <f ca="1">-(Aprekini!T293+Aprekini!T298)</f>
        <v>-8934.0000652636954</v>
      </c>
      <c r="U10" s="592">
        <f ca="1">-(Aprekini!U293+Aprekini!U298)</f>
        <v>-8934.0000652636954</v>
      </c>
      <c r="V10" s="592">
        <f ca="1">-(Aprekini!V293+Aprekini!V298)</f>
        <v>-8934.0000652636954</v>
      </c>
      <c r="W10" s="592">
        <f ca="1">-(Aprekini!W293+Aprekini!W298)</f>
        <v>-8934.0000652636954</v>
      </c>
      <c r="X10" s="592">
        <f ca="1">-(Aprekini!X293+Aprekini!X298)</f>
        <v>-8934.0000652636954</v>
      </c>
      <c r="Y10" s="592">
        <f ca="1">-(Aprekini!Y293+Aprekini!Y298)</f>
        <v>-8934.0000652636954</v>
      </c>
      <c r="Z10" s="592">
        <f ca="1">-(Aprekini!Z293+Aprekini!Z298)</f>
        <v>-8934.0000652636954</v>
      </c>
      <c r="AA10" s="592">
        <f ca="1">-(Aprekini!AA293+Aprekini!AA298)</f>
        <v>-8934.0000652636954</v>
      </c>
      <c r="AB10" s="592">
        <f ca="1">-(Aprekini!AB293+Aprekini!AB298)</f>
        <v>-8934.0000652636954</v>
      </c>
      <c r="AC10" s="592">
        <f ca="1">-(Aprekini!AC293+Aprekini!AC298)</f>
        <v>-8934.0000652636954</v>
      </c>
      <c r="AD10" s="592">
        <f ca="1">-(Aprekini!AD293+Aprekini!AD298)</f>
        <v>-8934.0000652636954</v>
      </c>
      <c r="AE10" s="592">
        <f ca="1">-(Aprekini!AE293+Aprekini!AE298)</f>
        <v>-8934.0000652636954</v>
      </c>
      <c r="AF10" s="592">
        <f ca="1">-(Aprekini!AF293+Aprekini!AF298)</f>
        <v>-8934.0000652636954</v>
      </c>
      <c r="AG10" s="592">
        <f ca="1">-(Aprekini!AG293+Aprekini!AG298)</f>
        <v>-8934.0000652636954</v>
      </c>
      <c r="AH10" s="592">
        <f ca="1">-(Aprekini!AH293+Aprekini!AH298)</f>
        <v>-8934.0000652636954</v>
      </c>
      <c r="AI10" s="50"/>
      <c r="AJ10" s="50"/>
    </row>
    <row r="11" spans="1:36" s="25" customFormat="1" ht="12.75" x14ac:dyDescent="0.2">
      <c r="A11" s="593" t="s">
        <v>94</v>
      </c>
      <c r="B11" s="594">
        <f t="shared" ref="B11:AG11" ca="1" si="1">SUM(B7:B10)</f>
        <v>37041.337899999984</v>
      </c>
      <c r="C11" s="594">
        <f t="shared" ca="1" si="1"/>
        <v>20882.045928000065</v>
      </c>
      <c r="D11" s="594">
        <f t="shared" ca="1" si="1"/>
        <v>20727.566064999945</v>
      </c>
      <c r="E11" s="594">
        <f ca="1">SUM(E7:E10)</f>
        <v>20573.086201999933</v>
      </c>
      <c r="F11" s="594">
        <f t="shared" ca="1" si="1"/>
        <v>32963.985585000039</v>
      </c>
      <c r="G11" s="594">
        <f t="shared" ca="1" si="1"/>
        <v>33271.840842999874</v>
      </c>
      <c r="H11" s="594">
        <f t="shared" ca="1" si="1"/>
        <v>37286.264551000037</v>
      </c>
      <c r="I11" s="594">
        <f t="shared" ca="1" si="1"/>
        <v>38687.095208999999</v>
      </c>
      <c r="J11" s="594">
        <f t="shared" ca="1" si="1"/>
        <v>41567.468266999924</v>
      </c>
      <c r="K11" s="594">
        <f t="shared" ca="1" si="1"/>
        <v>42713.322925000022</v>
      </c>
      <c r="L11" s="594">
        <f t="shared" ca="1" si="1"/>
        <v>41990.254382999869</v>
      </c>
      <c r="M11" s="594">
        <f t="shared" ca="1" si="1"/>
        <v>46739.550640999943</v>
      </c>
      <c r="N11" s="594">
        <f t="shared" ca="1" si="1"/>
        <v>46768.105698999985</v>
      </c>
      <c r="O11" s="594">
        <f t="shared" ca="1" si="1"/>
        <v>46039.401556999896</v>
      </c>
      <c r="P11" s="594">
        <f t="shared" ca="1" si="1"/>
        <v>35763.807744000049</v>
      </c>
      <c r="Q11" s="594">
        <f t="shared" ca="1" si="1"/>
        <v>28995.034330999959</v>
      </c>
      <c r="R11" s="594">
        <f t="shared" ca="1" si="1"/>
        <v>28027.239218000119</v>
      </c>
      <c r="S11" s="594">
        <f t="shared" ca="1" si="1"/>
        <v>28947.835255000085</v>
      </c>
      <c r="T11" s="594">
        <f t="shared" ca="1" si="1"/>
        <v>28856.333292000149</v>
      </c>
      <c r="U11" s="594">
        <f t="shared" ca="1" si="1"/>
        <v>41847.76452899992</v>
      </c>
      <c r="V11" s="594">
        <f t="shared" ca="1" si="1"/>
        <v>41756.262565999983</v>
      </c>
      <c r="W11" s="594">
        <f t="shared" ca="1" si="1"/>
        <v>41800.565453000047</v>
      </c>
      <c r="X11" s="594">
        <f t="shared" ca="1" si="1"/>
        <v>41709.06349</v>
      </c>
      <c r="Y11" s="594">
        <f t="shared" ca="1" si="1"/>
        <v>41753.366377000057</v>
      </c>
      <c r="Z11" s="594">
        <f t="shared" ca="1" si="1"/>
        <v>42673.962414000031</v>
      </c>
      <c r="AA11" s="594">
        <f t="shared" ca="1" si="1"/>
        <v>41706.167301000067</v>
      </c>
      <c r="AB11" s="594">
        <f t="shared" ca="1" si="1"/>
        <v>42626.763337999924</v>
      </c>
      <c r="AC11" s="594">
        <f t="shared" ca="1" si="1"/>
        <v>42671.066225000111</v>
      </c>
      <c r="AD11" s="594">
        <f t="shared" ca="1" si="1"/>
        <v>41703.271112000039</v>
      </c>
      <c r="AE11" s="594">
        <f t="shared" ca="1" si="1"/>
        <v>41526.035499000056</v>
      </c>
      <c r="AF11" s="594">
        <f t="shared" ca="1" si="1"/>
        <v>42470.897885999751</v>
      </c>
      <c r="AG11" s="594">
        <f t="shared" ca="1" si="1"/>
        <v>41886.799885999848</v>
      </c>
      <c r="AH11" s="594">
        <f ca="1">SUM(AH7:AH10)</f>
        <v>43191.093035999867</v>
      </c>
      <c r="AI11" s="28"/>
      <c r="AJ11" s="28"/>
    </row>
    <row r="12" spans="1:36" s="25" customFormat="1" ht="12.75" x14ac:dyDescent="0.2">
      <c r="A12" s="593" t="s">
        <v>95</v>
      </c>
      <c r="B12" s="595"/>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29"/>
      <c r="AJ12" s="29"/>
    </row>
    <row r="13" spans="1:36" s="25" customFormat="1" ht="12.75" x14ac:dyDescent="0.2">
      <c r="A13" s="331" t="s">
        <v>96</v>
      </c>
      <c r="B13" s="591">
        <f>-Aprekini!B140</f>
        <v>0</v>
      </c>
      <c r="C13" s="591">
        <f>-Aprekini!C140</f>
        <v>0</v>
      </c>
      <c r="D13" s="591">
        <f>-Aprekini!D140</f>
        <v>-546459</v>
      </c>
      <c r="E13" s="591">
        <f>-Aprekini!E140</f>
        <v>-1082200</v>
      </c>
      <c r="F13" s="591">
        <f>-Aprekini!F140</f>
        <v>0</v>
      </c>
      <c r="G13" s="591">
        <f>-Aprekini!G140</f>
        <v>0</v>
      </c>
      <c r="H13" s="591">
        <f>-Aprekini!H140</f>
        <v>0</v>
      </c>
      <c r="I13" s="591">
        <f>-Aprekini!I140</f>
        <v>0</v>
      </c>
      <c r="J13" s="591">
        <f>-Aprekini!J140</f>
        <v>0</v>
      </c>
      <c r="K13" s="591">
        <f>-Aprekini!K140</f>
        <v>0</v>
      </c>
      <c r="L13" s="591">
        <f>-Aprekini!L140</f>
        <v>0</v>
      </c>
      <c r="M13" s="591">
        <f>-Aprekini!M140</f>
        <v>0</v>
      </c>
      <c r="N13" s="591">
        <f>-Aprekini!N140</f>
        <v>0</v>
      </c>
      <c r="O13" s="591">
        <f>-Aprekini!O140</f>
        <v>0</v>
      </c>
      <c r="P13" s="591">
        <f>-Aprekini!P140</f>
        <v>0</v>
      </c>
      <c r="Q13" s="591">
        <f>-Aprekini!Q140</f>
        <v>0</v>
      </c>
      <c r="R13" s="591">
        <f>-Aprekini!R140</f>
        <v>0</v>
      </c>
      <c r="S13" s="591">
        <f>-Aprekini!S140</f>
        <v>0</v>
      </c>
      <c r="T13" s="591">
        <f>-Aprekini!T140</f>
        <v>0</v>
      </c>
      <c r="U13" s="591">
        <f>-Aprekini!U140</f>
        <v>0</v>
      </c>
      <c r="V13" s="591">
        <f>-Aprekini!V140</f>
        <v>0</v>
      </c>
      <c r="W13" s="591">
        <f>-Aprekini!W140</f>
        <v>0</v>
      </c>
      <c r="X13" s="591">
        <f>-Aprekini!X140</f>
        <v>0</v>
      </c>
      <c r="Y13" s="591">
        <f>-Aprekini!Y140</f>
        <v>0</v>
      </c>
      <c r="Z13" s="591">
        <f>-Aprekini!Z140</f>
        <v>0</v>
      </c>
      <c r="AA13" s="591">
        <f>-Aprekini!AA140</f>
        <v>0</v>
      </c>
      <c r="AB13" s="591">
        <f>-Aprekini!AB140</f>
        <v>0</v>
      </c>
      <c r="AC13" s="591">
        <f>-Aprekini!AC140</f>
        <v>0</v>
      </c>
      <c r="AD13" s="591">
        <f>-Aprekini!AD140</f>
        <v>0</v>
      </c>
      <c r="AE13" s="591">
        <f>-Aprekini!AE140</f>
        <v>0</v>
      </c>
      <c r="AF13" s="591">
        <f>-Aprekini!AF140</f>
        <v>0</v>
      </c>
      <c r="AG13" s="591">
        <f>-Aprekini!AG140</f>
        <v>0</v>
      </c>
      <c r="AH13" s="591">
        <f>-Aprekini!AH140</f>
        <v>0</v>
      </c>
      <c r="AI13" s="27"/>
      <c r="AJ13" s="27"/>
    </row>
    <row r="14" spans="1:36" s="25" customFormat="1" ht="12.75" x14ac:dyDescent="0.2">
      <c r="A14" s="593" t="s">
        <v>97</v>
      </c>
      <c r="B14" s="594">
        <f t="shared" ref="B14:AG14" si="2">SUM(B13:B13)</f>
        <v>0</v>
      </c>
      <c r="C14" s="594">
        <f t="shared" si="2"/>
        <v>0</v>
      </c>
      <c r="D14" s="594">
        <f t="shared" si="2"/>
        <v>-546459</v>
      </c>
      <c r="E14" s="594">
        <f t="shared" si="2"/>
        <v>-1082200</v>
      </c>
      <c r="F14" s="594">
        <f t="shared" si="2"/>
        <v>0</v>
      </c>
      <c r="G14" s="594">
        <f t="shared" si="2"/>
        <v>0</v>
      </c>
      <c r="H14" s="594">
        <f t="shared" si="2"/>
        <v>0</v>
      </c>
      <c r="I14" s="594">
        <f t="shared" si="2"/>
        <v>0</v>
      </c>
      <c r="J14" s="594">
        <f t="shared" si="2"/>
        <v>0</v>
      </c>
      <c r="K14" s="594">
        <f t="shared" si="2"/>
        <v>0</v>
      </c>
      <c r="L14" s="594">
        <f t="shared" si="2"/>
        <v>0</v>
      </c>
      <c r="M14" s="594">
        <f t="shared" si="2"/>
        <v>0</v>
      </c>
      <c r="N14" s="594">
        <f t="shared" si="2"/>
        <v>0</v>
      </c>
      <c r="O14" s="594">
        <f t="shared" si="2"/>
        <v>0</v>
      </c>
      <c r="P14" s="594">
        <f t="shared" si="2"/>
        <v>0</v>
      </c>
      <c r="Q14" s="594">
        <f t="shared" si="2"/>
        <v>0</v>
      </c>
      <c r="R14" s="594">
        <f t="shared" si="2"/>
        <v>0</v>
      </c>
      <c r="S14" s="594">
        <f t="shared" si="2"/>
        <v>0</v>
      </c>
      <c r="T14" s="594">
        <f t="shared" si="2"/>
        <v>0</v>
      </c>
      <c r="U14" s="594">
        <f t="shared" si="2"/>
        <v>0</v>
      </c>
      <c r="V14" s="594">
        <f t="shared" si="2"/>
        <v>0</v>
      </c>
      <c r="W14" s="594">
        <f t="shared" si="2"/>
        <v>0</v>
      </c>
      <c r="X14" s="594">
        <f t="shared" si="2"/>
        <v>0</v>
      </c>
      <c r="Y14" s="594">
        <f t="shared" si="2"/>
        <v>0</v>
      </c>
      <c r="Z14" s="594">
        <f t="shared" si="2"/>
        <v>0</v>
      </c>
      <c r="AA14" s="594">
        <f t="shared" si="2"/>
        <v>0</v>
      </c>
      <c r="AB14" s="594">
        <f t="shared" si="2"/>
        <v>0</v>
      </c>
      <c r="AC14" s="594">
        <f t="shared" si="2"/>
        <v>0</v>
      </c>
      <c r="AD14" s="594">
        <f t="shared" si="2"/>
        <v>0</v>
      </c>
      <c r="AE14" s="594">
        <f t="shared" si="2"/>
        <v>0</v>
      </c>
      <c r="AF14" s="594">
        <f t="shared" si="2"/>
        <v>0</v>
      </c>
      <c r="AG14" s="594">
        <f t="shared" si="2"/>
        <v>0</v>
      </c>
      <c r="AH14" s="594">
        <f>SUM(AH13:AH13)</f>
        <v>0</v>
      </c>
      <c r="AI14" s="28"/>
      <c r="AJ14" s="28"/>
    </row>
    <row r="15" spans="1:36" s="25" customFormat="1" ht="12.75" x14ac:dyDescent="0.2">
      <c r="A15" s="593" t="s">
        <v>98</v>
      </c>
      <c r="B15" s="596"/>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30"/>
      <c r="AJ15" s="30"/>
    </row>
    <row r="16" spans="1:36" s="53" customFormat="1" ht="12.75" x14ac:dyDescent="0.2">
      <c r="A16" s="798" t="s">
        <v>99</v>
      </c>
      <c r="B16" s="598">
        <f ca="1">SUM(B17:B23)</f>
        <v>0</v>
      </c>
      <c r="C16" s="598">
        <f t="shared" ref="C16:AH16" ca="1" si="3">SUM(C17:C23)</f>
        <v>0</v>
      </c>
      <c r="D16" s="598">
        <f t="shared" ca="1" si="3"/>
        <v>540286.89754615596</v>
      </c>
      <c r="E16" s="598">
        <f t="shared" ca="1" si="3"/>
        <v>1088372.0961224297</v>
      </c>
      <c r="F16" s="598">
        <f t="shared" ca="1" si="3"/>
        <v>0</v>
      </c>
      <c r="G16" s="598">
        <f t="shared" ca="1" si="3"/>
        <v>0</v>
      </c>
      <c r="H16" s="598">
        <f t="shared" si="3"/>
        <v>0</v>
      </c>
      <c r="I16" s="598">
        <f t="shared" si="3"/>
        <v>0</v>
      </c>
      <c r="J16" s="598">
        <f t="shared" si="3"/>
        <v>0</v>
      </c>
      <c r="K16" s="598">
        <f t="shared" si="3"/>
        <v>0</v>
      </c>
      <c r="L16" s="598">
        <f t="shared" si="3"/>
        <v>0</v>
      </c>
      <c r="M16" s="598">
        <f t="shared" si="3"/>
        <v>0</v>
      </c>
      <c r="N16" s="598">
        <f t="shared" si="3"/>
        <v>0</v>
      </c>
      <c r="O16" s="598">
        <f t="shared" si="3"/>
        <v>0</v>
      </c>
      <c r="P16" s="598">
        <f t="shared" si="3"/>
        <v>0</v>
      </c>
      <c r="Q16" s="598">
        <f t="shared" si="3"/>
        <v>0</v>
      </c>
      <c r="R16" s="598">
        <f t="shared" si="3"/>
        <v>0</v>
      </c>
      <c r="S16" s="598">
        <f t="shared" si="3"/>
        <v>0</v>
      </c>
      <c r="T16" s="598">
        <f t="shared" si="3"/>
        <v>0</v>
      </c>
      <c r="U16" s="598">
        <f t="shared" si="3"/>
        <v>0</v>
      </c>
      <c r="V16" s="598">
        <f t="shared" si="3"/>
        <v>0</v>
      </c>
      <c r="W16" s="598">
        <f t="shared" si="3"/>
        <v>0</v>
      </c>
      <c r="X16" s="598">
        <f t="shared" si="3"/>
        <v>0</v>
      </c>
      <c r="Y16" s="598">
        <f t="shared" si="3"/>
        <v>0</v>
      </c>
      <c r="Z16" s="598">
        <f t="shared" si="3"/>
        <v>0</v>
      </c>
      <c r="AA16" s="598">
        <f t="shared" si="3"/>
        <v>0</v>
      </c>
      <c r="AB16" s="598">
        <f t="shared" si="3"/>
        <v>0</v>
      </c>
      <c r="AC16" s="598">
        <f t="shared" si="3"/>
        <v>0</v>
      </c>
      <c r="AD16" s="598">
        <f t="shared" si="3"/>
        <v>0</v>
      </c>
      <c r="AE16" s="598">
        <f t="shared" si="3"/>
        <v>0</v>
      </c>
      <c r="AF16" s="598">
        <f t="shared" si="3"/>
        <v>0</v>
      </c>
      <c r="AG16" s="598">
        <f t="shared" si="3"/>
        <v>0</v>
      </c>
      <c r="AH16" s="598">
        <f t="shared" si="3"/>
        <v>0</v>
      </c>
      <c r="AI16" s="52"/>
      <c r="AJ16" s="52"/>
    </row>
    <row r="17" spans="1:36" s="53" customFormat="1" ht="12.75" x14ac:dyDescent="0.2">
      <c r="A17" s="597" t="str">
        <f>Aprekini!A145</f>
        <v>3.1. Pašvaldības pašu līdzekļi</v>
      </c>
      <c r="B17" s="598">
        <f ca="1">Aprekini!B145</f>
        <v>0</v>
      </c>
      <c r="C17" s="598">
        <f ca="1">Aprekini!C145</f>
        <v>0</v>
      </c>
      <c r="D17" s="598">
        <f ca="1">Aprekini!D145</f>
        <v>289413.52</v>
      </c>
      <c r="E17" s="598">
        <f ca="1">Aprekini!E145</f>
        <v>573150.62</v>
      </c>
      <c r="F17" s="598">
        <f ca="1">Aprekini!F145</f>
        <v>0</v>
      </c>
      <c r="G17" s="598">
        <f ca="1">Aprekini!G145</f>
        <v>0</v>
      </c>
      <c r="H17" s="598">
        <f>Aprekini!H145</f>
        <v>0</v>
      </c>
      <c r="I17" s="598">
        <f>Aprekini!I145</f>
        <v>0</v>
      </c>
      <c r="J17" s="598">
        <f>Aprekini!J145</f>
        <v>0</v>
      </c>
      <c r="K17" s="598">
        <f>Aprekini!K145</f>
        <v>0</v>
      </c>
      <c r="L17" s="598">
        <f>Aprekini!L145</f>
        <v>0</v>
      </c>
      <c r="M17" s="598">
        <f>Aprekini!M145</f>
        <v>0</v>
      </c>
      <c r="N17" s="598">
        <f>Aprekini!N145</f>
        <v>0</v>
      </c>
      <c r="O17" s="598">
        <f>Aprekini!O145</f>
        <v>0</v>
      </c>
      <c r="P17" s="598">
        <f>Aprekini!P145</f>
        <v>0</v>
      </c>
      <c r="Q17" s="598">
        <f>Aprekini!Q145</f>
        <v>0</v>
      </c>
      <c r="R17" s="598">
        <f>Aprekini!R145</f>
        <v>0</v>
      </c>
      <c r="S17" s="598">
        <f>Aprekini!S145</f>
        <v>0</v>
      </c>
      <c r="T17" s="598">
        <f>Aprekini!T145</f>
        <v>0</v>
      </c>
      <c r="U17" s="598">
        <f>Aprekini!U145</f>
        <v>0</v>
      </c>
      <c r="V17" s="598">
        <f>Aprekini!V145</f>
        <v>0</v>
      </c>
      <c r="W17" s="598">
        <f>Aprekini!W145</f>
        <v>0</v>
      </c>
      <c r="X17" s="598">
        <f>Aprekini!X145</f>
        <v>0</v>
      </c>
      <c r="Y17" s="598">
        <f>Aprekini!Y145</f>
        <v>0</v>
      </c>
      <c r="Z17" s="598">
        <f>Aprekini!Z145</f>
        <v>0</v>
      </c>
      <c r="AA17" s="598">
        <f>Aprekini!AA145</f>
        <v>0</v>
      </c>
      <c r="AB17" s="598">
        <f>Aprekini!AB145</f>
        <v>0</v>
      </c>
      <c r="AC17" s="598">
        <f>Aprekini!AC145</f>
        <v>0</v>
      </c>
      <c r="AD17" s="598">
        <f>Aprekini!AD145</f>
        <v>0</v>
      </c>
      <c r="AE17" s="598">
        <f>Aprekini!AE145</f>
        <v>0</v>
      </c>
      <c r="AF17" s="598">
        <f>Aprekini!AF145</f>
        <v>0</v>
      </c>
      <c r="AG17" s="598">
        <f>Aprekini!AG145</f>
        <v>0</v>
      </c>
      <c r="AH17" s="598">
        <f>Aprekini!AH145</f>
        <v>0</v>
      </c>
      <c r="AI17" s="52"/>
      <c r="AJ17" s="52"/>
    </row>
    <row r="18" spans="1:36" s="53" customFormat="1" ht="12.75" x14ac:dyDescent="0.2">
      <c r="A18" s="597" t="str">
        <f>Aprekini!A147</f>
        <v>3.2. Pašvaldības komercsabiedrības pašu līdzekļi</v>
      </c>
      <c r="B18" s="598">
        <f>Aprekini!B147</f>
        <v>0</v>
      </c>
      <c r="C18" s="598">
        <f>Aprekini!C147</f>
        <v>0</v>
      </c>
      <c r="D18" s="598">
        <f>Aprekini!D147</f>
        <v>0</v>
      </c>
      <c r="E18" s="598">
        <f>Aprekini!E147</f>
        <v>0</v>
      </c>
      <c r="F18" s="598">
        <f>Aprekini!F147</f>
        <v>0</v>
      </c>
      <c r="G18" s="598">
        <f>Aprekini!G147</f>
        <v>0</v>
      </c>
      <c r="H18" s="598">
        <f>Aprekini!H147</f>
        <v>0</v>
      </c>
      <c r="I18" s="598">
        <f>Aprekini!I147</f>
        <v>0</v>
      </c>
      <c r="J18" s="598">
        <f>Aprekini!J147</f>
        <v>0</v>
      </c>
      <c r="K18" s="598">
        <f>Aprekini!K147</f>
        <v>0</v>
      </c>
      <c r="L18" s="598">
        <f>Aprekini!L147</f>
        <v>0</v>
      </c>
      <c r="M18" s="598">
        <f>Aprekini!M147</f>
        <v>0</v>
      </c>
      <c r="N18" s="598">
        <f>Aprekini!N147</f>
        <v>0</v>
      </c>
      <c r="O18" s="598">
        <f>Aprekini!O147</f>
        <v>0</v>
      </c>
      <c r="P18" s="598">
        <f>Aprekini!P147</f>
        <v>0</v>
      </c>
      <c r="Q18" s="598">
        <f>Aprekini!Q147</f>
        <v>0</v>
      </c>
      <c r="R18" s="598">
        <f>Aprekini!R147</f>
        <v>0</v>
      </c>
      <c r="S18" s="598">
        <f>Aprekini!S147</f>
        <v>0</v>
      </c>
      <c r="T18" s="598">
        <f>Aprekini!T147</f>
        <v>0</v>
      </c>
      <c r="U18" s="598">
        <f>Aprekini!U147</f>
        <v>0</v>
      </c>
      <c r="V18" s="598">
        <f>Aprekini!V147</f>
        <v>0</v>
      </c>
      <c r="W18" s="598">
        <f>Aprekini!W147</f>
        <v>0</v>
      </c>
      <c r="X18" s="598">
        <f>Aprekini!X147</f>
        <v>0</v>
      </c>
      <c r="Y18" s="598">
        <f>Aprekini!Y147</f>
        <v>0</v>
      </c>
      <c r="Z18" s="598">
        <f>Aprekini!Z147</f>
        <v>0</v>
      </c>
      <c r="AA18" s="598">
        <f>Aprekini!AA147</f>
        <v>0</v>
      </c>
      <c r="AB18" s="598">
        <f>Aprekini!AB147</f>
        <v>0</v>
      </c>
      <c r="AC18" s="598">
        <f>Aprekini!AC147</f>
        <v>0</v>
      </c>
      <c r="AD18" s="598">
        <f>Aprekini!AD147</f>
        <v>0</v>
      </c>
      <c r="AE18" s="598">
        <f>Aprekini!AE147</f>
        <v>0</v>
      </c>
      <c r="AF18" s="598">
        <f>Aprekini!AF147</f>
        <v>0</v>
      </c>
      <c r="AG18" s="598">
        <f>Aprekini!AG147</f>
        <v>0</v>
      </c>
      <c r="AH18" s="598">
        <f>Aprekini!AH147</f>
        <v>0</v>
      </c>
      <c r="AI18" s="799"/>
      <c r="AJ18" s="799"/>
    </row>
    <row r="19" spans="1:36" s="53" customFormat="1" ht="12.75" x14ac:dyDescent="0.2">
      <c r="A19" s="597" t="str">
        <f>Aprekini!A149</f>
        <v>3.4. Valsts budžeta dotācija</v>
      </c>
      <c r="B19" s="598">
        <f ca="1">'Datu ievade'!B$136</f>
        <v>0</v>
      </c>
      <c r="C19" s="598">
        <f ca="1">'Datu ievade'!C$136</f>
        <v>0</v>
      </c>
      <c r="D19" s="598">
        <f ca="1">'Datu ievade'!D$136</f>
        <v>0</v>
      </c>
      <c r="E19" s="598">
        <f ca="1">'Datu ievade'!E$136</f>
        <v>0</v>
      </c>
      <c r="F19" s="598">
        <f ca="1">'Datu ievade'!F$136</f>
        <v>0</v>
      </c>
      <c r="G19" s="598">
        <f>'Datu ievade'!G119</f>
        <v>0</v>
      </c>
      <c r="H19" s="598">
        <f>'Datu ievade'!H119</f>
        <v>0</v>
      </c>
      <c r="I19" s="598">
        <f>'Datu ievade'!I119</f>
        <v>0</v>
      </c>
      <c r="J19" s="598">
        <f>'Datu ievade'!J119</f>
        <v>0</v>
      </c>
      <c r="K19" s="598">
        <f>'Datu ievade'!K119</f>
        <v>0</v>
      </c>
      <c r="L19" s="598">
        <f>'Datu ievade'!L119</f>
        <v>0</v>
      </c>
      <c r="M19" s="598">
        <f>'Datu ievade'!M119</f>
        <v>0</v>
      </c>
      <c r="N19" s="598">
        <f>'Datu ievade'!N119</f>
        <v>0</v>
      </c>
      <c r="O19" s="598">
        <f>'Datu ievade'!O119</f>
        <v>0</v>
      </c>
      <c r="P19" s="598">
        <f>'Datu ievade'!P119</f>
        <v>0</v>
      </c>
      <c r="Q19" s="598">
        <f>'Datu ievade'!Q119</f>
        <v>0</v>
      </c>
      <c r="R19" s="598">
        <f>'Datu ievade'!R119</f>
        <v>0</v>
      </c>
      <c r="S19" s="598">
        <f>'Datu ievade'!S119</f>
        <v>0</v>
      </c>
      <c r="T19" s="598">
        <f>'Datu ievade'!T119</f>
        <v>0</v>
      </c>
      <c r="U19" s="598">
        <f>'Datu ievade'!U119</f>
        <v>0</v>
      </c>
      <c r="V19" s="598">
        <f>'Datu ievade'!V119</f>
        <v>0</v>
      </c>
      <c r="W19" s="598">
        <f>'Datu ievade'!W119</f>
        <v>0</v>
      </c>
      <c r="X19" s="598">
        <f>'Datu ievade'!X119</f>
        <v>0</v>
      </c>
      <c r="Y19" s="598">
        <f>'Datu ievade'!Y119</f>
        <v>0</v>
      </c>
      <c r="Z19" s="598">
        <f>'Datu ievade'!Z119</f>
        <v>0</v>
      </c>
      <c r="AA19" s="598">
        <f>'Datu ievade'!AA119</f>
        <v>0</v>
      </c>
      <c r="AB19" s="598">
        <f>'Datu ievade'!AB119</f>
        <v>0</v>
      </c>
      <c r="AC19" s="598">
        <f>'Datu ievade'!AC119</f>
        <v>0</v>
      </c>
      <c r="AD19" s="598">
        <f>'Datu ievade'!AD119</f>
        <v>0</v>
      </c>
      <c r="AE19" s="598">
        <f>'Datu ievade'!AE119</f>
        <v>0</v>
      </c>
      <c r="AF19" s="598">
        <f>'Datu ievade'!AF119</f>
        <v>0</v>
      </c>
      <c r="AG19" s="598">
        <f>'Datu ievade'!AG119</f>
        <v>0</v>
      </c>
      <c r="AH19" s="598">
        <f>'Datu ievade'!AH119</f>
        <v>0</v>
      </c>
      <c r="AI19" s="52"/>
      <c r="AJ19" s="52"/>
    </row>
    <row r="20" spans="1:36" s="53" customFormat="1" ht="12.75" x14ac:dyDescent="0.2">
      <c r="A20" s="597" t="str">
        <f>Aprekini!A153</f>
        <v>3.7. KF līdzfinansējums</v>
      </c>
      <c r="B20" s="598">
        <f ca="1">'Datu ievade'!B$138</f>
        <v>0</v>
      </c>
      <c r="C20" s="598">
        <f ca="1">'Datu ievade'!C$138</f>
        <v>0</v>
      </c>
      <c r="D20" s="598">
        <f ca="1">'Datu ievade'!D$138</f>
        <v>250873.37754615597</v>
      </c>
      <c r="E20" s="598">
        <f ca="1">'Datu ievade'!E$138</f>
        <v>515221.47612242959</v>
      </c>
      <c r="F20" s="598">
        <f ca="1">'Datu ievade'!F$138</f>
        <v>0</v>
      </c>
      <c r="G20" s="598">
        <f ca="1">'Datu ievade'!G$138</f>
        <v>0</v>
      </c>
      <c r="H20" s="598">
        <f>'Datu ievade'!H$138</f>
        <v>0</v>
      </c>
      <c r="I20" s="598">
        <f>'Datu ievade'!I$138</f>
        <v>0</v>
      </c>
      <c r="J20" s="598">
        <f>'Datu ievade'!J122</f>
        <v>0</v>
      </c>
      <c r="K20" s="598">
        <f>'Datu ievade'!K122</f>
        <v>0</v>
      </c>
      <c r="L20" s="598">
        <f>'Datu ievade'!L122</f>
        <v>0</v>
      </c>
      <c r="M20" s="598">
        <f>'Datu ievade'!M122</f>
        <v>0</v>
      </c>
      <c r="N20" s="598">
        <f>'Datu ievade'!N122</f>
        <v>0</v>
      </c>
      <c r="O20" s="598">
        <f>'Datu ievade'!O122</f>
        <v>0</v>
      </c>
      <c r="P20" s="598">
        <f>'Datu ievade'!P122</f>
        <v>0</v>
      </c>
      <c r="Q20" s="598">
        <f>'Datu ievade'!Q122</f>
        <v>0</v>
      </c>
      <c r="R20" s="598">
        <f>'Datu ievade'!R122</f>
        <v>0</v>
      </c>
      <c r="S20" s="598">
        <f>'Datu ievade'!S122</f>
        <v>0</v>
      </c>
      <c r="T20" s="598">
        <f>'Datu ievade'!T122</f>
        <v>0</v>
      </c>
      <c r="U20" s="598">
        <f>'Datu ievade'!U122</f>
        <v>0</v>
      </c>
      <c r="V20" s="598">
        <f>'Datu ievade'!V122</f>
        <v>0</v>
      </c>
      <c r="W20" s="598">
        <f>'Datu ievade'!W122</f>
        <v>0</v>
      </c>
      <c r="X20" s="598">
        <f>'Datu ievade'!X122</f>
        <v>0</v>
      </c>
      <c r="Y20" s="598">
        <f>'Datu ievade'!Y122</f>
        <v>0</v>
      </c>
      <c r="Z20" s="598">
        <f>'Datu ievade'!Z122</f>
        <v>0</v>
      </c>
      <c r="AA20" s="598">
        <f>'Datu ievade'!AA122</f>
        <v>0</v>
      </c>
      <c r="AB20" s="598">
        <f>'Datu ievade'!AB122</f>
        <v>0</v>
      </c>
      <c r="AC20" s="598">
        <f>'Datu ievade'!AC122</f>
        <v>0</v>
      </c>
      <c r="AD20" s="598">
        <f>'Datu ievade'!AD122</f>
        <v>0</v>
      </c>
      <c r="AE20" s="598">
        <f>'Datu ievade'!AE122</f>
        <v>0</v>
      </c>
      <c r="AF20" s="598">
        <f>'Datu ievade'!AF122</f>
        <v>0</v>
      </c>
      <c r="AG20" s="598">
        <f>'Datu ievade'!AG122</f>
        <v>0</v>
      </c>
      <c r="AH20" s="598">
        <f>'Datu ievade'!AH122</f>
        <v>0</v>
      </c>
      <c r="AI20" s="52"/>
      <c r="AJ20" s="52"/>
    </row>
    <row r="21" spans="1:36" s="53" customFormat="1" ht="12.75" x14ac:dyDescent="0.2">
      <c r="A21" s="597" t="str">
        <f>Aprekini!A150</f>
        <v>3.5. Citi finanšu avoti</v>
      </c>
      <c r="B21" s="598">
        <f ca="1">'Datu ievade'!B120+'Datu ievade'!B121</f>
        <v>0</v>
      </c>
      <c r="C21" s="598">
        <f ca="1">'Datu ievade'!C120+'Datu ievade'!C121</f>
        <v>0</v>
      </c>
      <c r="D21" s="598">
        <f>'Datu ievade'!D120</f>
        <v>0</v>
      </c>
      <c r="E21" s="598">
        <f>'Datu ievade'!E120</f>
        <v>0</v>
      </c>
      <c r="F21" s="598">
        <f ca="1">'Datu ievade'!F120+'Datu ievade'!F121</f>
        <v>0</v>
      </c>
      <c r="G21" s="598">
        <f ca="1">'Datu ievade'!G120+'Datu ievade'!G121</f>
        <v>0</v>
      </c>
      <c r="H21" s="598">
        <f>'Datu ievade'!H120+'Datu ievade'!H121</f>
        <v>0</v>
      </c>
      <c r="I21" s="598">
        <f>'Datu ievade'!I120+'Datu ievade'!I121</f>
        <v>0</v>
      </c>
      <c r="J21" s="598">
        <f>'Datu ievade'!J120+'Datu ievade'!J121</f>
        <v>0</v>
      </c>
      <c r="K21" s="598">
        <f>'Datu ievade'!K120+'Datu ievade'!K121</f>
        <v>0</v>
      </c>
      <c r="L21" s="598">
        <f>'Datu ievade'!L120+'Datu ievade'!L121</f>
        <v>0</v>
      </c>
      <c r="M21" s="598">
        <f>'Datu ievade'!M120+'Datu ievade'!M121</f>
        <v>0</v>
      </c>
      <c r="N21" s="598">
        <f>'Datu ievade'!N120+'Datu ievade'!N121</f>
        <v>0</v>
      </c>
      <c r="O21" s="598">
        <f>'Datu ievade'!O120+'Datu ievade'!O121</f>
        <v>0</v>
      </c>
      <c r="P21" s="598">
        <f>'Datu ievade'!P120+'Datu ievade'!P121</f>
        <v>0</v>
      </c>
      <c r="Q21" s="598">
        <f>'Datu ievade'!Q120+'Datu ievade'!Q121</f>
        <v>0</v>
      </c>
      <c r="R21" s="598">
        <f>'Datu ievade'!R120+'Datu ievade'!R121</f>
        <v>0</v>
      </c>
      <c r="S21" s="598">
        <f>'Datu ievade'!S120+'Datu ievade'!S121</f>
        <v>0</v>
      </c>
      <c r="T21" s="598">
        <f>'Datu ievade'!T120+'Datu ievade'!T121</f>
        <v>0</v>
      </c>
      <c r="U21" s="598">
        <f>'Datu ievade'!U120+'Datu ievade'!U121</f>
        <v>0</v>
      </c>
      <c r="V21" s="598">
        <f>'Datu ievade'!V120+'Datu ievade'!V121</f>
        <v>0</v>
      </c>
      <c r="W21" s="598">
        <f>'Datu ievade'!W120+'Datu ievade'!W121</f>
        <v>0</v>
      </c>
      <c r="X21" s="598">
        <f>'Datu ievade'!X120+'Datu ievade'!X121</f>
        <v>0</v>
      </c>
      <c r="Y21" s="598">
        <f>'Datu ievade'!Y120+'Datu ievade'!Y121</f>
        <v>0</v>
      </c>
      <c r="Z21" s="598">
        <f>'Datu ievade'!Z120+'Datu ievade'!Z121</f>
        <v>0</v>
      </c>
      <c r="AA21" s="598">
        <f>'Datu ievade'!AA120+'Datu ievade'!AA121</f>
        <v>0</v>
      </c>
      <c r="AB21" s="598">
        <f>'Datu ievade'!AB120+'Datu ievade'!AB121</f>
        <v>0</v>
      </c>
      <c r="AC21" s="598">
        <f>'Datu ievade'!AC120+'Datu ievade'!AC121</f>
        <v>0</v>
      </c>
      <c r="AD21" s="598">
        <f>'Datu ievade'!AD120+'Datu ievade'!AD121</f>
        <v>0</v>
      </c>
      <c r="AE21" s="598">
        <f>'Datu ievade'!AE120+'Datu ievade'!AE121</f>
        <v>0</v>
      </c>
      <c r="AF21" s="598">
        <f>'Datu ievade'!AF120+'Datu ievade'!AF121</f>
        <v>0</v>
      </c>
      <c r="AG21" s="598">
        <f>'Datu ievade'!AG120+'Datu ievade'!AG121</f>
        <v>0</v>
      </c>
      <c r="AH21" s="598">
        <f>'Datu ievade'!AH120+'Datu ievade'!AH121</f>
        <v>0</v>
      </c>
      <c r="AI21" s="52"/>
      <c r="AJ21" s="52"/>
    </row>
    <row r="22" spans="1:36" s="53" customFormat="1" ht="12.75" x14ac:dyDescent="0.2">
      <c r="A22" s="597" t="str">
        <f>Aprekini!A146</f>
        <v>6.3. Pašvaldības aizņēmumi</v>
      </c>
      <c r="B22" s="598">
        <f>Aprekini!B146</f>
        <v>0</v>
      </c>
      <c r="C22" s="598">
        <f>Aprekini!C146</f>
        <v>0</v>
      </c>
      <c r="D22" s="598">
        <f>Aprekini!D146</f>
        <v>0</v>
      </c>
      <c r="E22" s="598">
        <f>Aprekini!E146</f>
        <v>0</v>
      </c>
      <c r="F22" s="598">
        <f>Aprekini!F146</f>
        <v>0</v>
      </c>
      <c r="G22" s="598">
        <f>Aprekini!G146</f>
        <v>0</v>
      </c>
      <c r="H22" s="598">
        <f>Aprekini!H146</f>
        <v>0</v>
      </c>
      <c r="I22" s="598">
        <f>Aprekini!I146</f>
        <v>0</v>
      </c>
      <c r="J22" s="598">
        <f>Aprekini!J146</f>
        <v>0</v>
      </c>
      <c r="K22" s="598">
        <f>Aprekini!K146</f>
        <v>0</v>
      </c>
      <c r="L22" s="598">
        <f>Aprekini!L146</f>
        <v>0</v>
      </c>
      <c r="M22" s="598">
        <f>Aprekini!M146</f>
        <v>0</v>
      </c>
      <c r="N22" s="598">
        <f>Aprekini!N146</f>
        <v>0</v>
      </c>
      <c r="O22" s="598">
        <f>Aprekini!O146</f>
        <v>0</v>
      </c>
      <c r="P22" s="598">
        <f>Aprekini!P146</f>
        <v>0</v>
      </c>
      <c r="Q22" s="598">
        <f>Aprekini!Q146</f>
        <v>0</v>
      </c>
      <c r="R22" s="598">
        <f>Aprekini!R146</f>
        <v>0</v>
      </c>
      <c r="S22" s="598">
        <f>Aprekini!S146</f>
        <v>0</v>
      </c>
      <c r="T22" s="598">
        <f>Aprekini!T146</f>
        <v>0</v>
      </c>
      <c r="U22" s="598">
        <f>Aprekini!U146</f>
        <v>0</v>
      </c>
      <c r="V22" s="598">
        <f>Aprekini!V146</f>
        <v>0</v>
      </c>
      <c r="W22" s="598">
        <f>Aprekini!W146</f>
        <v>0</v>
      </c>
      <c r="X22" s="598">
        <f>Aprekini!X146</f>
        <v>0</v>
      </c>
      <c r="Y22" s="598">
        <f>Aprekini!Y146</f>
        <v>0</v>
      </c>
      <c r="Z22" s="598">
        <f>Aprekini!Z146</f>
        <v>0</v>
      </c>
      <c r="AA22" s="598">
        <f>Aprekini!AA146</f>
        <v>0</v>
      </c>
      <c r="AB22" s="598">
        <f>Aprekini!AB146</f>
        <v>0</v>
      </c>
      <c r="AC22" s="598">
        <f>Aprekini!AC146</f>
        <v>0</v>
      </c>
      <c r="AD22" s="598">
        <f>Aprekini!AD146</f>
        <v>0</v>
      </c>
      <c r="AE22" s="598">
        <f>Aprekini!AE146</f>
        <v>0</v>
      </c>
      <c r="AF22" s="598">
        <f>Aprekini!AF146</f>
        <v>0</v>
      </c>
      <c r="AG22" s="598">
        <f>Aprekini!AG146</f>
        <v>0</v>
      </c>
      <c r="AH22" s="598">
        <f>Aprekini!AH146</f>
        <v>0</v>
      </c>
      <c r="AI22" s="52"/>
      <c r="AJ22" s="52"/>
    </row>
    <row r="23" spans="1:36" s="53" customFormat="1" ht="12.75" x14ac:dyDescent="0.2">
      <c r="A23" s="597" t="str">
        <f>Aprekini!A148</f>
        <v>3. 3. Pašvaldības komercsabiedrības aizņēmumi</v>
      </c>
      <c r="B23" s="598">
        <f>Aprekini!B148</f>
        <v>0</v>
      </c>
      <c r="C23" s="598">
        <f>Aprekini!C148</f>
        <v>0</v>
      </c>
      <c r="D23" s="598">
        <f>Aprekini!D148</f>
        <v>0</v>
      </c>
      <c r="E23" s="598">
        <f>Aprekini!E148</f>
        <v>0</v>
      </c>
      <c r="F23" s="598">
        <f>Aprekini!F148</f>
        <v>0</v>
      </c>
      <c r="G23" s="598">
        <f>Aprekini!G148</f>
        <v>0</v>
      </c>
      <c r="H23" s="598">
        <f>Aprekini!H148</f>
        <v>0</v>
      </c>
      <c r="I23" s="598">
        <f>Aprekini!I148</f>
        <v>0</v>
      </c>
      <c r="J23" s="598">
        <f>Aprekini!J148</f>
        <v>0</v>
      </c>
      <c r="K23" s="598">
        <f>Aprekini!K148</f>
        <v>0</v>
      </c>
      <c r="L23" s="598">
        <f>Aprekini!L148</f>
        <v>0</v>
      </c>
      <c r="M23" s="598">
        <f>Aprekini!M148</f>
        <v>0</v>
      </c>
      <c r="N23" s="598">
        <f>Aprekini!N148</f>
        <v>0</v>
      </c>
      <c r="O23" s="598">
        <f>Aprekini!O148</f>
        <v>0</v>
      </c>
      <c r="P23" s="598">
        <f>Aprekini!P148</f>
        <v>0</v>
      </c>
      <c r="Q23" s="598">
        <f>Aprekini!Q148</f>
        <v>0</v>
      </c>
      <c r="R23" s="598">
        <f>Aprekini!R148</f>
        <v>0</v>
      </c>
      <c r="S23" s="598">
        <f>Aprekini!S148</f>
        <v>0</v>
      </c>
      <c r="T23" s="598">
        <f>Aprekini!T148</f>
        <v>0</v>
      </c>
      <c r="U23" s="598">
        <f>Aprekini!U148</f>
        <v>0</v>
      </c>
      <c r="V23" s="598">
        <f>Aprekini!V148</f>
        <v>0</v>
      </c>
      <c r="W23" s="598">
        <f>Aprekini!W148</f>
        <v>0</v>
      </c>
      <c r="X23" s="598">
        <f>Aprekini!X148</f>
        <v>0</v>
      </c>
      <c r="Y23" s="598">
        <f>Aprekini!Y148</f>
        <v>0</v>
      </c>
      <c r="Z23" s="598">
        <f>Aprekini!Z148</f>
        <v>0</v>
      </c>
      <c r="AA23" s="598">
        <f>Aprekini!AA148</f>
        <v>0</v>
      </c>
      <c r="AB23" s="598">
        <f>Aprekini!AB148</f>
        <v>0</v>
      </c>
      <c r="AC23" s="598">
        <f>Aprekini!AC148</f>
        <v>0</v>
      </c>
      <c r="AD23" s="598">
        <f>Aprekini!AD148</f>
        <v>0</v>
      </c>
      <c r="AE23" s="598">
        <f>Aprekini!AE148</f>
        <v>0</v>
      </c>
      <c r="AF23" s="598">
        <f>Aprekini!AF148</f>
        <v>0</v>
      </c>
      <c r="AG23" s="598">
        <f>Aprekini!AG148</f>
        <v>0</v>
      </c>
      <c r="AH23" s="598">
        <f>Aprekini!AH148</f>
        <v>0</v>
      </c>
      <c r="AI23" s="52"/>
      <c r="AJ23" s="52"/>
    </row>
    <row r="24" spans="1:36" s="53" customFormat="1" ht="12.75" x14ac:dyDescent="0.2">
      <c r="A24" s="358" t="s">
        <v>100</v>
      </c>
      <c r="B24" s="598">
        <f>-(Aprekini!B254+Aprekini!B273)</f>
        <v>0</v>
      </c>
      <c r="C24" s="598">
        <f>-(Aprekini!C254+Aprekini!C273)</f>
        <v>0</v>
      </c>
      <c r="D24" s="598">
        <f ca="1">-(Aprekini!D254+Aprekini!D273)</f>
        <v>0</v>
      </c>
      <c r="E24" s="598">
        <f ca="1">-(Aprekini!E254+Aprekini!E273)</f>
        <v>0</v>
      </c>
      <c r="F24" s="598">
        <f ca="1">-(Aprekini!F254+Aprekini!F273)</f>
        <v>0</v>
      </c>
      <c r="G24" s="598">
        <f ca="1">-(Aprekini!G254+Aprekini!G273)</f>
        <v>0</v>
      </c>
      <c r="H24" s="598">
        <f ca="1">-(Aprekini!H254+Aprekini!H273)</f>
        <v>0</v>
      </c>
      <c r="I24" s="598">
        <f ca="1">-(Aprekini!I254+Aprekini!I273)</f>
        <v>0</v>
      </c>
      <c r="J24" s="598">
        <f ca="1">-(Aprekini!J254+Aprekini!J273)</f>
        <v>0</v>
      </c>
      <c r="K24" s="598">
        <f ca="1">-(Aprekini!K254+Aprekini!K273)</f>
        <v>0</v>
      </c>
      <c r="L24" s="598">
        <f ca="1">-(Aprekini!L254+Aprekini!L273)</f>
        <v>0</v>
      </c>
      <c r="M24" s="598">
        <f ca="1">-(Aprekini!M254+Aprekini!M273)</f>
        <v>0</v>
      </c>
      <c r="N24" s="598">
        <f ca="1">-(Aprekini!N254+Aprekini!N273)</f>
        <v>0</v>
      </c>
      <c r="O24" s="598">
        <f ca="1">-(Aprekini!O254+Aprekini!O273)</f>
        <v>0</v>
      </c>
      <c r="P24" s="598">
        <f ca="1">-(Aprekini!P254+Aprekini!P273)</f>
        <v>0</v>
      </c>
      <c r="Q24" s="598">
        <f ca="1">-(Aprekini!Q254+Aprekini!Q273)</f>
        <v>0</v>
      </c>
      <c r="R24" s="598">
        <f ca="1">-(Aprekini!R254+Aprekini!R273)</f>
        <v>0</v>
      </c>
      <c r="S24" s="598">
        <f ca="1">-(Aprekini!S254+Aprekini!S273)</f>
        <v>0</v>
      </c>
      <c r="T24" s="598">
        <f ca="1">-(Aprekini!T254+Aprekini!T273)</f>
        <v>0</v>
      </c>
      <c r="U24" s="598">
        <f ca="1">-(Aprekini!U254+Aprekini!U273)</f>
        <v>0</v>
      </c>
      <c r="V24" s="598">
        <f ca="1">-(Aprekini!V254+Aprekini!V273)</f>
        <v>0</v>
      </c>
      <c r="W24" s="598">
        <f ca="1">-(Aprekini!W254+Aprekini!W273)</f>
        <v>0</v>
      </c>
      <c r="X24" s="598">
        <f ca="1">-(Aprekini!X254+Aprekini!X273)</f>
        <v>0</v>
      </c>
      <c r="Y24" s="598">
        <f ca="1">-(Aprekini!Y254+Aprekini!Y273)</f>
        <v>0</v>
      </c>
      <c r="Z24" s="598">
        <f ca="1">-(Aprekini!Z254+Aprekini!Z273)</f>
        <v>0</v>
      </c>
      <c r="AA24" s="598">
        <f ca="1">-(Aprekini!AA254+Aprekini!AA273)</f>
        <v>0</v>
      </c>
      <c r="AB24" s="598">
        <f ca="1">-(Aprekini!AB254+Aprekini!AB273)</f>
        <v>0</v>
      </c>
      <c r="AC24" s="598">
        <f ca="1">-(Aprekini!AC254+Aprekini!AC273)</f>
        <v>0</v>
      </c>
      <c r="AD24" s="598">
        <f ca="1">-(Aprekini!AD254+Aprekini!AD273)</f>
        <v>0</v>
      </c>
      <c r="AE24" s="598">
        <f ca="1">-(Aprekini!AE254+Aprekini!AE273)</f>
        <v>0</v>
      </c>
      <c r="AF24" s="598">
        <f ca="1">-(Aprekini!AF254+Aprekini!AF273)</f>
        <v>0</v>
      </c>
      <c r="AG24" s="598">
        <f ca="1">-(Aprekini!AG254+Aprekini!AG273)</f>
        <v>0</v>
      </c>
      <c r="AH24" s="598">
        <f ca="1">-(Aprekini!AH254+Aprekini!AH273)</f>
        <v>0</v>
      </c>
      <c r="AI24" s="52"/>
      <c r="AJ24" s="52"/>
    </row>
    <row r="25" spans="1:36" s="25" customFormat="1" ht="25.5" x14ac:dyDescent="0.2">
      <c r="A25" s="599" t="s">
        <v>385</v>
      </c>
      <c r="B25" s="591">
        <f>-(Aprekini!B262+Aprekini!B282)</f>
        <v>0</v>
      </c>
      <c r="C25" s="591">
        <f>-(Aprekini!C262+Aprekini!C282)</f>
        <v>0</v>
      </c>
      <c r="D25" s="591">
        <f>-(Aprekini!D262+Aprekini!D282)</f>
        <v>0</v>
      </c>
      <c r="E25" s="591">
        <f>-(Aprekini!E262+Aprekini!E282)</f>
        <v>0</v>
      </c>
      <c r="F25" s="591">
        <f>-(Aprekini!F262+Aprekini!F282)</f>
        <v>0</v>
      </c>
      <c r="G25" s="591">
        <f>-(Aprekini!G262+Aprekini!G282)</f>
        <v>0</v>
      </c>
      <c r="H25" s="591">
        <f>-(Aprekini!H262+Aprekini!H282)</f>
        <v>0</v>
      </c>
      <c r="I25" s="591">
        <f>-(Aprekini!I262+Aprekini!I282)</f>
        <v>0</v>
      </c>
      <c r="J25" s="591">
        <f>-(Aprekini!J262+Aprekini!J282)</f>
        <v>0</v>
      </c>
      <c r="K25" s="591">
        <f>-(Aprekini!K262+Aprekini!K282)</f>
        <v>0</v>
      </c>
      <c r="L25" s="591">
        <f>-(Aprekini!L262+Aprekini!L282)</f>
        <v>0</v>
      </c>
      <c r="M25" s="591">
        <f>-(Aprekini!M262+Aprekini!M282)</f>
        <v>0</v>
      </c>
      <c r="N25" s="591">
        <f>-(Aprekini!N262+Aprekini!N282)</f>
        <v>0</v>
      </c>
      <c r="O25" s="591">
        <f>-(Aprekini!O262+Aprekini!O282)</f>
        <v>0</v>
      </c>
      <c r="P25" s="591">
        <f>-(Aprekini!P262+Aprekini!P282)</f>
        <v>0</v>
      </c>
      <c r="Q25" s="591">
        <f>-(Aprekini!Q262+Aprekini!Q282)</f>
        <v>0</v>
      </c>
      <c r="R25" s="591">
        <f>-(Aprekini!R262+Aprekini!R282)</f>
        <v>0</v>
      </c>
      <c r="S25" s="591">
        <f>-(Aprekini!S262+Aprekini!S282)</f>
        <v>0</v>
      </c>
      <c r="T25" s="591">
        <f>-(Aprekini!T262+Aprekini!T282)</f>
        <v>0</v>
      </c>
      <c r="U25" s="591">
        <f>-(Aprekini!U262+Aprekini!U282)</f>
        <v>0</v>
      </c>
      <c r="V25" s="591">
        <f>-(Aprekini!V262+Aprekini!V282)</f>
        <v>0</v>
      </c>
      <c r="W25" s="591">
        <f>-(Aprekini!W262+Aprekini!W282)</f>
        <v>0</v>
      </c>
      <c r="X25" s="591">
        <f>-(Aprekini!X262+Aprekini!X282)</f>
        <v>0</v>
      </c>
      <c r="Y25" s="591">
        <f>-(Aprekini!Y262+Aprekini!Y282)</f>
        <v>0</v>
      </c>
      <c r="Z25" s="591">
        <f>-(Aprekini!Z262+Aprekini!Z282)</f>
        <v>0</v>
      </c>
      <c r="AA25" s="591">
        <f>-(Aprekini!AA262+Aprekini!AA282)</f>
        <v>0</v>
      </c>
      <c r="AB25" s="591">
        <f>-(Aprekini!AB262+Aprekini!AB282)</f>
        <v>0</v>
      </c>
      <c r="AC25" s="591">
        <f>-(Aprekini!AC262+Aprekini!AC282)</f>
        <v>0</v>
      </c>
      <c r="AD25" s="591">
        <f>-(Aprekini!AD262+Aprekini!AD282)</f>
        <v>0</v>
      </c>
      <c r="AE25" s="591">
        <f>-(Aprekini!AE262+Aprekini!AE282)</f>
        <v>0</v>
      </c>
      <c r="AF25" s="591">
        <f>-(Aprekini!AF262+Aprekini!AF282)</f>
        <v>0</v>
      </c>
      <c r="AG25" s="591">
        <f>-(Aprekini!AG262+Aprekini!AG282)</f>
        <v>0</v>
      </c>
      <c r="AH25" s="591">
        <f>-(Aprekini!AH262+Aprekini!AH282)</f>
        <v>0</v>
      </c>
      <c r="AI25" s="27"/>
      <c r="AJ25" s="27"/>
    </row>
    <row r="26" spans="1:36" s="25" customFormat="1" ht="12.75" x14ac:dyDescent="0.2">
      <c r="A26" s="599" t="s">
        <v>101</v>
      </c>
      <c r="B26" s="594">
        <f t="shared" ref="B26:AH26" ca="1" si="4">B16+B24+B25</f>
        <v>0</v>
      </c>
      <c r="C26" s="594">
        <f t="shared" ca="1" si="4"/>
        <v>0</v>
      </c>
      <c r="D26" s="594">
        <f t="shared" ca="1" si="4"/>
        <v>540286.89754615596</v>
      </c>
      <c r="E26" s="594">
        <f t="shared" ca="1" si="4"/>
        <v>1088372.0961224297</v>
      </c>
      <c r="F26" s="594">
        <f t="shared" ca="1" si="4"/>
        <v>0</v>
      </c>
      <c r="G26" s="594">
        <f t="shared" ca="1" si="4"/>
        <v>0</v>
      </c>
      <c r="H26" s="594">
        <f t="shared" ca="1" si="4"/>
        <v>0</v>
      </c>
      <c r="I26" s="594">
        <f t="shared" ca="1" si="4"/>
        <v>0</v>
      </c>
      <c r="J26" s="594">
        <f t="shared" ca="1" si="4"/>
        <v>0</v>
      </c>
      <c r="K26" s="594">
        <f t="shared" ca="1" si="4"/>
        <v>0</v>
      </c>
      <c r="L26" s="594">
        <f t="shared" ca="1" si="4"/>
        <v>0</v>
      </c>
      <c r="M26" s="594">
        <f t="shared" ca="1" si="4"/>
        <v>0</v>
      </c>
      <c r="N26" s="594">
        <f t="shared" ca="1" si="4"/>
        <v>0</v>
      </c>
      <c r="O26" s="594">
        <f t="shared" ca="1" si="4"/>
        <v>0</v>
      </c>
      <c r="P26" s="594">
        <f t="shared" ca="1" si="4"/>
        <v>0</v>
      </c>
      <c r="Q26" s="594">
        <f t="shared" ca="1" si="4"/>
        <v>0</v>
      </c>
      <c r="R26" s="594">
        <f t="shared" ca="1" si="4"/>
        <v>0</v>
      </c>
      <c r="S26" s="594">
        <f t="shared" ca="1" si="4"/>
        <v>0</v>
      </c>
      <c r="T26" s="594">
        <f t="shared" ca="1" si="4"/>
        <v>0</v>
      </c>
      <c r="U26" s="594">
        <f t="shared" ca="1" si="4"/>
        <v>0</v>
      </c>
      <c r="V26" s="594">
        <f t="shared" ca="1" si="4"/>
        <v>0</v>
      </c>
      <c r="W26" s="594">
        <f t="shared" ca="1" si="4"/>
        <v>0</v>
      </c>
      <c r="X26" s="594">
        <f t="shared" ca="1" si="4"/>
        <v>0</v>
      </c>
      <c r="Y26" s="594">
        <f t="shared" ca="1" si="4"/>
        <v>0</v>
      </c>
      <c r="Z26" s="594">
        <f t="shared" ca="1" si="4"/>
        <v>0</v>
      </c>
      <c r="AA26" s="594">
        <f t="shared" ca="1" si="4"/>
        <v>0</v>
      </c>
      <c r="AB26" s="594">
        <f t="shared" ca="1" si="4"/>
        <v>0</v>
      </c>
      <c r="AC26" s="594">
        <f t="shared" ca="1" si="4"/>
        <v>0</v>
      </c>
      <c r="AD26" s="594">
        <f t="shared" ca="1" si="4"/>
        <v>0</v>
      </c>
      <c r="AE26" s="594">
        <f t="shared" ca="1" si="4"/>
        <v>0</v>
      </c>
      <c r="AF26" s="594">
        <f t="shared" ca="1" si="4"/>
        <v>0</v>
      </c>
      <c r="AG26" s="594">
        <f t="shared" ca="1" si="4"/>
        <v>0</v>
      </c>
      <c r="AH26" s="594">
        <f t="shared" ca="1" si="4"/>
        <v>0</v>
      </c>
      <c r="AI26" s="28"/>
      <c r="AJ26" s="28"/>
    </row>
    <row r="27" spans="1:36" s="25" customFormat="1" ht="12.75" x14ac:dyDescent="0.2">
      <c r="A27" s="599" t="s">
        <v>372</v>
      </c>
      <c r="B27" s="594">
        <v>0</v>
      </c>
      <c r="C27" s="594">
        <v>0</v>
      </c>
      <c r="D27" s="594">
        <v>0</v>
      </c>
      <c r="E27" s="594">
        <v>0</v>
      </c>
      <c r="F27" s="594">
        <v>0</v>
      </c>
      <c r="G27" s="594">
        <v>0</v>
      </c>
      <c r="H27" s="594">
        <v>0</v>
      </c>
      <c r="I27" s="594">
        <v>0</v>
      </c>
      <c r="J27" s="594">
        <v>0</v>
      </c>
      <c r="K27" s="594">
        <v>0</v>
      </c>
      <c r="L27" s="594">
        <v>0</v>
      </c>
      <c r="M27" s="594">
        <v>0</v>
      </c>
      <c r="N27" s="594">
        <v>0</v>
      </c>
      <c r="O27" s="594">
        <v>0</v>
      </c>
      <c r="P27" s="594">
        <v>0</v>
      </c>
      <c r="Q27" s="594">
        <v>0</v>
      </c>
      <c r="R27" s="594">
        <v>0</v>
      </c>
      <c r="S27" s="594">
        <v>0</v>
      </c>
      <c r="T27" s="594">
        <v>0</v>
      </c>
      <c r="U27" s="594">
        <v>0</v>
      </c>
      <c r="V27" s="594">
        <v>0</v>
      </c>
      <c r="W27" s="594">
        <v>0</v>
      </c>
      <c r="X27" s="594">
        <v>0</v>
      </c>
      <c r="Y27" s="594">
        <v>0</v>
      </c>
      <c r="Z27" s="594">
        <v>0</v>
      </c>
      <c r="AA27" s="594">
        <v>0</v>
      </c>
      <c r="AB27" s="594">
        <v>0</v>
      </c>
      <c r="AC27" s="594">
        <v>0</v>
      </c>
      <c r="AD27" s="594">
        <v>0</v>
      </c>
      <c r="AE27" s="594">
        <v>0</v>
      </c>
      <c r="AF27" s="594">
        <v>0</v>
      </c>
      <c r="AG27" s="594">
        <v>0</v>
      </c>
      <c r="AH27" s="594">
        <v>0</v>
      </c>
      <c r="AI27" s="28"/>
      <c r="AJ27" s="28"/>
    </row>
    <row r="28" spans="1:36" s="25" customFormat="1" ht="25.5" x14ac:dyDescent="0.2">
      <c r="A28" s="600" t="s">
        <v>102</v>
      </c>
      <c r="B28" s="723">
        <f t="shared" ref="B28:AH28" ca="1" si="5">SUM(B11,B14,B26,B27)</f>
        <v>37041.337899999984</v>
      </c>
      <c r="C28" s="723">
        <f t="shared" ca="1" si="5"/>
        <v>20882.045928000065</v>
      </c>
      <c r="D28" s="723">
        <f t="shared" ca="1" si="5"/>
        <v>14555.463611155865</v>
      </c>
      <c r="E28" s="723">
        <f ca="1">SUM(E11,E14,E26,E27)</f>
        <v>26745.182324429741</v>
      </c>
      <c r="F28" s="723">
        <f t="shared" ca="1" si="5"/>
        <v>32963.985585000039</v>
      </c>
      <c r="G28" s="723">
        <f t="shared" ca="1" si="5"/>
        <v>33271.840842999874</v>
      </c>
      <c r="H28" s="723">
        <f t="shared" ca="1" si="5"/>
        <v>37286.264551000037</v>
      </c>
      <c r="I28" s="723">
        <f t="shared" ca="1" si="5"/>
        <v>38687.095208999999</v>
      </c>
      <c r="J28" s="723">
        <f t="shared" ca="1" si="5"/>
        <v>41567.468266999924</v>
      </c>
      <c r="K28" s="723">
        <f t="shared" ca="1" si="5"/>
        <v>42713.322925000022</v>
      </c>
      <c r="L28" s="723">
        <f t="shared" ca="1" si="5"/>
        <v>41990.254382999869</v>
      </c>
      <c r="M28" s="723">
        <f t="shared" ca="1" si="5"/>
        <v>46739.550640999943</v>
      </c>
      <c r="N28" s="723">
        <f t="shared" ca="1" si="5"/>
        <v>46768.105698999985</v>
      </c>
      <c r="O28" s="723">
        <f t="shared" ca="1" si="5"/>
        <v>46039.401556999896</v>
      </c>
      <c r="P28" s="723">
        <f t="shared" ca="1" si="5"/>
        <v>35763.807744000049</v>
      </c>
      <c r="Q28" s="723">
        <f t="shared" ca="1" si="5"/>
        <v>28995.034330999959</v>
      </c>
      <c r="R28" s="723">
        <f t="shared" ca="1" si="5"/>
        <v>28027.239218000119</v>
      </c>
      <c r="S28" s="723">
        <f t="shared" ca="1" si="5"/>
        <v>28947.835255000085</v>
      </c>
      <c r="T28" s="723">
        <f t="shared" ca="1" si="5"/>
        <v>28856.333292000149</v>
      </c>
      <c r="U28" s="723">
        <f t="shared" ca="1" si="5"/>
        <v>41847.76452899992</v>
      </c>
      <c r="V28" s="723">
        <f t="shared" ca="1" si="5"/>
        <v>41756.262565999983</v>
      </c>
      <c r="W28" s="723">
        <f t="shared" ca="1" si="5"/>
        <v>41800.565453000047</v>
      </c>
      <c r="X28" s="723">
        <f t="shared" ca="1" si="5"/>
        <v>41709.06349</v>
      </c>
      <c r="Y28" s="723">
        <f t="shared" ca="1" si="5"/>
        <v>41753.366377000057</v>
      </c>
      <c r="Z28" s="723">
        <f t="shared" ca="1" si="5"/>
        <v>42673.962414000031</v>
      </c>
      <c r="AA28" s="723">
        <f t="shared" ca="1" si="5"/>
        <v>41706.167301000067</v>
      </c>
      <c r="AB28" s="723">
        <f t="shared" ca="1" si="5"/>
        <v>42626.763337999924</v>
      </c>
      <c r="AC28" s="723">
        <f t="shared" ca="1" si="5"/>
        <v>42671.066225000111</v>
      </c>
      <c r="AD28" s="723">
        <f t="shared" ca="1" si="5"/>
        <v>41703.271112000039</v>
      </c>
      <c r="AE28" s="723">
        <f t="shared" ca="1" si="5"/>
        <v>41526.035499000056</v>
      </c>
      <c r="AF28" s="723">
        <f t="shared" ca="1" si="5"/>
        <v>42470.897885999751</v>
      </c>
      <c r="AG28" s="723">
        <f t="shared" ca="1" si="5"/>
        <v>41886.799885999848</v>
      </c>
      <c r="AH28" s="723">
        <f t="shared" ca="1" si="5"/>
        <v>43191.093035999867</v>
      </c>
      <c r="AI28" s="28"/>
      <c r="AJ28" s="28"/>
    </row>
    <row r="29" spans="1:36" s="25" customFormat="1" ht="25.5" x14ac:dyDescent="0.2">
      <c r="A29" s="600" t="s">
        <v>103</v>
      </c>
      <c r="B29" s="723">
        <f ca="1">B28+'Datu ievade'!E$321</f>
        <v>37041.337899999984</v>
      </c>
      <c r="C29" s="723">
        <f ca="1">C28+'Datu ievade'!F$321+B29</f>
        <v>57923.383828000049</v>
      </c>
      <c r="D29" s="723">
        <f ca="1">D28+'Datu ievade'!G$321+C29</f>
        <v>72478.847439155914</v>
      </c>
      <c r="E29" s="723">
        <f ca="1">E28+'Datu ievade'!H$321+D29</f>
        <v>99224.029763585655</v>
      </c>
      <c r="F29" s="723">
        <f ca="1">F28+'Datu ievade'!I$321+E29</f>
        <v>132188.0153485857</v>
      </c>
      <c r="G29" s="723">
        <f ca="1">G28+'Datu ievade'!J$321+F29</f>
        <v>165459.85619158557</v>
      </c>
      <c r="H29" s="723">
        <f ca="1">H28+'Datu ievade'!K$321+G29</f>
        <v>202746.1207425856</v>
      </c>
      <c r="I29" s="723">
        <f ca="1">I28+'Datu ievade'!L$321+H29</f>
        <v>241433.21595158559</v>
      </c>
      <c r="J29" s="723">
        <f ca="1">J28+'Datu ievade'!M$321+I29</f>
        <v>283000.68421858549</v>
      </c>
      <c r="K29" s="723">
        <f ca="1">K28+'Datu ievade'!N$321+J29</f>
        <v>325714.00714358554</v>
      </c>
      <c r="L29" s="723">
        <f ca="1">L28+'Datu ievade'!O$321+K29</f>
        <v>367704.26152658538</v>
      </c>
      <c r="M29" s="723">
        <f ca="1">M28+'Datu ievade'!P$321+L29</f>
        <v>414443.8121675853</v>
      </c>
      <c r="N29" s="723">
        <f ca="1">N28+'Datu ievade'!Q$321+M29</f>
        <v>461211.91786658531</v>
      </c>
      <c r="O29" s="723">
        <f ca="1">O28+'Datu ievade'!R$321+N29</f>
        <v>507251.3194235852</v>
      </c>
      <c r="P29" s="723">
        <f ca="1">P28+'Datu ievade'!S$321+O29</f>
        <v>543015.12716758531</v>
      </c>
      <c r="Q29" s="723">
        <f ca="1">Q28+'Datu ievade'!T$321+P29</f>
        <v>572010.16149858525</v>
      </c>
      <c r="R29" s="723">
        <f ca="1">R28+'Datu ievade'!U$321+Q29</f>
        <v>600037.40071658534</v>
      </c>
      <c r="S29" s="723">
        <f ca="1">S28+'Datu ievade'!V$321+R29</f>
        <v>628985.23597158538</v>
      </c>
      <c r="T29" s="723">
        <f ca="1">T28+'Datu ievade'!W$321+S29</f>
        <v>657841.56926358549</v>
      </c>
      <c r="U29" s="723">
        <f ca="1">U28+'Datu ievade'!X$321+T29</f>
        <v>699689.33379258541</v>
      </c>
      <c r="V29" s="723">
        <f ca="1">V28+'Datu ievade'!Y$321+U29</f>
        <v>741445.5963585854</v>
      </c>
      <c r="W29" s="723">
        <f ca="1">W28+'Datu ievade'!Z$321+V29</f>
        <v>783246.16181158542</v>
      </c>
      <c r="X29" s="723">
        <f ca="1">X28+'Datu ievade'!AA$321+W29</f>
        <v>824955.22530158539</v>
      </c>
      <c r="Y29" s="723">
        <f ca="1">Y28+'Datu ievade'!AB$321+X29</f>
        <v>866708.59167858539</v>
      </c>
      <c r="Z29" s="723">
        <f ca="1">Z28+'Datu ievade'!AC$321+Y29</f>
        <v>909382.55409258546</v>
      </c>
      <c r="AA29" s="723">
        <f ca="1">AA28+'Datu ievade'!AD$321+Z29</f>
        <v>951088.72139358555</v>
      </c>
      <c r="AB29" s="723">
        <f ca="1">AB28+'Datu ievade'!AE$321+AA29</f>
        <v>993715.48473158549</v>
      </c>
      <c r="AC29" s="723">
        <f ca="1">AC28+'Datu ievade'!AF$321+AB29</f>
        <v>1036386.5509565856</v>
      </c>
      <c r="AD29" s="723">
        <f ca="1">AD28+'Datu ievade'!AG$321+AC29</f>
        <v>1078089.8220685855</v>
      </c>
      <c r="AE29" s="723">
        <f ca="1">AE28+'Datu ievade'!AH$321+AD29</f>
        <v>1119615.8575675855</v>
      </c>
      <c r="AF29" s="723">
        <f ca="1">AF28+'Datu ievade'!AI$321+AE29</f>
        <v>1162086.7554535852</v>
      </c>
      <c r="AG29" s="723">
        <f ca="1">AG28+'Datu ievade'!AJ$321+AF29</f>
        <v>1203973.5553395851</v>
      </c>
      <c r="AH29" s="723">
        <f ca="1">AH28+'Datu ievade'!AK$321+AG29</f>
        <v>1247164.648375585</v>
      </c>
      <c r="AI29" s="28"/>
      <c r="AJ29" s="28"/>
    </row>
    <row r="30" spans="1:36" x14ac:dyDescent="0.2">
      <c r="A30" s="31"/>
    </row>
    <row r="31" spans="1:36" x14ac:dyDescent="0.2">
      <c r="B31" s="32"/>
      <c r="C31" s="32"/>
      <c r="D31" s="32"/>
      <c r="E31" s="32"/>
      <c r="F31" s="32"/>
      <c r="G31" s="32"/>
      <c r="H31" s="32"/>
      <c r="I31" s="32"/>
      <c r="J31" s="32"/>
      <c r="K31" s="32"/>
      <c r="L31" s="32"/>
      <c r="M31" s="32"/>
      <c r="N31" s="32"/>
      <c r="O31" s="32"/>
      <c r="P31" s="32"/>
      <c r="Q31" s="32"/>
      <c r="R31" s="32"/>
      <c r="S31" s="32"/>
      <c r="T31" s="32"/>
      <c r="U31" s="32"/>
    </row>
    <row r="32" spans="1:36" x14ac:dyDescent="0.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row>
    <row r="33" spans="9:9" x14ac:dyDescent="0.2">
      <c r="I33" s="32"/>
    </row>
    <row r="34" spans="9:9" x14ac:dyDescent="0.2">
      <c r="I34" s="32"/>
    </row>
    <row r="35" spans="9:9" x14ac:dyDescent="0.2">
      <c r="I35" s="32"/>
    </row>
  </sheetData>
  <phoneticPr fontId="2" type="noConversion"/>
  <printOptions horizontalCentered="1"/>
  <pageMargins left="0.59027777777777779" right="0.59027777777777779" top="1" bottom="1.1388888888888888" header="0.51180555555555551" footer="1"/>
  <pageSetup paperSize="9" scale="66" firstPageNumber="0" orientation="landscape" horizontalDpi="300" verticalDpi="300"/>
  <headerFooter alignWithMargins="0">
    <oddFooter>&amp;L&amp;A&amp;R&amp;P</oddFooter>
  </headerFooter>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87"/>
  <sheetViews>
    <sheetView showGridLines="0" topLeftCell="A8" zoomScaleNormal="100" zoomScaleSheetLayoutView="90" workbookViewId="0">
      <pane xSplit="1" topLeftCell="B1" activePane="topRight" state="frozen"/>
      <selection pane="topRight" activeCell="A18" sqref="A18"/>
    </sheetView>
  </sheetViews>
  <sheetFormatPr defaultRowHeight="11.25" x14ac:dyDescent="0.2"/>
  <cols>
    <col min="1" max="1" width="52.140625" style="260" customWidth="1"/>
    <col min="2" max="33" width="9.85546875" style="260" customWidth="1"/>
    <col min="34" max="34" width="10.85546875" style="260" bestFit="1" customWidth="1"/>
    <col min="35" max="35" width="10.85546875" style="260" hidden="1" customWidth="1"/>
    <col min="36" max="16384" width="9.140625" style="260"/>
  </cols>
  <sheetData>
    <row r="1" spans="1:35" ht="16.5" x14ac:dyDescent="0.2">
      <c r="A1" s="601" t="str">
        <f>'Datu ievade'!$B$6</f>
        <v>A pašvaldība</v>
      </c>
      <c r="B1" s="602" t="str">
        <f>'Datu ievade'!$B$8</f>
        <v>Ūdenssaimniecības attīstība A pašvaldībā</v>
      </c>
    </row>
    <row r="3" spans="1:35" ht="17.25" customHeight="1" x14ac:dyDescent="0.25">
      <c r="A3" s="603" t="s">
        <v>463</v>
      </c>
      <c r="B3" s="503"/>
      <c r="C3" s="503"/>
      <c r="D3" s="503"/>
      <c r="E3" s="503"/>
      <c r="F3" s="503"/>
      <c r="G3" s="503"/>
      <c r="H3" s="503"/>
      <c r="I3" s="503"/>
      <c r="J3" s="503"/>
      <c r="K3" s="503"/>
      <c r="L3" s="503"/>
      <c r="M3" s="503"/>
      <c r="N3" s="503"/>
      <c r="O3" s="503"/>
      <c r="P3" s="503"/>
      <c r="Q3" s="503"/>
      <c r="R3" s="503"/>
      <c r="S3" s="503"/>
      <c r="T3" s="503"/>
      <c r="U3" s="503"/>
      <c r="V3" s="456"/>
      <c r="W3" s="456"/>
      <c r="X3" s="456"/>
      <c r="Y3" s="456"/>
      <c r="Z3" s="456"/>
      <c r="AA3" s="456"/>
      <c r="AB3" s="456"/>
      <c r="AC3" s="456"/>
      <c r="AD3" s="456"/>
      <c r="AE3" s="456"/>
      <c r="AF3" s="456"/>
      <c r="AG3" s="456"/>
      <c r="AH3" s="456"/>
      <c r="AI3" s="456"/>
    </row>
    <row r="4" spans="1:35" ht="12.75" x14ac:dyDescent="0.2">
      <c r="A4" s="504"/>
      <c r="B4" s="423"/>
      <c r="C4" s="423"/>
      <c r="D4" s="423"/>
      <c r="E4" s="423"/>
      <c r="F4" s="458"/>
      <c r="G4" s="423"/>
      <c r="H4" s="423"/>
      <c r="I4" s="423"/>
      <c r="J4" s="458" t="s">
        <v>21</v>
      </c>
      <c r="K4" s="423"/>
      <c r="L4" s="458"/>
      <c r="M4" s="423"/>
      <c r="N4" s="423"/>
      <c r="O4" s="423"/>
      <c r="P4" s="505"/>
      <c r="Q4" s="505"/>
      <c r="R4" s="505"/>
      <c r="S4" s="505"/>
      <c r="T4" s="505"/>
      <c r="U4" s="485"/>
      <c r="V4" s="485"/>
      <c r="W4" s="485"/>
      <c r="X4" s="505"/>
      <c r="Y4" s="505"/>
      <c r="Z4" s="505"/>
      <c r="AA4" s="505"/>
      <c r="AB4" s="505"/>
      <c r="AC4" s="505"/>
      <c r="AD4" s="505"/>
      <c r="AE4" s="505"/>
      <c r="AF4" s="505"/>
      <c r="AG4" s="505"/>
      <c r="AH4" s="505"/>
      <c r="AI4" s="505"/>
    </row>
    <row r="5" spans="1:35" ht="12.75" x14ac:dyDescent="0.2">
      <c r="A5" s="506"/>
      <c r="B5" s="431">
        <f>Aprekini!B5</f>
        <v>2014</v>
      </c>
      <c r="C5" s="431">
        <f t="shared" ref="C5:AG5" si="0">B5+1</f>
        <v>2015</v>
      </c>
      <c r="D5" s="431">
        <f t="shared" si="0"/>
        <v>2016</v>
      </c>
      <c r="E5" s="431">
        <f t="shared" si="0"/>
        <v>2017</v>
      </c>
      <c r="F5" s="431">
        <f t="shared" si="0"/>
        <v>2018</v>
      </c>
      <c r="G5" s="431">
        <f t="shared" si="0"/>
        <v>2019</v>
      </c>
      <c r="H5" s="431">
        <f t="shared" si="0"/>
        <v>2020</v>
      </c>
      <c r="I5" s="431">
        <f t="shared" si="0"/>
        <v>2021</v>
      </c>
      <c r="J5" s="431">
        <f t="shared" si="0"/>
        <v>2022</v>
      </c>
      <c r="K5" s="431">
        <f t="shared" si="0"/>
        <v>2023</v>
      </c>
      <c r="L5" s="507">
        <f t="shared" si="0"/>
        <v>2024</v>
      </c>
      <c r="M5" s="508">
        <f t="shared" si="0"/>
        <v>2025</v>
      </c>
      <c r="N5" s="508">
        <f t="shared" si="0"/>
        <v>2026</v>
      </c>
      <c r="O5" s="508">
        <f t="shared" si="0"/>
        <v>2027</v>
      </c>
      <c r="P5" s="508">
        <f t="shared" si="0"/>
        <v>2028</v>
      </c>
      <c r="Q5" s="508">
        <f t="shared" si="0"/>
        <v>2029</v>
      </c>
      <c r="R5" s="508">
        <f t="shared" si="0"/>
        <v>2030</v>
      </c>
      <c r="S5" s="508">
        <f t="shared" si="0"/>
        <v>2031</v>
      </c>
      <c r="T5" s="508">
        <f t="shared" si="0"/>
        <v>2032</v>
      </c>
      <c r="U5" s="508">
        <f t="shared" si="0"/>
        <v>2033</v>
      </c>
      <c r="V5" s="508">
        <f t="shared" si="0"/>
        <v>2034</v>
      </c>
      <c r="W5" s="508">
        <f t="shared" si="0"/>
        <v>2035</v>
      </c>
      <c r="X5" s="508">
        <f t="shared" si="0"/>
        <v>2036</v>
      </c>
      <c r="Y5" s="508">
        <f t="shared" si="0"/>
        <v>2037</v>
      </c>
      <c r="Z5" s="508">
        <f t="shared" si="0"/>
        <v>2038</v>
      </c>
      <c r="AA5" s="508">
        <f t="shared" si="0"/>
        <v>2039</v>
      </c>
      <c r="AB5" s="508">
        <f t="shared" si="0"/>
        <v>2040</v>
      </c>
      <c r="AC5" s="508">
        <f t="shared" si="0"/>
        <v>2041</v>
      </c>
      <c r="AD5" s="508">
        <f t="shared" si="0"/>
        <v>2042</v>
      </c>
      <c r="AE5" s="508">
        <f t="shared" si="0"/>
        <v>2043</v>
      </c>
      <c r="AF5" s="508">
        <f t="shared" si="0"/>
        <v>2044</v>
      </c>
      <c r="AG5" s="508">
        <f t="shared" si="0"/>
        <v>2045</v>
      </c>
      <c r="AH5" s="508">
        <f>AG5+1</f>
        <v>2046</v>
      </c>
      <c r="AI5" s="508"/>
    </row>
    <row r="6" spans="1:35" ht="25.5" x14ac:dyDescent="0.2">
      <c r="A6" s="424" t="s">
        <v>396</v>
      </c>
      <c r="B6" s="509"/>
      <c r="C6" s="509"/>
      <c r="D6" s="509"/>
      <c r="E6" s="509"/>
      <c r="F6" s="509"/>
      <c r="G6" s="509"/>
      <c r="H6" s="509"/>
      <c r="I6" s="509"/>
      <c r="J6" s="509"/>
      <c r="K6" s="509"/>
      <c r="L6" s="509"/>
      <c r="M6" s="509"/>
      <c r="N6" s="509"/>
      <c r="O6" s="509"/>
      <c r="P6" s="509"/>
      <c r="Q6" s="509"/>
      <c r="R6" s="509"/>
      <c r="S6" s="509"/>
      <c r="T6" s="509"/>
      <c r="U6" s="509"/>
      <c r="V6" s="509"/>
      <c r="W6" s="509"/>
      <c r="X6" s="509"/>
      <c r="Y6" s="509"/>
      <c r="Z6" s="510"/>
      <c r="AA6" s="510"/>
      <c r="AB6" s="510"/>
      <c r="AC6" s="510"/>
      <c r="AD6" s="510"/>
      <c r="AE6" s="510"/>
      <c r="AF6" s="510"/>
      <c r="AG6" s="510"/>
      <c r="AH6" s="510"/>
      <c r="AI6" s="510"/>
    </row>
    <row r="7" spans="1:35" ht="12.75" hidden="1" x14ac:dyDescent="0.2">
      <c r="A7" s="604" t="str">
        <f>'Datu ievade'!A326</f>
        <v>Atšifrēt aizņēmumu, norādot kam tas plānots</v>
      </c>
      <c r="B7" s="605">
        <f>'Datu ievade'!B326</f>
        <v>0</v>
      </c>
      <c r="C7" s="605">
        <f>'Datu ievade'!C326</f>
        <v>0</v>
      </c>
      <c r="D7" s="605">
        <f>'Datu ievade'!D326</f>
        <v>0</v>
      </c>
      <c r="E7" s="605">
        <f>'Datu ievade'!E326</f>
        <v>0</v>
      </c>
      <c r="F7" s="605">
        <f>'Datu ievade'!F326</f>
        <v>0</v>
      </c>
      <c r="G7" s="605">
        <f>'Datu ievade'!G326</f>
        <v>0</v>
      </c>
      <c r="H7" s="605">
        <f>'Datu ievade'!H326</f>
        <v>0</v>
      </c>
      <c r="I7" s="605">
        <f>'Datu ievade'!I326</f>
        <v>0</v>
      </c>
      <c r="J7" s="605">
        <f>'Datu ievade'!J326</f>
        <v>0</v>
      </c>
      <c r="K7" s="605">
        <f>'Datu ievade'!K326</f>
        <v>0</v>
      </c>
      <c r="L7" s="605">
        <f>'Datu ievade'!L326</f>
        <v>0</v>
      </c>
      <c r="M7" s="605">
        <f>'Datu ievade'!M326</f>
        <v>0</v>
      </c>
      <c r="N7" s="605">
        <f>'Datu ievade'!N326</f>
        <v>0</v>
      </c>
      <c r="O7" s="605">
        <f>'Datu ievade'!O326</f>
        <v>0</v>
      </c>
      <c r="P7" s="605">
        <f>'Datu ievade'!P326</f>
        <v>0</v>
      </c>
      <c r="Q7" s="605">
        <f>'Datu ievade'!Q326</f>
        <v>0</v>
      </c>
      <c r="R7" s="605">
        <f>'Datu ievade'!R326</f>
        <v>0</v>
      </c>
      <c r="S7" s="605">
        <f>'Datu ievade'!S326</f>
        <v>0</v>
      </c>
      <c r="T7" s="605">
        <f>'Datu ievade'!T326</f>
        <v>0</v>
      </c>
      <c r="U7" s="605">
        <f>'Datu ievade'!U326</f>
        <v>0</v>
      </c>
      <c r="V7" s="605">
        <f>'Datu ievade'!V326</f>
        <v>0</v>
      </c>
      <c r="W7" s="605">
        <f>'Datu ievade'!W326</f>
        <v>0</v>
      </c>
      <c r="X7" s="605">
        <f>'Datu ievade'!X326</f>
        <v>0</v>
      </c>
      <c r="Y7" s="605">
        <f>'Datu ievade'!Y326</f>
        <v>0</v>
      </c>
      <c r="Z7" s="605">
        <f>'Datu ievade'!Z326</f>
        <v>0</v>
      </c>
      <c r="AA7" s="605">
        <f>'Datu ievade'!AA326</f>
        <v>0</v>
      </c>
      <c r="AB7" s="605">
        <f>'Datu ievade'!AB326</f>
        <v>0</v>
      </c>
      <c r="AC7" s="605">
        <f>'Datu ievade'!AC326</f>
        <v>0</v>
      </c>
      <c r="AD7" s="605">
        <f>'Datu ievade'!AD326</f>
        <v>0</v>
      </c>
      <c r="AE7" s="605">
        <f>'Datu ievade'!AE326</f>
        <v>0</v>
      </c>
      <c r="AF7" s="605">
        <f>'Datu ievade'!AF326</f>
        <v>0</v>
      </c>
      <c r="AG7" s="605">
        <f>'Datu ievade'!AG326</f>
        <v>0</v>
      </c>
      <c r="AH7" s="605">
        <f>'Datu ievade'!AH326</f>
        <v>0</v>
      </c>
      <c r="AI7" s="605"/>
    </row>
    <row r="8" spans="1:35" ht="12.75" x14ac:dyDescent="0.2">
      <c r="A8" s="604" t="str">
        <f>'Datu ievade'!A327</f>
        <v>A Ielas rekonstrukcija (Valsts kase)</v>
      </c>
      <c r="B8" s="605">
        <f>'Datu ievade'!B327</f>
        <v>55628</v>
      </c>
      <c r="C8" s="605">
        <f>'Datu ievade'!C327</f>
        <v>52520</v>
      </c>
      <c r="D8" s="605">
        <f>'Datu ievade'!D327</f>
        <v>50420</v>
      </c>
      <c r="E8" s="605">
        <f>'Datu ievade'!E327</f>
        <v>24380</v>
      </c>
      <c r="F8" s="605">
        <f>'Datu ievade'!F327</f>
        <v>0</v>
      </c>
      <c r="G8" s="605">
        <f>'Datu ievade'!G327</f>
        <v>0</v>
      </c>
      <c r="H8" s="605">
        <f>'Datu ievade'!H327</f>
        <v>0</v>
      </c>
      <c r="I8" s="605">
        <f>'Datu ievade'!I327</f>
        <v>0</v>
      </c>
      <c r="J8" s="605">
        <f>'Datu ievade'!J327</f>
        <v>0</v>
      </c>
      <c r="K8" s="605">
        <f>'Datu ievade'!K327</f>
        <v>0</v>
      </c>
      <c r="L8" s="605">
        <f>'Datu ievade'!L327</f>
        <v>0</v>
      </c>
      <c r="M8" s="605">
        <f>'Datu ievade'!M327</f>
        <v>0</v>
      </c>
      <c r="N8" s="605">
        <f>'Datu ievade'!N327</f>
        <v>0</v>
      </c>
      <c r="O8" s="605">
        <f>'Datu ievade'!O327</f>
        <v>0</v>
      </c>
      <c r="P8" s="605">
        <f>'Datu ievade'!P327</f>
        <v>0</v>
      </c>
      <c r="Q8" s="605">
        <f>'Datu ievade'!Q327</f>
        <v>0</v>
      </c>
      <c r="R8" s="605">
        <f>'Datu ievade'!R327</f>
        <v>0</v>
      </c>
      <c r="S8" s="605">
        <f>'Datu ievade'!S327</f>
        <v>0</v>
      </c>
      <c r="T8" s="605">
        <f>'Datu ievade'!T327</f>
        <v>0</v>
      </c>
      <c r="U8" s="605">
        <f>'Datu ievade'!U327</f>
        <v>0</v>
      </c>
      <c r="V8" s="605">
        <f>'Datu ievade'!V327</f>
        <v>0</v>
      </c>
      <c r="W8" s="605">
        <f>'Datu ievade'!W327</f>
        <v>0</v>
      </c>
      <c r="X8" s="605">
        <f>'Datu ievade'!X327</f>
        <v>0</v>
      </c>
      <c r="Y8" s="605">
        <f>'Datu ievade'!Y327</f>
        <v>0</v>
      </c>
      <c r="Z8" s="605">
        <f>'Datu ievade'!Z327</f>
        <v>0</v>
      </c>
      <c r="AA8" s="605">
        <f>'Datu ievade'!AA327</f>
        <v>0</v>
      </c>
      <c r="AB8" s="605">
        <f>'Datu ievade'!AB327</f>
        <v>0</v>
      </c>
      <c r="AC8" s="605">
        <f>'Datu ievade'!AC327</f>
        <v>0</v>
      </c>
      <c r="AD8" s="605">
        <f>'Datu ievade'!AD327</f>
        <v>0</v>
      </c>
      <c r="AE8" s="605">
        <f>'Datu ievade'!AE327</f>
        <v>0</v>
      </c>
      <c r="AF8" s="605">
        <f>'Datu ievade'!AF327</f>
        <v>0</v>
      </c>
      <c r="AG8" s="605">
        <f>'Datu ievade'!AG327</f>
        <v>0</v>
      </c>
      <c r="AH8" s="605">
        <f>'Datu ievade'!AH327</f>
        <v>0</v>
      </c>
      <c r="AI8" s="605"/>
    </row>
    <row r="9" spans="1:35" ht="12.75" x14ac:dyDescent="0.2">
      <c r="A9" s="604" t="str">
        <f>'Datu ievade'!A328</f>
        <v>B Ielas rekonstrukcija (Valsts Investīciju fonds)</v>
      </c>
      <c r="B9" s="605">
        <f>'Datu ievade'!B328</f>
        <v>32750</v>
      </c>
      <c r="C9" s="605">
        <f>'Datu ievade'!C328</f>
        <v>31325</v>
      </c>
      <c r="D9" s="605">
        <f>'Datu ievade'!D328</f>
        <v>29900</v>
      </c>
      <c r="E9" s="605">
        <f>'Datu ievade'!E328</f>
        <v>21524</v>
      </c>
      <c r="F9" s="605">
        <f>'Datu ievade'!F328</f>
        <v>0</v>
      </c>
      <c r="G9" s="605">
        <f>'Datu ievade'!G328</f>
        <v>0</v>
      </c>
      <c r="H9" s="605">
        <f>'Datu ievade'!H328</f>
        <v>0</v>
      </c>
      <c r="I9" s="605">
        <f>'Datu ievade'!I328</f>
        <v>0</v>
      </c>
      <c r="J9" s="605">
        <f>'Datu ievade'!J328</f>
        <v>0</v>
      </c>
      <c r="K9" s="605">
        <f>'Datu ievade'!K328</f>
        <v>0</v>
      </c>
      <c r="L9" s="605">
        <f>'Datu ievade'!L328</f>
        <v>0</v>
      </c>
      <c r="M9" s="605">
        <f>'Datu ievade'!M328</f>
        <v>0</v>
      </c>
      <c r="N9" s="605">
        <f>'Datu ievade'!N328</f>
        <v>0</v>
      </c>
      <c r="O9" s="605">
        <f>'Datu ievade'!O328</f>
        <v>0</v>
      </c>
      <c r="P9" s="605">
        <f>'Datu ievade'!P328</f>
        <v>0</v>
      </c>
      <c r="Q9" s="605">
        <f>'Datu ievade'!Q328</f>
        <v>0</v>
      </c>
      <c r="R9" s="605">
        <f>'Datu ievade'!R328</f>
        <v>0</v>
      </c>
      <c r="S9" s="605">
        <f>'Datu ievade'!S328</f>
        <v>0</v>
      </c>
      <c r="T9" s="605">
        <f>'Datu ievade'!T328</f>
        <v>0</v>
      </c>
      <c r="U9" s="605">
        <f>'Datu ievade'!U328</f>
        <v>0</v>
      </c>
      <c r="V9" s="605">
        <f>'Datu ievade'!V328</f>
        <v>0</v>
      </c>
      <c r="W9" s="605">
        <f>'Datu ievade'!W328</f>
        <v>0</v>
      </c>
      <c r="X9" s="605">
        <f>'Datu ievade'!X328</f>
        <v>0</v>
      </c>
      <c r="Y9" s="605">
        <f>'Datu ievade'!Y328</f>
        <v>0</v>
      </c>
      <c r="Z9" s="605">
        <f>'Datu ievade'!Z328</f>
        <v>0</v>
      </c>
      <c r="AA9" s="605">
        <f>'Datu ievade'!AA328</f>
        <v>0</v>
      </c>
      <c r="AB9" s="605">
        <f>'Datu ievade'!AB328</f>
        <v>0</v>
      </c>
      <c r="AC9" s="605">
        <f>'Datu ievade'!AC328</f>
        <v>0</v>
      </c>
      <c r="AD9" s="605">
        <f>'Datu ievade'!AD328</f>
        <v>0</v>
      </c>
      <c r="AE9" s="605">
        <f>'Datu ievade'!AE328</f>
        <v>0</v>
      </c>
      <c r="AF9" s="605">
        <f>'Datu ievade'!AF328</f>
        <v>0</v>
      </c>
      <c r="AG9" s="605">
        <f>'Datu ievade'!AG328</f>
        <v>0</v>
      </c>
      <c r="AH9" s="605">
        <f>'Datu ievade'!AH328</f>
        <v>0</v>
      </c>
      <c r="AI9" s="605"/>
    </row>
    <row r="10" spans="1:35" ht="12.75" x14ac:dyDescent="0.2">
      <c r="A10" s="604" t="str">
        <f>'Datu ievade'!A329</f>
        <v>Izgāztuves "X" rekultivācija (Valsts kase)</v>
      </c>
      <c r="B10" s="605">
        <f>'Datu ievade'!B329</f>
        <v>1650</v>
      </c>
      <c r="C10" s="605">
        <f>'Datu ievade'!C329</f>
        <v>1500</v>
      </c>
      <c r="D10" s="605">
        <f>'Datu ievade'!D329</f>
        <v>32830</v>
      </c>
      <c r="E10" s="605">
        <f>'Datu ievade'!E329</f>
        <v>16755</v>
      </c>
      <c r="F10" s="605">
        <f>'Datu ievade'!F329</f>
        <v>0</v>
      </c>
      <c r="G10" s="605">
        <f>'Datu ievade'!G329</f>
        <v>0</v>
      </c>
      <c r="H10" s="605">
        <f>'Datu ievade'!H329</f>
        <v>0</v>
      </c>
      <c r="I10" s="605">
        <f>'Datu ievade'!I329</f>
        <v>0</v>
      </c>
      <c r="J10" s="605">
        <f>'Datu ievade'!J329</f>
        <v>0</v>
      </c>
      <c r="K10" s="605">
        <f>'Datu ievade'!K329</f>
        <v>0</v>
      </c>
      <c r="L10" s="605">
        <f>'Datu ievade'!L329</f>
        <v>0</v>
      </c>
      <c r="M10" s="605">
        <f>'Datu ievade'!M329</f>
        <v>0</v>
      </c>
      <c r="N10" s="605">
        <f>'Datu ievade'!N329</f>
        <v>0</v>
      </c>
      <c r="O10" s="605">
        <f>'Datu ievade'!O329</f>
        <v>0</v>
      </c>
      <c r="P10" s="605">
        <f>'Datu ievade'!P329</f>
        <v>0</v>
      </c>
      <c r="Q10" s="605">
        <f>'Datu ievade'!Q329</f>
        <v>0</v>
      </c>
      <c r="R10" s="605">
        <f>'Datu ievade'!R329</f>
        <v>0</v>
      </c>
      <c r="S10" s="605">
        <f>'Datu ievade'!S329</f>
        <v>0</v>
      </c>
      <c r="T10" s="605">
        <f>'Datu ievade'!T329</f>
        <v>0</v>
      </c>
      <c r="U10" s="605">
        <f>'Datu ievade'!U329</f>
        <v>0</v>
      </c>
      <c r="V10" s="605">
        <f>'Datu ievade'!V329</f>
        <v>0</v>
      </c>
      <c r="W10" s="605">
        <f>'Datu ievade'!W329</f>
        <v>0</v>
      </c>
      <c r="X10" s="605">
        <f>'Datu ievade'!X329</f>
        <v>0</v>
      </c>
      <c r="Y10" s="605">
        <f>'Datu ievade'!Y329</f>
        <v>0</v>
      </c>
      <c r="Z10" s="605">
        <f>'Datu ievade'!Z329</f>
        <v>0</v>
      </c>
      <c r="AA10" s="605">
        <f>'Datu ievade'!AA329</f>
        <v>0</v>
      </c>
      <c r="AB10" s="605">
        <f>'Datu ievade'!AB329</f>
        <v>0</v>
      </c>
      <c r="AC10" s="605">
        <f>'Datu ievade'!AC329</f>
        <v>0</v>
      </c>
      <c r="AD10" s="605">
        <f>'Datu ievade'!AD329</f>
        <v>0</v>
      </c>
      <c r="AE10" s="605">
        <f>'Datu ievade'!AE329</f>
        <v>0</v>
      </c>
      <c r="AF10" s="605">
        <f>'Datu ievade'!AF329</f>
        <v>0</v>
      </c>
      <c r="AG10" s="605">
        <f>'Datu ievade'!AG329</f>
        <v>0</v>
      </c>
      <c r="AH10" s="605">
        <f>'Datu ievade'!AH329</f>
        <v>0</v>
      </c>
      <c r="AI10" s="605"/>
    </row>
    <row r="11" spans="1:35" ht="12.75" x14ac:dyDescent="0.2">
      <c r="A11" s="604" t="str">
        <f>'Datu ievade'!A330</f>
        <v>Sporta centra un peldbaseina izbūve (Valsts kase)</v>
      </c>
      <c r="B11" s="605">
        <f>'Datu ievade'!B330</f>
        <v>92968</v>
      </c>
      <c r="C11" s="605">
        <f>'Datu ievade'!C330</f>
        <v>91728</v>
      </c>
      <c r="D11" s="605">
        <f>'Datu ievade'!D330</f>
        <v>88964</v>
      </c>
      <c r="E11" s="605">
        <f>'Datu ievade'!E330</f>
        <v>86201</v>
      </c>
      <c r="F11" s="605">
        <f>'Datu ievade'!F330</f>
        <v>83437</v>
      </c>
      <c r="G11" s="605">
        <f>'Datu ievade'!G330</f>
        <v>80670</v>
      </c>
      <c r="H11" s="605">
        <f>'Datu ievade'!H330</f>
        <v>77900</v>
      </c>
      <c r="I11" s="605">
        <f>'Datu ievade'!I330</f>
        <v>75130</v>
      </c>
      <c r="J11" s="605">
        <f>'Datu ievade'!J330</f>
        <v>24767</v>
      </c>
      <c r="K11" s="605">
        <f>'Datu ievade'!K330</f>
        <v>0</v>
      </c>
      <c r="L11" s="605">
        <f>'Datu ievade'!L330</f>
        <v>0</v>
      </c>
      <c r="M11" s="605">
        <f>'Datu ievade'!M330</f>
        <v>0</v>
      </c>
      <c r="N11" s="605">
        <f>'Datu ievade'!N330</f>
        <v>0</v>
      </c>
      <c r="O11" s="605">
        <f>'Datu ievade'!O330</f>
        <v>0</v>
      </c>
      <c r="P11" s="605">
        <f>'Datu ievade'!P330</f>
        <v>0</v>
      </c>
      <c r="Q11" s="605">
        <f>'Datu ievade'!Q330</f>
        <v>0</v>
      </c>
      <c r="R11" s="605">
        <f>'Datu ievade'!R330</f>
        <v>0</v>
      </c>
      <c r="S11" s="605">
        <f>'Datu ievade'!S330</f>
        <v>0</v>
      </c>
      <c r="T11" s="605">
        <f>'Datu ievade'!T330</f>
        <v>0</v>
      </c>
      <c r="U11" s="605">
        <f>'Datu ievade'!U330</f>
        <v>0</v>
      </c>
      <c r="V11" s="605">
        <f>'Datu ievade'!V330</f>
        <v>0</v>
      </c>
      <c r="W11" s="605">
        <f>'Datu ievade'!W330</f>
        <v>0</v>
      </c>
      <c r="X11" s="605">
        <f>'Datu ievade'!X330</f>
        <v>0</v>
      </c>
      <c r="Y11" s="605">
        <f>'Datu ievade'!Y330</f>
        <v>0</v>
      </c>
      <c r="Z11" s="605">
        <f>'Datu ievade'!Z330</f>
        <v>0</v>
      </c>
      <c r="AA11" s="605">
        <f>'Datu ievade'!AA330</f>
        <v>0</v>
      </c>
      <c r="AB11" s="605">
        <f>'Datu ievade'!AB330</f>
        <v>0</v>
      </c>
      <c r="AC11" s="605">
        <f>'Datu ievade'!AC330</f>
        <v>0</v>
      </c>
      <c r="AD11" s="605">
        <f>'Datu ievade'!AD330</f>
        <v>0</v>
      </c>
      <c r="AE11" s="605">
        <f>'Datu ievade'!AE330</f>
        <v>0</v>
      </c>
      <c r="AF11" s="605">
        <f>'Datu ievade'!AF330</f>
        <v>0</v>
      </c>
      <c r="AG11" s="605">
        <f>'Datu ievade'!AG330</f>
        <v>0</v>
      </c>
      <c r="AH11" s="605">
        <f>'Datu ievade'!AH330</f>
        <v>0</v>
      </c>
      <c r="AI11" s="605"/>
    </row>
    <row r="12" spans="1:35" ht="25.5" x14ac:dyDescent="0.2">
      <c r="A12" s="604" t="str">
        <f>'Datu ievade'!A331</f>
        <v>Vidusskolas nepabeigtā sporta centra un peldbaseina izbūve (Valsts kase)</v>
      </c>
      <c r="B12" s="605">
        <f>'Datu ievade'!B331</f>
        <v>50583</v>
      </c>
      <c r="C12" s="605">
        <f>'Datu ievade'!C331</f>
        <v>48000</v>
      </c>
      <c r="D12" s="605">
        <f>'Datu ievade'!D331</f>
        <v>45500</v>
      </c>
      <c r="E12" s="605">
        <f>'Datu ievade'!E331</f>
        <v>43000</v>
      </c>
      <c r="F12" s="605">
        <f>'Datu ievade'!F331</f>
        <v>40500</v>
      </c>
      <c r="G12" s="605">
        <f>'Datu ievade'!G331</f>
        <v>38000</v>
      </c>
      <c r="H12" s="605">
        <f>'Datu ievade'!H331</f>
        <v>35500</v>
      </c>
      <c r="I12" s="605">
        <f>'Datu ievade'!I331</f>
        <v>32000</v>
      </c>
      <c r="J12" s="605">
        <f>'Datu ievade'!J331</f>
        <v>25000</v>
      </c>
      <c r="K12" s="605">
        <f>'Datu ievade'!K331</f>
        <v>0</v>
      </c>
      <c r="L12" s="605">
        <f>'Datu ievade'!L331</f>
        <v>0</v>
      </c>
      <c r="M12" s="605">
        <f>'Datu ievade'!M331</f>
        <v>0</v>
      </c>
      <c r="N12" s="605">
        <f>'Datu ievade'!N331</f>
        <v>0</v>
      </c>
      <c r="O12" s="605">
        <f>'Datu ievade'!O331</f>
        <v>0</v>
      </c>
      <c r="P12" s="605">
        <f>'Datu ievade'!P331</f>
        <v>0</v>
      </c>
      <c r="Q12" s="605">
        <f>'Datu ievade'!Q331</f>
        <v>0</v>
      </c>
      <c r="R12" s="605">
        <f>'Datu ievade'!R331</f>
        <v>0</v>
      </c>
      <c r="S12" s="605">
        <f>'Datu ievade'!S331</f>
        <v>0</v>
      </c>
      <c r="T12" s="605">
        <f>'Datu ievade'!T331</f>
        <v>0</v>
      </c>
      <c r="U12" s="605">
        <f>'Datu ievade'!U331</f>
        <v>0</v>
      </c>
      <c r="V12" s="605">
        <f>'Datu ievade'!V331</f>
        <v>0</v>
      </c>
      <c r="W12" s="605">
        <f>'Datu ievade'!W331</f>
        <v>0</v>
      </c>
      <c r="X12" s="605">
        <f>'Datu ievade'!X331</f>
        <v>0</v>
      </c>
      <c r="Y12" s="605">
        <f>'Datu ievade'!Y331</f>
        <v>0</v>
      </c>
      <c r="Z12" s="605">
        <f>'Datu ievade'!Z331</f>
        <v>0</v>
      </c>
      <c r="AA12" s="605">
        <f>'Datu ievade'!AA331</f>
        <v>0</v>
      </c>
      <c r="AB12" s="605">
        <f>'Datu ievade'!AB331</f>
        <v>0</v>
      </c>
      <c r="AC12" s="605">
        <f>'Datu ievade'!AC331</f>
        <v>0</v>
      </c>
      <c r="AD12" s="605">
        <f>'Datu ievade'!AD331</f>
        <v>0</v>
      </c>
      <c r="AE12" s="605">
        <f>'Datu ievade'!AE331</f>
        <v>0</v>
      </c>
      <c r="AF12" s="605">
        <f>'Datu ievade'!AF331</f>
        <v>0</v>
      </c>
      <c r="AG12" s="605">
        <f>'Datu ievade'!AG331</f>
        <v>0</v>
      </c>
      <c r="AH12" s="605">
        <f>'Datu ievade'!AH331</f>
        <v>0</v>
      </c>
      <c r="AI12" s="605"/>
    </row>
    <row r="13" spans="1:35" ht="12.75" x14ac:dyDescent="0.2">
      <c r="A13" s="604" t="str">
        <f>'Datu ievade'!A332</f>
        <v>C PII būvniecība (Valsts kase)</v>
      </c>
      <c r="B13" s="605">
        <f>'Datu ievade'!B332</f>
        <v>48350</v>
      </c>
      <c r="C13" s="605">
        <f>'Datu ievade'!C332</f>
        <v>161212</v>
      </c>
      <c r="D13" s="605">
        <f>'Datu ievade'!D332</f>
        <v>151212</v>
      </c>
      <c r="E13" s="605">
        <f>'Datu ievade'!E332</f>
        <v>141212</v>
      </c>
      <c r="F13" s="605">
        <f>'Datu ievade'!F332</f>
        <v>131212</v>
      </c>
      <c r="G13" s="605">
        <f>'Datu ievade'!G332</f>
        <v>121212</v>
      </c>
      <c r="H13" s="605">
        <f>'Datu ievade'!H332</f>
        <v>121212</v>
      </c>
      <c r="I13" s="605">
        <f>'Datu ievade'!I332</f>
        <v>111212</v>
      </c>
      <c r="J13" s="605">
        <f>'Datu ievade'!J332</f>
        <v>101212</v>
      </c>
      <c r="K13" s="605">
        <f>'Datu ievade'!K332</f>
        <v>60304</v>
      </c>
      <c r="L13" s="605">
        <f>'Datu ievade'!L332</f>
        <v>0</v>
      </c>
      <c r="M13" s="605">
        <f>'Datu ievade'!M332</f>
        <v>0</v>
      </c>
      <c r="N13" s="605">
        <f>'Datu ievade'!N332</f>
        <v>0</v>
      </c>
      <c r="O13" s="605">
        <f>'Datu ievade'!O332</f>
        <v>0</v>
      </c>
      <c r="P13" s="605">
        <f>'Datu ievade'!P332</f>
        <v>0</v>
      </c>
      <c r="Q13" s="605">
        <f>'Datu ievade'!Q332</f>
        <v>0</v>
      </c>
      <c r="R13" s="605">
        <f>'Datu ievade'!R332</f>
        <v>0</v>
      </c>
      <c r="S13" s="605">
        <f>'Datu ievade'!S332</f>
        <v>0</v>
      </c>
      <c r="T13" s="605">
        <f>'Datu ievade'!T332</f>
        <v>0</v>
      </c>
      <c r="U13" s="605">
        <f>'Datu ievade'!U332</f>
        <v>0</v>
      </c>
      <c r="V13" s="605">
        <f>'Datu ievade'!V332</f>
        <v>0</v>
      </c>
      <c r="W13" s="605">
        <f>'Datu ievade'!W332</f>
        <v>0</v>
      </c>
      <c r="X13" s="605">
        <f>'Datu ievade'!X332</f>
        <v>0</v>
      </c>
      <c r="Y13" s="605">
        <f>'Datu ievade'!Y332</f>
        <v>0</v>
      </c>
      <c r="Z13" s="605">
        <f>'Datu ievade'!Z332</f>
        <v>0</v>
      </c>
      <c r="AA13" s="605">
        <f>'Datu ievade'!AA332</f>
        <v>0</v>
      </c>
      <c r="AB13" s="605">
        <f>'Datu ievade'!AB332</f>
        <v>0</v>
      </c>
      <c r="AC13" s="605">
        <f>'Datu ievade'!AC332</f>
        <v>0</v>
      </c>
      <c r="AD13" s="605">
        <f>'Datu ievade'!AD332</f>
        <v>0</v>
      </c>
      <c r="AE13" s="605">
        <f>'Datu ievade'!AE332</f>
        <v>0</v>
      </c>
      <c r="AF13" s="605">
        <f>'Datu ievade'!AF332</f>
        <v>0</v>
      </c>
      <c r="AG13" s="605">
        <f>'Datu ievade'!AG332</f>
        <v>0</v>
      </c>
      <c r="AH13" s="605">
        <f>'Datu ievade'!AH332</f>
        <v>0</v>
      </c>
      <c r="AI13" s="605"/>
    </row>
    <row r="14" spans="1:35" ht="12.75" x14ac:dyDescent="0.2">
      <c r="A14" s="604" t="str">
        <f>'Datu ievade'!A333</f>
        <v>D ielas renovācija (Valsts kase)</v>
      </c>
      <c r="B14" s="605">
        <f>'Datu ievade'!B333</f>
        <v>24200</v>
      </c>
      <c r="C14" s="605">
        <f>'Datu ievade'!C333</f>
        <v>80600</v>
      </c>
      <c r="D14" s="605">
        <f>'Datu ievade'!D333</f>
        <v>70600</v>
      </c>
      <c r="E14" s="605">
        <f>'Datu ievade'!E333</f>
        <v>60600</v>
      </c>
      <c r="F14" s="605">
        <f>'Datu ievade'!F333</f>
        <v>60600</v>
      </c>
      <c r="G14" s="605">
        <f>'Datu ievade'!G333</f>
        <v>60600</v>
      </c>
      <c r="H14" s="605">
        <f>'Datu ievade'!H333</f>
        <v>60600</v>
      </c>
      <c r="I14" s="605">
        <f>'Datu ievade'!I333</f>
        <v>60600</v>
      </c>
      <c r="J14" s="605">
        <f>'Datu ievade'!J333</f>
        <v>60600</v>
      </c>
      <c r="K14" s="605">
        <f>'Datu ievade'!K333</f>
        <v>15200</v>
      </c>
      <c r="L14" s="605">
        <f>'Datu ievade'!L333</f>
        <v>0</v>
      </c>
      <c r="M14" s="605">
        <f>'Datu ievade'!M333</f>
        <v>0</v>
      </c>
      <c r="N14" s="605">
        <f>'Datu ievade'!N333</f>
        <v>0</v>
      </c>
      <c r="O14" s="605">
        <f>'Datu ievade'!O333</f>
        <v>0</v>
      </c>
      <c r="P14" s="605">
        <f>'Datu ievade'!P333</f>
        <v>0</v>
      </c>
      <c r="Q14" s="605">
        <f>'Datu ievade'!Q333</f>
        <v>0</v>
      </c>
      <c r="R14" s="605">
        <f>'Datu ievade'!R333</f>
        <v>0</v>
      </c>
      <c r="S14" s="605">
        <f>'Datu ievade'!S333</f>
        <v>0</v>
      </c>
      <c r="T14" s="605">
        <f>'Datu ievade'!T333</f>
        <v>0</v>
      </c>
      <c r="U14" s="605">
        <f>'Datu ievade'!U333</f>
        <v>0</v>
      </c>
      <c r="V14" s="605">
        <f>'Datu ievade'!V333</f>
        <v>0</v>
      </c>
      <c r="W14" s="605">
        <f>'Datu ievade'!W333</f>
        <v>0</v>
      </c>
      <c r="X14" s="605">
        <f>'Datu ievade'!X333</f>
        <v>0</v>
      </c>
      <c r="Y14" s="605">
        <f>'Datu ievade'!Y333</f>
        <v>0</v>
      </c>
      <c r="Z14" s="605">
        <f>'Datu ievade'!Z333</f>
        <v>0</v>
      </c>
      <c r="AA14" s="605">
        <f>'Datu ievade'!AA333</f>
        <v>0</v>
      </c>
      <c r="AB14" s="605">
        <f>'Datu ievade'!AB333</f>
        <v>0</v>
      </c>
      <c r="AC14" s="605">
        <f>'Datu ievade'!AC333</f>
        <v>0</v>
      </c>
      <c r="AD14" s="605">
        <f>'Datu ievade'!AD333</f>
        <v>0</v>
      </c>
      <c r="AE14" s="605">
        <f>'Datu ievade'!AE333</f>
        <v>0</v>
      </c>
      <c r="AF14" s="605">
        <f>'Datu ievade'!AF333</f>
        <v>0</v>
      </c>
      <c r="AG14" s="605">
        <f>'Datu ievade'!AG333</f>
        <v>0</v>
      </c>
      <c r="AH14" s="605">
        <f>'Datu ievade'!AH333</f>
        <v>0</v>
      </c>
      <c r="AI14" s="605"/>
    </row>
    <row r="15" spans="1:35" ht="25.5" x14ac:dyDescent="0.2">
      <c r="A15" s="604" t="str">
        <f>'Datu ievade'!A334</f>
        <v>Pirmsskolas izglītības iestādes un poliklīnikas renovācija (Valsts kase)</v>
      </c>
      <c r="B15" s="605">
        <f>'Datu ievade'!B334</f>
        <v>27491</v>
      </c>
      <c r="C15" s="605">
        <f>'Datu ievade'!C334</f>
        <v>36654</v>
      </c>
      <c r="D15" s="605">
        <f>'Datu ievade'!D334</f>
        <v>91615</v>
      </c>
      <c r="E15" s="605">
        <f>'Datu ievade'!E334</f>
        <v>105927</v>
      </c>
      <c r="F15" s="605">
        <f>'Datu ievade'!F334</f>
        <v>101345</v>
      </c>
      <c r="G15" s="605">
        <f>'Datu ievade'!G334</f>
        <v>96763</v>
      </c>
      <c r="H15" s="605">
        <f>'Datu ievade'!H334</f>
        <v>92182</v>
      </c>
      <c r="I15" s="605">
        <f>'Datu ievade'!I334</f>
        <v>87654</v>
      </c>
      <c r="J15" s="605">
        <f>'Datu ievade'!J334</f>
        <v>83126</v>
      </c>
      <c r="K15" s="605">
        <f>'Datu ievade'!K334</f>
        <v>78598</v>
      </c>
      <c r="L15" s="605">
        <f>'Datu ievade'!L334</f>
        <v>18569</v>
      </c>
      <c r="M15" s="605">
        <f>'Datu ievade'!M334</f>
        <v>0</v>
      </c>
      <c r="N15" s="605">
        <f>'Datu ievade'!N334</f>
        <v>0</v>
      </c>
      <c r="O15" s="605">
        <f>'Datu ievade'!O334</f>
        <v>0</v>
      </c>
      <c r="P15" s="605">
        <f>'Datu ievade'!P334</f>
        <v>0</v>
      </c>
      <c r="Q15" s="605">
        <f>'Datu ievade'!Q334</f>
        <v>0</v>
      </c>
      <c r="R15" s="605">
        <f>'Datu ievade'!R334</f>
        <v>0</v>
      </c>
      <c r="S15" s="605">
        <f>'Datu ievade'!S334</f>
        <v>0</v>
      </c>
      <c r="T15" s="605">
        <f>'Datu ievade'!T334</f>
        <v>0</v>
      </c>
      <c r="U15" s="605">
        <f>'Datu ievade'!U334</f>
        <v>0</v>
      </c>
      <c r="V15" s="605">
        <f>'Datu ievade'!V334</f>
        <v>0</v>
      </c>
      <c r="W15" s="605">
        <f>'Datu ievade'!W334</f>
        <v>0</v>
      </c>
      <c r="X15" s="605">
        <f>'Datu ievade'!X334</f>
        <v>0</v>
      </c>
      <c r="Y15" s="605">
        <f>'Datu ievade'!Y334</f>
        <v>0</v>
      </c>
      <c r="Z15" s="605">
        <f>'Datu ievade'!Z334</f>
        <v>0</v>
      </c>
      <c r="AA15" s="605">
        <f>'Datu ievade'!AA334</f>
        <v>0</v>
      </c>
      <c r="AB15" s="605">
        <f>'Datu ievade'!AB334</f>
        <v>0</v>
      </c>
      <c r="AC15" s="605">
        <f>'Datu ievade'!AC334</f>
        <v>0</v>
      </c>
      <c r="AD15" s="605">
        <f>'Datu ievade'!AD334</f>
        <v>0</v>
      </c>
      <c r="AE15" s="605">
        <f>'Datu ievade'!AE334</f>
        <v>0</v>
      </c>
      <c r="AF15" s="605">
        <f>'Datu ievade'!AF334</f>
        <v>0</v>
      </c>
      <c r="AG15" s="605">
        <f>'Datu ievade'!AG334</f>
        <v>0</v>
      </c>
      <c r="AH15" s="605">
        <f>'Datu ievade'!AH334</f>
        <v>0</v>
      </c>
      <c r="AI15" s="605"/>
    </row>
    <row r="16" spans="1:35" ht="12.75" x14ac:dyDescent="0.2">
      <c r="A16" s="604">
        <f>'Datu ievade'!A335</f>
        <v>0</v>
      </c>
      <c r="B16" s="605">
        <f>'Datu ievade'!B335</f>
        <v>0</v>
      </c>
      <c r="C16" s="605">
        <f>'Datu ievade'!C335</f>
        <v>0</v>
      </c>
      <c r="D16" s="605">
        <f>'Datu ievade'!D335</f>
        <v>0</v>
      </c>
      <c r="E16" s="605">
        <f>'Datu ievade'!E335</f>
        <v>0</v>
      </c>
      <c r="F16" s="605">
        <f>'Datu ievade'!F335</f>
        <v>0</v>
      </c>
      <c r="G16" s="605">
        <f>'Datu ievade'!G335</f>
        <v>0</v>
      </c>
      <c r="H16" s="605">
        <f>'Datu ievade'!H335</f>
        <v>0</v>
      </c>
      <c r="I16" s="605">
        <f>'Datu ievade'!I335</f>
        <v>0</v>
      </c>
      <c r="J16" s="605">
        <f>'Datu ievade'!J335</f>
        <v>0</v>
      </c>
      <c r="K16" s="605">
        <f>'Datu ievade'!K335</f>
        <v>0</v>
      </c>
      <c r="L16" s="605">
        <f>'Datu ievade'!L335</f>
        <v>0</v>
      </c>
      <c r="M16" s="605">
        <f>'Datu ievade'!M335</f>
        <v>0</v>
      </c>
      <c r="N16" s="605">
        <f>'Datu ievade'!N335</f>
        <v>0</v>
      </c>
      <c r="O16" s="605">
        <f>'Datu ievade'!O335</f>
        <v>0</v>
      </c>
      <c r="P16" s="605">
        <f>'Datu ievade'!P335</f>
        <v>0</v>
      </c>
      <c r="Q16" s="605">
        <f>'Datu ievade'!Q335</f>
        <v>0</v>
      </c>
      <c r="R16" s="605">
        <f>'Datu ievade'!R335</f>
        <v>0</v>
      </c>
      <c r="S16" s="605">
        <f>'Datu ievade'!S335</f>
        <v>0</v>
      </c>
      <c r="T16" s="605">
        <f>'Datu ievade'!T335</f>
        <v>0</v>
      </c>
      <c r="U16" s="605">
        <f>'Datu ievade'!U335</f>
        <v>0</v>
      </c>
      <c r="V16" s="605">
        <f>'Datu ievade'!V335</f>
        <v>0</v>
      </c>
      <c r="W16" s="605">
        <f>'Datu ievade'!W335</f>
        <v>0</v>
      </c>
      <c r="X16" s="605">
        <f>'Datu ievade'!X335</f>
        <v>0</v>
      </c>
      <c r="Y16" s="605">
        <f>'Datu ievade'!Y335</f>
        <v>0</v>
      </c>
      <c r="Z16" s="605">
        <f>'Datu ievade'!Z335</f>
        <v>0</v>
      </c>
      <c r="AA16" s="605">
        <f>'Datu ievade'!AA335</f>
        <v>0</v>
      </c>
      <c r="AB16" s="605">
        <f>'Datu ievade'!AB335</f>
        <v>0</v>
      </c>
      <c r="AC16" s="605">
        <f>'Datu ievade'!AC335</f>
        <v>0</v>
      </c>
      <c r="AD16" s="605">
        <f>'Datu ievade'!AD335</f>
        <v>0</v>
      </c>
      <c r="AE16" s="605">
        <f>'Datu ievade'!AE335</f>
        <v>0</v>
      </c>
      <c r="AF16" s="605">
        <f>'Datu ievade'!AF335</f>
        <v>0</v>
      </c>
      <c r="AG16" s="605">
        <f>'Datu ievade'!AG335</f>
        <v>0</v>
      </c>
      <c r="AH16" s="605">
        <f>'Datu ievade'!AH335</f>
        <v>0</v>
      </c>
      <c r="AI16" s="605"/>
    </row>
    <row r="17" spans="1:35" ht="12.75" x14ac:dyDescent="0.2">
      <c r="A17" s="604">
        <f>'Datu ievade'!A336</f>
        <v>0</v>
      </c>
      <c r="B17" s="605">
        <f>'Datu ievade'!B336</f>
        <v>0</v>
      </c>
      <c r="C17" s="605">
        <f>'Datu ievade'!C336</f>
        <v>0</v>
      </c>
      <c r="D17" s="605">
        <f>'Datu ievade'!D336</f>
        <v>0</v>
      </c>
      <c r="E17" s="605">
        <f>'Datu ievade'!E336</f>
        <v>0</v>
      </c>
      <c r="F17" s="605">
        <f>'Datu ievade'!F336</f>
        <v>0</v>
      </c>
      <c r="G17" s="605">
        <f>'Datu ievade'!G336</f>
        <v>0</v>
      </c>
      <c r="H17" s="605">
        <f>'Datu ievade'!H336</f>
        <v>0</v>
      </c>
      <c r="I17" s="605">
        <f>'Datu ievade'!I336</f>
        <v>0</v>
      </c>
      <c r="J17" s="605">
        <f>'Datu ievade'!J336</f>
        <v>0</v>
      </c>
      <c r="K17" s="605">
        <f>'Datu ievade'!K336</f>
        <v>0</v>
      </c>
      <c r="L17" s="605">
        <f>'Datu ievade'!L336</f>
        <v>0</v>
      </c>
      <c r="M17" s="605">
        <f>'Datu ievade'!M336</f>
        <v>0</v>
      </c>
      <c r="N17" s="605">
        <f>'Datu ievade'!N336</f>
        <v>0</v>
      </c>
      <c r="O17" s="605">
        <f>'Datu ievade'!O336</f>
        <v>0</v>
      </c>
      <c r="P17" s="605">
        <f>'Datu ievade'!P336</f>
        <v>0</v>
      </c>
      <c r="Q17" s="605">
        <f>'Datu ievade'!Q336</f>
        <v>0</v>
      </c>
      <c r="R17" s="605">
        <f>'Datu ievade'!R336</f>
        <v>0</v>
      </c>
      <c r="S17" s="605">
        <f>'Datu ievade'!S336</f>
        <v>0</v>
      </c>
      <c r="T17" s="605">
        <f>'Datu ievade'!T336</f>
        <v>0</v>
      </c>
      <c r="U17" s="605">
        <f>'Datu ievade'!U336</f>
        <v>0</v>
      </c>
      <c r="V17" s="605">
        <f>'Datu ievade'!V336</f>
        <v>0</v>
      </c>
      <c r="W17" s="605">
        <f>'Datu ievade'!W336</f>
        <v>0</v>
      </c>
      <c r="X17" s="605">
        <f>'Datu ievade'!X336</f>
        <v>0</v>
      </c>
      <c r="Y17" s="605">
        <f>'Datu ievade'!Y336</f>
        <v>0</v>
      </c>
      <c r="Z17" s="605">
        <f>'Datu ievade'!Z336</f>
        <v>0</v>
      </c>
      <c r="AA17" s="605">
        <f>'Datu ievade'!AA336</f>
        <v>0</v>
      </c>
      <c r="AB17" s="605">
        <f>'Datu ievade'!AB336</f>
        <v>0</v>
      </c>
      <c r="AC17" s="605">
        <f>'Datu ievade'!AC336</f>
        <v>0</v>
      </c>
      <c r="AD17" s="605">
        <f>'Datu ievade'!AD336</f>
        <v>0</v>
      </c>
      <c r="AE17" s="605">
        <f>'Datu ievade'!AE336</f>
        <v>0</v>
      </c>
      <c r="AF17" s="605">
        <f>'Datu ievade'!AF336</f>
        <v>0</v>
      </c>
      <c r="AG17" s="605">
        <f>'Datu ievade'!AG336</f>
        <v>0</v>
      </c>
      <c r="AH17" s="605">
        <f>'Datu ievade'!AH336</f>
        <v>0</v>
      </c>
      <c r="AI17" s="605"/>
    </row>
    <row r="18" spans="1:35" ht="12.75" x14ac:dyDescent="0.2">
      <c r="A18" s="481" t="str">
        <f>'Datu ievade'!A337</f>
        <v>Ūdenssaimniecības projekts</v>
      </c>
      <c r="B18" s="605">
        <f>Aprekini!B252+Aprekini!B271</f>
        <v>0</v>
      </c>
      <c r="C18" s="605">
        <f>Aprekini!C252+Aprekini!C271</f>
        <v>0</v>
      </c>
      <c r="D18" s="605">
        <f ca="1">Aprekini!D252+Aprekini!D271</f>
        <v>0</v>
      </c>
      <c r="E18" s="605">
        <f ca="1">Aprekini!E252+Aprekini!E271</f>
        <v>0</v>
      </c>
      <c r="F18" s="605">
        <f ca="1">Aprekini!F252+Aprekini!F271</f>
        <v>0</v>
      </c>
      <c r="G18" s="605">
        <f ca="1">Aprekini!G252+Aprekini!G271</f>
        <v>0</v>
      </c>
      <c r="H18" s="605">
        <f ca="1">Aprekini!H252+Aprekini!H271</f>
        <v>0</v>
      </c>
      <c r="I18" s="605">
        <f ca="1">Aprekini!I252+Aprekini!I271</f>
        <v>0</v>
      </c>
      <c r="J18" s="605">
        <f ca="1">Aprekini!J252+Aprekini!J271</f>
        <v>0</v>
      </c>
      <c r="K18" s="605">
        <f ca="1">Aprekini!K252+Aprekini!K271</f>
        <v>0</v>
      </c>
      <c r="L18" s="605">
        <f ca="1">Aprekini!L252+Aprekini!L271</f>
        <v>0</v>
      </c>
      <c r="M18" s="605">
        <f ca="1">Aprekini!M252+Aprekini!M271</f>
        <v>0</v>
      </c>
      <c r="N18" s="605">
        <f ca="1">Aprekini!N252+Aprekini!N271</f>
        <v>0</v>
      </c>
      <c r="O18" s="605">
        <f ca="1">Aprekini!O252+Aprekini!O271</f>
        <v>0</v>
      </c>
      <c r="P18" s="605">
        <f ca="1">Aprekini!P252+Aprekini!P271</f>
        <v>0</v>
      </c>
      <c r="Q18" s="605">
        <f ca="1">Aprekini!Q252+Aprekini!Q271</f>
        <v>0</v>
      </c>
      <c r="R18" s="605">
        <f ca="1">Aprekini!R252+Aprekini!R271</f>
        <v>0</v>
      </c>
      <c r="S18" s="605">
        <f ca="1">Aprekini!S252+Aprekini!S271</f>
        <v>0</v>
      </c>
      <c r="T18" s="605">
        <f ca="1">Aprekini!T252+Aprekini!T271</f>
        <v>0</v>
      </c>
      <c r="U18" s="605">
        <f ca="1">Aprekini!U252+Aprekini!U271</f>
        <v>0</v>
      </c>
      <c r="V18" s="605">
        <f ca="1">Aprekini!V252+Aprekini!V271</f>
        <v>0</v>
      </c>
      <c r="W18" s="605">
        <f ca="1">Aprekini!W252+Aprekini!W271</f>
        <v>0</v>
      </c>
      <c r="X18" s="605">
        <f ca="1">Aprekini!X252+Aprekini!X271</f>
        <v>0</v>
      </c>
      <c r="Y18" s="605">
        <f ca="1">Aprekini!Y252+Aprekini!Y271</f>
        <v>0</v>
      </c>
      <c r="Z18" s="605">
        <f ca="1">Aprekini!Z252+Aprekini!Z271</f>
        <v>0</v>
      </c>
      <c r="AA18" s="605">
        <f ca="1">Aprekini!AA252+Aprekini!AA271</f>
        <v>0</v>
      </c>
      <c r="AB18" s="605">
        <f ca="1">Aprekini!AB252+Aprekini!AB271</f>
        <v>0</v>
      </c>
      <c r="AC18" s="605">
        <f ca="1">Aprekini!AC252+Aprekini!AC271</f>
        <v>0</v>
      </c>
      <c r="AD18" s="605">
        <f ca="1">Aprekini!AD252+Aprekini!AD271</f>
        <v>0</v>
      </c>
      <c r="AE18" s="605">
        <f ca="1">Aprekini!AE252+Aprekini!AE271</f>
        <v>0</v>
      </c>
      <c r="AF18" s="605">
        <f ca="1">Aprekini!AF252+Aprekini!AF271</f>
        <v>0</v>
      </c>
      <c r="AG18" s="605">
        <f ca="1">Aprekini!AG252+Aprekini!AG271</f>
        <v>0</v>
      </c>
      <c r="AH18" s="605">
        <f ca="1">Aprekini!AH252+Aprekini!AH271</f>
        <v>0</v>
      </c>
      <c r="AI18" s="605"/>
    </row>
    <row r="19" spans="1:35" ht="12.75" x14ac:dyDescent="0.2">
      <c r="A19" s="464" t="s">
        <v>398</v>
      </c>
      <c r="B19" s="606">
        <f t="shared" ref="B19:AH19" si="1">SUM(B7:B18)</f>
        <v>333620</v>
      </c>
      <c r="C19" s="606">
        <f t="shared" si="1"/>
        <v>503539</v>
      </c>
      <c r="D19" s="606">
        <f t="shared" ca="1" si="1"/>
        <v>561041</v>
      </c>
      <c r="E19" s="606">
        <f t="shared" ca="1" si="1"/>
        <v>499599</v>
      </c>
      <c r="F19" s="606">
        <f t="shared" ca="1" si="1"/>
        <v>417094</v>
      </c>
      <c r="G19" s="606">
        <f t="shared" ca="1" si="1"/>
        <v>397245</v>
      </c>
      <c r="H19" s="606">
        <f t="shared" ca="1" si="1"/>
        <v>387394</v>
      </c>
      <c r="I19" s="606">
        <f t="shared" ca="1" si="1"/>
        <v>366596</v>
      </c>
      <c r="J19" s="606">
        <f t="shared" ca="1" si="1"/>
        <v>294705</v>
      </c>
      <c r="K19" s="606">
        <f t="shared" ca="1" si="1"/>
        <v>154102</v>
      </c>
      <c r="L19" s="606">
        <f t="shared" ca="1" si="1"/>
        <v>18569</v>
      </c>
      <c r="M19" s="606">
        <f t="shared" ca="1" si="1"/>
        <v>0</v>
      </c>
      <c r="N19" s="606">
        <f t="shared" ca="1" si="1"/>
        <v>0</v>
      </c>
      <c r="O19" s="606">
        <f t="shared" ca="1" si="1"/>
        <v>0</v>
      </c>
      <c r="P19" s="606">
        <f t="shared" ca="1" si="1"/>
        <v>0</v>
      </c>
      <c r="Q19" s="606">
        <f t="shared" ca="1" si="1"/>
        <v>0</v>
      </c>
      <c r="R19" s="606">
        <f t="shared" ca="1" si="1"/>
        <v>0</v>
      </c>
      <c r="S19" s="606">
        <f t="shared" ca="1" si="1"/>
        <v>0</v>
      </c>
      <c r="T19" s="606">
        <f t="shared" ca="1" si="1"/>
        <v>0</v>
      </c>
      <c r="U19" s="606">
        <f t="shared" ca="1" si="1"/>
        <v>0</v>
      </c>
      <c r="V19" s="606">
        <f t="shared" ca="1" si="1"/>
        <v>0</v>
      </c>
      <c r="W19" s="606">
        <f t="shared" ca="1" si="1"/>
        <v>0</v>
      </c>
      <c r="X19" s="606">
        <f t="shared" ca="1" si="1"/>
        <v>0</v>
      </c>
      <c r="Y19" s="606">
        <f t="shared" ca="1" si="1"/>
        <v>0</v>
      </c>
      <c r="Z19" s="606">
        <f t="shared" ca="1" si="1"/>
        <v>0</v>
      </c>
      <c r="AA19" s="606">
        <f t="shared" ca="1" si="1"/>
        <v>0</v>
      </c>
      <c r="AB19" s="606">
        <f t="shared" ca="1" si="1"/>
        <v>0</v>
      </c>
      <c r="AC19" s="606">
        <f t="shared" ca="1" si="1"/>
        <v>0</v>
      </c>
      <c r="AD19" s="606">
        <f t="shared" ca="1" si="1"/>
        <v>0</v>
      </c>
      <c r="AE19" s="606">
        <f t="shared" ca="1" si="1"/>
        <v>0</v>
      </c>
      <c r="AF19" s="606">
        <f t="shared" ca="1" si="1"/>
        <v>0</v>
      </c>
      <c r="AG19" s="606">
        <f t="shared" ca="1" si="1"/>
        <v>0</v>
      </c>
      <c r="AH19" s="606">
        <f t="shared" ca="1" si="1"/>
        <v>0</v>
      </c>
      <c r="AI19" s="606"/>
    </row>
    <row r="20" spans="1:35" ht="25.5" x14ac:dyDescent="0.2">
      <c r="A20" s="424" t="s">
        <v>399</v>
      </c>
      <c r="B20" s="607"/>
      <c r="C20" s="607"/>
      <c r="D20" s="607"/>
      <c r="E20" s="607"/>
      <c r="F20" s="607"/>
      <c r="G20" s="607"/>
      <c r="H20" s="607"/>
      <c r="I20" s="607"/>
      <c r="J20" s="607"/>
      <c r="K20" s="607"/>
      <c r="L20" s="607"/>
      <c r="M20" s="608"/>
      <c r="N20" s="608"/>
      <c r="O20" s="608"/>
      <c r="P20" s="608"/>
      <c r="Q20" s="608"/>
      <c r="R20" s="608"/>
      <c r="S20" s="608"/>
      <c r="T20" s="608"/>
      <c r="U20" s="608"/>
      <c r="V20" s="608"/>
      <c r="W20" s="608"/>
      <c r="X20" s="608"/>
      <c r="Y20" s="608"/>
      <c r="Z20" s="609"/>
      <c r="AA20" s="609"/>
      <c r="AB20" s="609"/>
      <c r="AC20" s="609"/>
      <c r="AD20" s="609"/>
      <c r="AE20" s="609"/>
      <c r="AF20" s="609"/>
      <c r="AG20" s="609"/>
      <c r="AH20" s="609"/>
      <c r="AI20" s="609"/>
    </row>
    <row r="21" spans="1:35" ht="12.75" hidden="1" x14ac:dyDescent="0.2">
      <c r="A21" s="604">
        <f>'Datu ievade'!A339</f>
        <v>0</v>
      </c>
      <c r="B21" s="604">
        <f>'Datu ievade'!B339</f>
        <v>0</v>
      </c>
      <c r="C21" s="604">
        <f>'Datu ievade'!C339</f>
        <v>0</v>
      </c>
      <c r="D21" s="604">
        <f>'Datu ievade'!D339</f>
        <v>0</v>
      </c>
      <c r="E21" s="604">
        <f>'Datu ievade'!E339</f>
        <v>0</v>
      </c>
      <c r="F21" s="604">
        <f>'Datu ievade'!F339</f>
        <v>0</v>
      </c>
      <c r="G21" s="604">
        <f>'Datu ievade'!G339</f>
        <v>0</v>
      </c>
      <c r="H21" s="604">
        <f>'Datu ievade'!H339</f>
        <v>0</v>
      </c>
      <c r="I21" s="604">
        <f>'Datu ievade'!I339</f>
        <v>0</v>
      </c>
      <c r="J21" s="604">
        <f>'Datu ievade'!J339</f>
        <v>0</v>
      </c>
      <c r="K21" s="604">
        <f>'Datu ievade'!K339</f>
        <v>0</v>
      </c>
      <c r="L21" s="604">
        <f>'Datu ievade'!L339</f>
        <v>0</v>
      </c>
      <c r="M21" s="604">
        <f>'Datu ievade'!M339</f>
        <v>0</v>
      </c>
      <c r="N21" s="604">
        <f>'Datu ievade'!N339</f>
        <v>0</v>
      </c>
      <c r="O21" s="604">
        <f>'Datu ievade'!O339</f>
        <v>0</v>
      </c>
      <c r="P21" s="604">
        <f>'Datu ievade'!P339</f>
        <v>0</v>
      </c>
      <c r="Q21" s="604">
        <f>'Datu ievade'!Q339</f>
        <v>0</v>
      </c>
      <c r="R21" s="604">
        <f>'Datu ievade'!R339</f>
        <v>0</v>
      </c>
      <c r="S21" s="604">
        <f>'Datu ievade'!S339</f>
        <v>0</v>
      </c>
      <c r="T21" s="604">
        <f>'Datu ievade'!T339</f>
        <v>0</v>
      </c>
      <c r="U21" s="604">
        <f>'Datu ievade'!U339</f>
        <v>0</v>
      </c>
      <c r="V21" s="604">
        <f>'Datu ievade'!V339</f>
        <v>0</v>
      </c>
      <c r="W21" s="604">
        <f>'Datu ievade'!W339</f>
        <v>0</v>
      </c>
      <c r="X21" s="604">
        <f>'Datu ievade'!X339</f>
        <v>0</v>
      </c>
      <c r="Y21" s="604">
        <f>'Datu ievade'!Y339</f>
        <v>0</v>
      </c>
      <c r="Z21" s="604">
        <f>'Datu ievade'!Z339</f>
        <v>0</v>
      </c>
      <c r="AA21" s="604">
        <f>'Datu ievade'!AA339</f>
        <v>0</v>
      </c>
      <c r="AB21" s="604">
        <f>'Datu ievade'!AB339</f>
        <v>0</v>
      </c>
      <c r="AC21" s="604">
        <f>'Datu ievade'!AC339</f>
        <v>0</v>
      </c>
      <c r="AD21" s="604">
        <f>'Datu ievade'!AD339</f>
        <v>0</v>
      </c>
      <c r="AE21" s="604">
        <f>'Datu ievade'!AE339</f>
        <v>0</v>
      </c>
      <c r="AF21" s="604">
        <f>'Datu ievade'!AF339</f>
        <v>0</v>
      </c>
      <c r="AG21" s="604">
        <f>'Datu ievade'!AG339</f>
        <v>0</v>
      </c>
      <c r="AH21" s="604">
        <f>'Datu ievade'!AH339</f>
        <v>0</v>
      </c>
      <c r="AI21" s="604"/>
    </row>
    <row r="22" spans="1:35" ht="12.75" hidden="1" x14ac:dyDescent="0.2">
      <c r="A22" s="604">
        <f>'Datu ievade'!A340</f>
        <v>0</v>
      </c>
      <c r="B22" s="604">
        <f>'Datu ievade'!B340</f>
        <v>0</v>
      </c>
      <c r="C22" s="604">
        <f>'Datu ievade'!C340</f>
        <v>0</v>
      </c>
      <c r="D22" s="604">
        <f>'Datu ievade'!D340</f>
        <v>0</v>
      </c>
      <c r="E22" s="604">
        <f>'Datu ievade'!E340</f>
        <v>0</v>
      </c>
      <c r="F22" s="604">
        <f>'Datu ievade'!F340</f>
        <v>0</v>
      </c>
      <c r="G22" s="604">
        <f>'Datu ievade'!G340</f>
        <v>0</v>
      </c>
      <c r="H22" s="604">
        <f>'Datu ievade'!H340</f>
        <v>0</v>
      </c>
      <c r="I22" s="604">
        <f>'Datu ievade'!I340</f>
        <v>0</v>
      </c>
      <c r="J22" s="604">
        <f>'Datu ievade'!J340</f>
        <v>0</v>
      </c>
      <c r="K22" s="604">
        <f>'Datu ievade'!K340</f>
        <v>0</v>
      </c>
      <c r="L22" s="604">
        <f>'Datu ievade'!L340</f>
        <v>0</v>
      </c>
      <c r="M22" s="604">
        <f>'Datu ievade'!M340</f>
        <v>0</v>
      </c>
      <c r="N22" s="604">
        <f>'Datu ievade'!N340</f>
        <v>0</v>
      </c>
      <c r="O22" s="604">
        <f>'Datu ievade'!O340</f>
        <v>0</v>
      </c>
      <c r="P22" s="604">
        <f>'Datu ievade'!P340</f>
        <v>0</v>
      </c>
      <c r="Q22" s="604">
        <f>'Datu ievade'!Q340</f>
        <v>0</v>
      </c>
      <c r="R22" s="604">
        <f>'Datu ievade'!R340</f>
        <v>0</v>
      </c>
      <c r="S22" s="604">
        <f>'Datu ievade'!S340</f>
        <v>0</v>
      </c>
      <c r="T22" s="604">
        <f>'Datu ievade'!T340</f>
        <v>0</v>
      </c>
      <c r="U22" s="604">
        <f>'Datu ievade'!U340</f>
        <v>0</v>
      </c>
      <c r="V22" s="604">
        <f>'Datu ievade'!V340</f>
        <v>0</v>
      </c>
      <c r="W22" s="604">
        <f>'Datu ievade'!W340</f>
        <v>0</v>
      </c>
      <c r="X22" s="604">
        <f>'Datu ievade'!X340</f>
        <v>0</v>
      </c>
      <c r="Y22" s="604">
        <f>'Datu ievade'!Y340</f>
        <v>0</v>
      </c>
      <c r="Z22" s="604">
        <f>'Datu ievade'!Z340</f>
        <v>0</v>
      </c>
      <c r="AA22" s="604">
        <f>'Datu ievade'!AA340</f>
        <v>0</v>
      </c>
      <c r="AB22" s="604">
        <f>'Datu ievade'!AB340</f>
        <v>0</v>
      </c>
      <c r="AC22" s="604">
        <f>'Datu ievade'!AC340</f>
        <v>0</v>
      </c>
      <c r="AD22" s="604">
        <f>'Datu ievade'!AD340</f>
        <v>0</v>
      </c>
      <c r="AE22" s="604">
        <f>'Datu ievade'!AE340</f>
        <v>0</v>
      </c>
      <c r="AF22" s="604">
        <f>'Datu ievade'!AF340</f>
        <v>0</v>
      </c>
      <c r="AG22" s="604">
        <f>'Datu ievade'!AG340</f>
        <v>0</v>
      </c>
      <c r="AH22" s="604">
        <f>'Datu ievade'!AH340</f>
        <v>0</v>
      </c>
      <c r="AI22" s="604"/>
    </row>
    <row r="23" spans="1:35" ht="12.75" hidden="1" x14ac:dyDescent="0.2">
      <c r="A23" s="604">
        <f>'Datu ievade'!A341</f>
        <v>0</v>
      </c>
      <c r="B23" s="604">
        <f>'Datu ievade'!B341</f>
        <v>0</v>
      </c>
      <c r="C23" s="604">
        <f>'Datu ievade'!C341</f>
        <v>0</v>
      </c>
      <c r="D23" s="604">
        <f>'Datu ievade'!D341</f>
        <v>0</v>
      </c>
      <c r="E23" s="604">
        <f>'Datu ievade'!E341</f>
        <v>0</v>
      </c>
      <c r="F23" s="604">
        <f>'Datu ievade'!F341</f>
        <v>0</v>
      </c>
      <c r="G23" s="604">
        <f>'Datu ievade'!G341</f>
        <v>0</v>
      </c>
      <c r="H23" s="604">
        <f>'Datu ievade'!H341</f>
        <v>0</v>
      </c>
      <c r="I23" s="604">
        <f>'Datu ievade'!I341</f>
        <v>0</v>
      </c>
      <c r="J23" s="604">
        <f>'Datu ievade'!J341</f>
        <v>0</v>
      </c>
      <c r="K23" s="604">
        <f>'Datu ievade'!K341</f>
        <v>0</v>
      </c>
      <c r="L23" s="604">
        <f>'Datu ievade'!L341</f>
        <v>0</v>
      </c>
      <c r="M23" s="604">
        <f>'Datu ievade'!M341</f>
        <v>0</v>
      </c>
      <c r="N23" s="604">
        <f>'Datu ievade'!N341</f>
        <v>0</v>
      </c>
      <c r="O23" s="604">
        <f>'Datu ievade'!O341</f>
        <v>0</v>
      </c>
      <c r="P23" s="604">
        <f>'Datu ievade'!P341</f>
        <v>0</v>
      </c>
      <c r="Q23" s="604">
        <f>'Datu ievade'!Q341</f>
        <v>0</v>
      </c>
      <c r="R23" s="604">
        <f>'Datu ievade'!R341</f>
        <v>0</v>
      </c>
      <c r="S23" s="604">
        <f>'Datu ievade'!S341</f>
        <v>0</v>
      </c>
      <c r="T23" s="604">
        <f>'Datu ievade'!T341</f>
        <v>0</v>
      </c>
      <c r="U23" s="604">
        <f>'Datu ievade'!U341</f>
        <v>0</v>
      </c>
      <c r="V23" s="604">
        <f>'Datu ievade'!V341</f>
        <v>0</v>
      </c>
      <c r="W23" s="604">
        <f>'Datu ievade'!W341</f>
        <v>0</v>
      </c>
      <c r="X23" s="604">
        <f>'Datu ievade'!X341</f>
        <v>0</v>
      </c>
      <c r="Y23" s="604">
        <f>'Datu ievade'!Y341</f>
        <v>0</v>
      </c>
      <c r="Z23" s="604">
        <f>'Datu ievade'!Z341</f>
        <v>0</v>
      </c>
      <c r="AA23" s="604">
        <f>'Datu ievade'!AA341</f>
        <v>0</v>
      </c>
      <c r="AB23" s="604">
        <f>'Datu ievade'!AB341</f>
        <v>0</v>
      </c>
      <c r="AC23" s="604">
        <f>'Datu ievade'!AC341</f>
        <v>0</v>
      </c>
      <c r="AD23" s="604">
        <f>'Datu ievade'!AD341</f>
        <v>0</v>
      </c>
      <c r="AE23" s="604">
        <f>'Datu ievade'!AE341</f>
        <v>0</v>
      </c>
      <c r="AF23" s="604">
        <f>'Datu ievade'!AF341</f>
        <v>0</v>
      </c>
      <c r="AG23" s="604">
        <f>'Datu ievade'!AG341</f>
        <v>0</v>
      </c>
      <c r="AH23" s="604">
        <f>'Datu ievade'!AH341</f>
        <v>0</v>
      </c>
      <c r="AI23" s="604"/>
    </row>
    <row r="24" spans="1:35" ht="12.75" hidden="1" x14ac:dyDescent="0.2">
      <c r="A24" s="604">
        <f>'Datu ievade'!A342</f>
        <v>0</v>
      </c>
      <c r="B24" s="604">
        <f>'Datu ievade'!B342</f>
        <v>0</v>
      </c>
      <c r="C24" s="604">
        <f>'Datu ievade'!C342</f>
        <v>0</v>
      </c>
      <c r="D24" s="604">
        <f>'Datu ievade'!D342</f>
        <v>0</v>
      </c>
      <c r="E24" s="604">
        <f>'Datu ievade'!E342</f>
        <v>0</v>
      </c>
      <c r="F24" s="604">
        <f>'Datu ievade'!F342</f>
        <v>0</v>
      </c>
      <c r="G24" s="604">
        <f>'Datu ievade'!G342</f>
        <v>0</v>
      </c>
      <c r="H24" s="604">
        <f>'Datu ievade'!H342</f>
        <v>0</v>
      </c>
      <c r="I24" s="604">
        <f>'Datu ievade'!I342</f>
        <v>0</v>
      </c>
      <c r="J24" s="604">
        <f>'Datu ievade'!J342</f>
        <v>0</v>
      </c>
      <c r="K24" s="604">
        <f>'Datu ievade'!K342</f>
        <v>0</v>
      </c>
      <c r="L24" s="604">
        <f>'Datu ievade'!L342</f>
        <v>0</v>
      </c>
      <c r="M24" s="604">
        <f>'Datu ievade'!M342</f>
        <v>0</v>
      </c>
      <c r="N24" s="604">
        <f>'Datu ievade'!N342</f>
        <v>0</v>
      </c>
      <c r="O24" s="604">
        <f>'Datu ievade'!O342</f>
        <v>0</v>
      </c>
      <c r="P24" s="604">
        <f>'Datu ievade'!P342</f>
        <v>0</v>
      </c>
      <c r="Q24" s="604">
        <f>'Datu ievade'!Q342</f>
        <v>0</v>
      </c>
      <c r="R24" s="604">
        <f>'Datu ievade'!R342</f>
        <v>0</v>
      </c>
      <c r="S24" s="604">
        <f>'Datu ievade'!S342</f>
        <v>0</v>
      </c>
      <c r="T24" s="604">
        <f>'Datu ievade'!T342</f>
        <v>0</v>
      </c>
      <c r="U24" s="604">
        <f>'Datu ievade'!U342</f>
        <v>0</v>
      </c>
      <c r="V24" s="604">
        <f>'Datu ievade'!V342</f>
        <v>0</v>
      </c>
      <c r="W24" s="604">
        <f>'Datu ievade'!W342</f>
        <v>0</v>
      </c>
      <c r="X24" s="604">
        <f>'Datu ievade'!X342</f>
        <v>0</v>
      </c>
      <c r="Y24" s="604">
        <f>'Datu ievade'!Y342</f>
        <v>0</v>
      </c>
      <c r="Z24" s="604">
        <f>'Datu ievade'!Z342</f>
        <v>0</v>
      </c>
      <c r="AA24" s="604">
        <f>'Datu ievade'!AA342</f>
        <v>0</v>
      </c>
      <c r="AB24" s="604">
        <f>'Datu ievade'!AB342</f>
        <v>0</v>
      </c>
      <c r="AC24" s="604">
        <f>'Datu ievade'!AC342</f>
        <v>0</v>
      </c>
      <c r="AD24" s="604">
        <f>'Datu ievade'!AD342</f>
        <v>0</v>
      </c>
      <c r="AE24" s="604">
        <f>'Datu ievade'!AE342</f>
        <v>0</v>
      </c>
      <c r="AF24" s="604">
        <f>'Datu ievade'!AF342</f>
        <v>0</v>
      </c>
      <c r="AG24" s="604">
        <f>'Datu ievade'!AG342</f>
        <v>0</v>
      </c>
      <c r="AH24" s="604">
        <f>'Datu ievade'!AH342</f>
        <v>0</v>
      </c>
      <c r="AI24" s="604"/>
    </row>
    <row r="25" spans="1:35" ht="12.75" hidden="1" x14ac:dyDescent="0.2">
      <c r="A25" s="604">
        <f>'Datu ievade'!A343</f>
        <v>0</v>
      </c>
      <c r="B25" s="604">
        <f>'Datu ievade'!B343</f>
        <v>0</v>
      </c>
      <c r="C25" s="604">
        <f>'Datu ievade'!C343</f>
        <v>0</v>
      </c>
      <c r="D25" s="604">
        <f>'Datu ievade'!D343</f>
        <v>0</v>
      </c>
      <c r="E25" s="604">
        <f>'Datu ievade'!E343</f>
        <v>0</v>
      </c>
      <c r="F25" s="604">
        <f>'Datu ievade'!F343</f>
        <v>0</v>
      </c>
      <c r="G25" s="604">
        <f>'Datu ievade'!G343</f>
        <v>0</v>
      </c>
      <c r="H25" s="604">
        <f>'Datu ievade'!H343</f>
        <v>0</v>
      </c>
      <c r="I25" s="604">
        <f>'Datu ievade'!I343</f>
        <v>0</v>
      </c>
      <c r="J25" s="604">
        <f>'Datu ievade'!J343</f>
        <v>0</v>
      </c>
      <c r="K25" s="604">
        <f>'Datu ievade'!K343</f>
        <v>0</v>
      </c>
      <c r="L25" s="604">
        <f>'Datu ievade'!L343</f>
        <v>0</v>
      </c>
      <c r="M25" s="604">
        <f>'Datu ievade'!M343</f>
        <v>0</v>
      </c>
      <c r="N25" s="604">
        <f>'Datu ievade'!N343</f>
        <v>0</v>
      </c>
      <c r="O25" s="604">
        <f>'Datu ievade'!O343</f>
        <v>0</v>
      </c>
      <c r="P25" s="604">
        <f>'Datu ievade'!P343</f>
        <v>0</v>
      </c>
      <c r="Q25" s="604">
        <f>'Datu ievade'!Q343</f>
        <v>0</v>
      </c>
      <c r="R25" s="604">
        <f>'Datu ievade'!R343</f>
        <v>0</v>
      </c>
      <c r="S25" s="604">
        <f>'Datu ievade'!S343</f>
        <v>0</v>
      </c>
      <c r="T25" s="604">
        <f>'Datu ievade'!T343</f>
        <v>0</v>
      </c>
      <c r="U25" s="604">
        <f>'Datu ievade'!U343</f>
        <v>0</v>
      </c>
      <c r="V25" s="604">
        <f>'Datu ievade'!V343</f>
        <v>0</v>
      </c>
      <c r="W25" s="604">
        <f>'Datu ievade'!W343</f>
        <v>0</v>
      </c>
      <c r="X25" s="604">
        <f>'Datu ievade'!X343</f>
        <v>0</v>
      </c>
      <c r="Y25" s="604">
        <f>'Datu ievade'!Y343</f>
        <v>0</v>
      </c>
      <c r="Z25" s="604">
        <f>'Datu ievade'!Z343</f>
        <v>0</v>
      </c>
      <c r="AA25" s="604">
        <f>'Datu ievade'!AA343</f>
        <v>0</v>
      </c>
      <c r="AB25" s="604">
        <f>'Datu ievade'!AB343</f>
        <v>0</v>
      </c>
      <c r="AC25" s="604">
        <f>'Datu ievade'!AC343</f>
        <v>0</v>
      </c>
      <c r="AD25" s="604">
        <f>'Datu ievade'!AD343</f>
        <v>0</v>
      </c>
      <c r="AE25" s="604">
        <f>'Datu ievade'!AE343</f>
        <v>0</v>
      </c>
      <c r="AF25" s="604">
        <f>'Datu ievade'!AF343</f>
        <v>0</v>
      </c>
      <c r="AG25" s="604">
        <f>'Datu ievade'!AG343</f>
        <v>0</v>
      </c>
      <c r="AH25" s="604">
        <f>'Datu ievade'!AH343</f>
        <v>0</v>
      </c>
      <c r="AI25" s="604"/>
    </row>
    <row r="26" spans="1:35" ht="12.75" hidden="1" x14ac:dyDescent="0.2">
      <c r="A26" s="604">
        <f>'Datu ievade'!A344</f>
        <v>0</v>
      </c>
      <c r="B26" s="604">
        <f>'Datu ievade'!B344</f>
        <v>0</v>
      </c>
      <c r="C26" s="604">
        <f>'Datu ievade'!C344</f>
        <v>0</v>
      </c>
      <c r="D26" s="604">
        <f>'Datu ievade'!D344</f>
        <v>0</v>
      </c>
      <c r="E26" s="604">
        <f>'Datu ievade'!E344</f>
        <v>0</v>
      </c>
      <c r="F26" s="604">
        <f>'Datu ievade'!F344</f>
        <v>0</v>
      </c>
      <c r="G26" s="604">
        <f>'Datu ievade'!G344</f>
        <v>0</v>
      </c>
      <c r="H26" s="604">
        <f>'Datu ievade'!H344</f>
        <v>0</v>
      </c>
      <c r="I26" s="604">
        <f>'Datu ievade'!I344</f>
        <v>0</v>
      </c>
      <c r="J26" s="604">
        <f>'Datu ievade'!J344</f>
        <v>0</v>
      </c>
      <c r="K26" s="604">
        <f>'Datu ievade'!K344</f>
        <v>0</v>
      </c>
      <c r="L26" s="604">
        <f>'Datu ievade'!L344</f>
        <v>0</v>
      </c>
      <c r="M26" s="604">
        <f>'Datu ievade'!M344</f>
        <v>0</v>
      </c>
      <c r="N26" s="604">
        <f>'Datu ievade'!N344</f>
        <v>0</v>
      </c>
      <c r="O26" s="604">
        <f>'Datu ievade'!O344</f>
        <v>0</v>
      </c>
      <c r="P26" s="604">
        <f>'Datu ievade'!P344</f>
        <v>0</v>
      </c>
      <c r="Q26" s="604">
        <f>'Datu ievade'!Q344</f>
        <v>0</v>
      </c>
      <c r="R26" s="604">
        <f>'Datu ievade'!R344</f>
        <v>0</v>
      </c>
      <c r="S26" s="604">
        <f>'Datu ievade'!S344</f>
        <v>0</v>
      </c>
      <c r="T26" s="604">
        <f>'Datu ievade'!T344</f>
        <v>0</v>
      </c>
      <c r="U26" s="604">
        <f>'Datu ievade'!U344</f>
        <v>0</v>
      </c>
      <c r="V26" s="604">
        <f>'Datu ievade'!V344</f>
        <v>0</v>
      </c>
      <c r="W26" s="604">
        <f>'Datu ievade'!W344</f>
        <v>0</v>
      </c>
      <c r="X26" s="604">
        <f>'Datu ievade'!X344</f>
        <v>0</v>
      </c>
      <c r="Y26" s="604">
        <f>'Datu ievade'!Y344</f>
        <v>0</v>
      </c>
      <c r="Z26" s="604">
        <f>'Datu ievade'!Z344</f>
        <v>0</v>
      </c>
      <c r="AA26" s="604">
        <f>'Datu ievade'!AA344</f>
        <v>0</v>
      </c>
      <c r="AB26" s="604">
        <f>'Datu ievade'!AB344</f>
        <v>0</v>
      </c>
      <c r="AC26" s="604">
        <f>'Datu ievade'!AC344</f>
        <v>0</v>
      </c>
      <c r="AD26" s="604">
        <f>'Datu ievade'!AD344</f>
        <v>0</v>
      </c>
      <c r="AE26" s="604">
        <f>'Datu ievade'!AE344</f>
        <v>0</v>
      </c>
      <c r="AF26" s="604">
        <f>'Datu ievade'!AF344</f>
        <v>0</v>
      </c>
      <c r="AG26" s="604">
        <f>'Datu ievade'!AG344</f>
        <v>0</v>
      </c>
      <c r="AH26" s="604">
        <f>'Datu ievade'!AH344</f>
        <v>0</v>
      </c>
      <c r="AI26" s="604"/>
    </row>
    <row r="27" spans="1:35" ht="12.75" hidden="1" x14ac:dyDescent="0.2">
      <c r="A27" s="604">
        <f>'Datu ievade'!A345</f>
        <v>0</v>
      </c>
      <c r="B27" s="604">
        <f>'Datu ievade'!B345</f>
        <v>0</v>
      </c>
      <c r="C27" s="604">
        <f>'Datu ievade'!C345</f>
        <v>0</v>
      </c>
      <c r="D27" s="604">
        <f>'Datu ievade'!D345</f>
        <v>0</v>
      </c>
      <c r="E27" s="604">
        <f>'Datu ievade'!E345</f>
        <v>0</v>
      </c>
      <c r="F27" s="604">
        <f>'Datu ievade'!F345</f>
        <v>0</v>
      </c>
      <c r="G27" s="604">
        <f>'Datu ievade'!G345</f>
        <v>0</v>
      </c>
      <c r="H27" s="604">
        <f>'Datu ievade'!H345</f>
        <v>0</v>
      </c>
      <c r="I27" s="604">
        <f>'Datu ievade'!I345</f>
        <v>0</v>
      </c>
      <c r="J27" s="604">
        <f>'Datu ievade'!J345</f>
        <v>0</v>
      </c>
      <c r="K27" s="604">
        <f>'Datu ievade'!K345</f>
        <v>0</v>
      </c>
      <c r="L27" s="604">
        <f>'Datu ievade'!L345</f>
        <v>0</v>
      </c>
      <c r="M27" s="604">
        <f>'Datu ievade'!M345</f>
        <v>0</v>
      </c>
      <c r="N27" s="604">
        <f>'Datu ievade'!N345</f>
        <v>0</v>
      </c>
      <c r="O27" s="604">
        <f>'Datu ievade'!O345</f>
        <v>0</v>
      </c>
      <c r="P27" s="604">
        <f>'Datu ievade'!P345</f>
        <v>0</v>
      </c>
      <c r="Q27" s="604">
        <f>'Datu ievade'!Q345</f>
        <v>0</v>
      </c>
      <c r="R27" s="604">
        <f>'Datu ievade'!R345</f>
        <v>0</v>
      </c>
      <c r="S27" s="604">
        <f>'Datu ievade'!S345</f>
        <v>0</v>
      </c>
      <c r="T27" s="604">
        <f>'Datu ievade'!T345</f>
        <v>0</v>
      </c>
      <c r="U27" s="604">
        <f>'Datu ievade'!U345</f>
        <v>0</v>
      </c>
      <c r="V27" s="604">
        <f>'Datu ievade'!V345</f>
        <v>0</v>
      </c>
      <c r="W27" s="604">
        <f>'Datu ievade'!W345</f>
        <v>0</v>
      </c>
      <c r="X27" s="604">
        <f>'Datu ievade'!X345</f>
        <v>0</v>
      </c>
      <c r="Y27" s="604">
        <f>'Datu ievade'!Y345</f>
        <v>0</v>
      </c>
      <c r="Z27" s="604">
        <f>'Datu ievade'!Z345</f>
        <v>0</v>
      </c>
      <c r="AA27" s="604">
        <f>'Datu ievade'!AA345</f>
        <v>0</v>
      </c>
      <c r="AB27" s="604">
        <f>'Datu ievade'!AB345</f>
        <v>0</v>
      </c>
      <c r="AC27" s="604">
        <f>'Datu ievade'!AC345</f>
        <v>0</v>
      </c>
      <c r="AD27" s="604">
        <f>'Datu ievade'!AD345</f>
        <v>0</v>
      </c>
      <c r="AE27" s="604">
        <f>'Datu ievade'!AE345</f>
        <v>0</v>
      </c>
      <c r="AF27" s="604">
        <f>'Datu ievade'!AF345</f>
        <v>0</v>
      </c>
      <c r="AG27" s="604">
        <f>'Datu ievade'!AG345</f>
        <v>0</v>
      </c>
      <c r="AH27" s="604">
        <f>'Datu ievade'!AH345</f>
        <v>0</v>
      </c>
      <c r="AI27" s="604"/>
    </row>
    <row r="28" spans="1:35" ht="12.75" hidden="1" x14ac:dyDescent="0.2">
      <c r="A28" s="604">
        <f>'Datu ievade'!A346</f>
        <v>0</v>
      </c>
      <c r="B28" s="604">
        <f>'Datu ievade'!B346</f>
        <v>0</v>
      </c>
      <c r="C28" s="604">
        <f>'Datu ievade'!C346</f>
        <v>0</v>
      </c>
      <c r="D28" s="604">
        <f>'Datu ievade'!D346</f>
        <v>0</v>
      </c>
      <c r="E28" s="604">
        <f>'Datu ievade'!E346</f>
        <v>0</v>
      </c>
      <c r="F28" s="604">
        <f>'Datu ievade'!F346</f>
        <v>0</v>
      </c>
      <c r="G28" s="604">
        <f>'Datu ievade'!G346</f>
        <v>0</v>
      </c>
      <c r="H28" s="604">
        <f>'Datu ievade'!H346</f>
        <v>0</v>
      </c>
      <c r="I28" s="604">
        <f>'Datu ievade'!I346</f>
        <v>0</v>
      </c>
      <c r="J28" s="604">
        <f>'Datu ievade'!J346</f>
        <v>0</v>
      </c>
      <c r="K28" s="604">
        <f>'Datu ievade'!K346</f>
        <v>0</v>
      </c>
      <c r="L28" s="604">
        <f>'Datu ievade'!L346</f>
        <v>0</v>
      </c>
      <c r="M28" s="604">
        <f>'Datu ievade'!M346</f>
        <v>0</v>
      </c>
      <c r="N28" s="604">
        <f>'Datu ievade'!N346</f>
        <v>0</v>
      </c>
      <c r="O28" s="604">
        <f>'Datu ievade'!O346</f>
        <v>0</v>
      </c>
      <c r="P28" s="604">
        <f>'Datu ievade'!P346</f>
        <v>0</v>
      </c>
      <c r="Q28" s="604">
        <f>'Datu ievade'!Q346</f>
        <v>0</v>
      </c>
      <c r="R28" s="604">
        <f>'Datu ievade'!R346</f>
        <v>0</v>
      </c>
      <c r="S28" s="604">
        <f>'Datu ievade'!S346</f>
        <v>0</v>
      </c>
      <c r="T28" s="604">
        <f>'Datu ievade'!T346</f>
        <v>0</v>
      </c>
      <c r="U28" s="604">
        <f>'Datu ievade'!U346</f>
        <v>0</v>
      </c>
      <c r="V28" s="604">
        <f>'Datu ievade'!V346</f>
        <v>0</v>
      </c>
      <c r="W28" s="604">
        <f>'Datu ievade'!W346</f>
        <v>0</v>
      </c>
      <c r="X28" s="604">
        <f>'Datu ievade'!X346</f>
        <v>0</v>
      </c>
      <c r="Y28" s="604">
        <f>'Datu ievade'!Y346</f>
        <v>0</v>
      </c>
      <c r="Z28" s="604">
        <f>'Datu ievade'!Z346</f>
        <v>0</v>
      </c>
      <c r="AA28" s="604">
        <f>'Datu ievade'!AA346</f>
        <v>0</v>
      </c>
      <c r="AB28" s="604">
        <f>'Datu ievade'!AB346</f>
        <v>0</v>
      </c>
      <c r="AC28" s="604">
        <f>'Datu ievade'!AC346</f>
        <v>0</v>
      </c>
      <c r="AD28" s="604">
        <f>'Datu ievade'!AD346</f>
        <v>0</v>
      </c>
      <c r="AE28" s="604">
        <f>'Datu ievade'!AE346</f>
        <v>0</v>
      </c>
      <c r="AF28" s="604">
        <f>'Datu ievade'!AF346</f>
        <v>0</v>
      </c>
      <c r="AG28" s="604">
        <f>'Datu ievade'!AG346</f>
        <v>0</v>
      </c>
      <c r="AH28" s="604">
        <f>'Datu ievade'!AH346</f>
        <v>0</v>
      </c>
      <c r="AI28" s="604"/>
    </row>
    <row r="29" spans="1:35" ht="12.75" hidden="1" x14ac:dyDescent="0.2">
      <c r="A29" s="604">
        <f>'Datu ievade'!A347</f>
        <v>0</v>
      </c>
      <c r="B29" s="604">
        <f>'Datu ievade'!B347</f>
        <v>0</v>
      </c>
      <c r="C29" s="604">
        <f>'Datu ievade'!C347</f>
        <v>0</v>
      </c>
      <c r="D29" s="604">
        <f>'Datu ievade'!D347</f>
        <v>0</v>
      </c>
      <c r="E29" s="604">
        <f>'Datu ievade'!E347</f>
        <v>0</v>
      </c>
      <c r="F29" s="604">
        <f>'Datu ievade'!F347</f>
        <v>0</v>
      </c>
      <c r="G29" s="604">
        <f>'Datu ievade'!G347</f>
        <v>0</v>
      </c>
      <c r="H29" s="604">
        <f>'Datu ievade'!H347</f>
        <v>0</v>
      </c>
      <c r="I29" s="604">
        <f>'Datu ievade'!I347</f>
        <v>0</v>
      </c>
      <c r="J29" s="604">
        <f>'Datu ievade'!J347</f>
        <v>0</v>
      </c>
      <c r="K29" s="604">
        <f>'Datu ievade'!K347</f>
        <v>0</v>
      </c>
      <c r="L29" s="604">
        <f>'Datu ievade'!L347</f>
        <v>0</v>
      </c>
      <c r="M29" s="604">
        <f>'Datu ievade'!M347</f>
        <v>0</v>
      </c>
      <c r="N29" s="604">
        <f>'Datu ievade'!N347</f>
        <v>0</v>
      </c>
      <c r="O29" s="604">
        <f>'Datu ievade'!O347</f>
        <v>0</v>
      </c>
      <c r="P29" s="604">
        <f>'Datu ievade'!P347</f>
        <v>0</v>
      </c>
      <c r="Q29" s="604">
        <f>'Datu ievade'!Q347</f>
        <v>0</v>
      </c>
      <c r="R29" s="604">
        <f>'Datu ievade'!R347</f>
        <v>0</v>
      </c>
      <c r="S29" s="604">
        <f>'Datu ievade'!S347</f>
        <v>0</v>
      </c>
      <c r="T29" s="604">
        <f>'Datu ievade'!T347</f>
        <v>0</v>
      </c>
      <c r="U29" s="604">
        <f>'Datu ievade'!U347</f>
        <v>0</v>
      </c>
      <c r="V29" s="604">
        <f>'Datu ievade'!V347</f>
        <v>0</v>
      </c>
      <c r="W29" s="604">
        <f>'Datu ievade'!W347</f>
        <v>0</v>
      </c>
      <c r="X29" s="604">
        <f>'Datu ievade'!X347</f>
        <v>0</v>
      </c>
      <c r="Y29" s="604">
        <f>'Datu ievade'!Y347</f>
        <v>0</v>
      </c>
      <c r="Z29" s="604">
        <f>'Datu ievade'!Z347</f>
        <v>0</v>
      </c>
      <c r="AA29" s="604">
        <f>'Datu ievade'!AA347</f>
        <v>0</v>
      </c>
      <c r="AB29" s="604">
        <f>'Datu ievade'!AB347</f>
        <v>0</v>
      </c>
      <c r="AC29" s="604">
        <f>'Datu ievade'!AC347</f>
        <v>0</v>
      </c>
      <c r="AD29" s="604">
        <f>'Datu ievade'!AD347</f>
        <v>0</v>
      </c>
      <c r="AE29" s="604">
        <f>'Datu ievade'!AE347</f>
        <v>0</v>
      </c>
      <c r="AF29" s="604">
        <f>'Datu ievade'!AF347</f>
        <v>0</v>
      </c>
      <c r="AG29" s="604">
        <f>'Datu ievade'!AG347</f>
        <v>0</v>
      </c>
      <c r="AH29" s="604">
        <f>'Datu ievade'!AH347</f>
        <v>0</v>
      </c>
      <c r="AI29" s="604"/>
    </row>
    <row r="30" spans="1:35" ht="12.75" hidden="1" x14ac:dyDescent="0.2">
      <c r="A30" s="604">
        <f>'Datu ievade'!A348</f>
        <v>0</v>
      </c>
      <c r="B30" s="604">
        <f>'Datu ievade'!B348</f>
        <v>0</v>
      </c>
      <c r="C30" s="604">
        <f>'Datu ievade'!C348</f>
        <v>0</v>
      </c>
      <c r="D30" s="604">
        <f>'Datu ievade'!D348</f>
        <v>0</v>
      </c>
      <c r="E30" s="604">
        <f>'Datu ievade'!E348</f>
        <v>0</v>
      </c>
      <c r="F30" s="604">
        <f>'Datu ievade'!F348</f>
        <v>0</v>
      </c>
      <c r="G30" s="604">
        <f>'Datu ievade'!G348</f>
        <v>0</v>
      </c>
      <c r="H30" s="604">
        <f>'Datu ievade'!H348</f>
        <v>0</v>
      </c>
      <c r="I30" s="604">
        <f>'Datu ievade'!I348</f>
        <v>0</v>
      </c>
      <c r="J30" s="604">
        <f>'Datu ievade'!J348</f>
        <v>0</v>
      </c>
      <c r="K30" s="604">
        <f>'Datu ievade'!K348</f>
        <v>0</v>
      </c>
      <c r="L30" s="604">
        <f>'Datu ievade'!L348</f>
        <v>0</v>
      </c>
      <c r="M30" s="604">
        <f>'Datu ievade'!M348</f>
        <v>0</v>
      </c>
      <c r="N30" s="604">
        <f>'Datu ievade'!N348</f>
        <v>0</v>
      </c>
      <c r="O30" s="604">
        <f>'Datu ievade'!O348</f>
        <v>0</v>
      </c>
      <c r="P30" s="604">
        <f>'Datu ievade'!P348</f>
        <v>0</v>
      </c>
      <c r="Q30" s="604">
        <f>'Datu ievade'!Q348</f>
        <v>0</v>
      </c>
      <c r="R30" s="604">
        <f>'Datu ievade'!R348</f>
        <v>0</v>
      </c>
      <c r="S30" s="604">
        <f>'Datu ievade'!S348</f>
        <v>0</v>
      </c>
      <c r="T30" s="604">
        <f>'Datu ievade'!T348</f>
        <v>0</v>
      </c>
      <c r="U30" s="604">
        <f>'Datu ievade'!U348</f>
        <v>0</v>
      </c>
      <c r="V30" s="604">
        <f>'Datu ievade'!V348</f>
        <v>0</v>
      </c>
      <c r="W30" s="604">
        <f>'Datu ievade'!W348</f>
        <v>0</v>
      </c>
      <c r="X30" s="604">
        <f>'Datu ievade'!X348</f>
        <v>0</v>
      </c>
      <c r="Y30" s="604">
        <f>'Datu ievade'!Y348</f>
        <v>0</v>
      </c>
      <c r="Z30" s="604">
        <f>'Datu ievade'!Z348</f>
        <v>0</v>
      </c>
      <c r="AA30" s="604">
        <f>'Datu ievade'!AA348</f>
        <v>0</v>
      </c>
      <c r="AB30" s="604">
        <f>'Datu ievade'!AB348</f>
        <v>0</v>
      </c>
      <c r="AC30" s="604">
        <f>'Datu ievade'!AC348</f>
        <v>0</v>
      </c>
      <c r="AD30" s="604">
        <f>'Datu ievade'!AD348</f>
        <v>0</v>
      </c>
      <c r="AE30" s="604">
        <f>'Datu ievade'!AE348</f>
        <v>0</v>
      </c>
      <c r="AF30" s="604">
        <f>'Datu ievade'!AF348</f>
        <v>0</v>
      </c>
      <c r="AG30" s="604">
        <f>'Datu ievade'!AG348</f>
        <v>0</v>
      </c>
      <c r="AH30" s="604">
        <f>'Datu ievade'!AH348</f>
        <v>0</v>
      </c>
      <c r="AI30" s="604"/>
    </row>
    <row r="31" spans="1:35" ht="12.75" hidden="1" x14ac:dyDescent="0.2">
      <c r="A31" s="604">
        <f>'Datu ievade'!A349</f>
        <v>0</v>
      </c>
      <c r="B31" s="604">
        <f>'Datu ievade'!B349</f>
        <v>0</v>
      </c>
      <c r="C31" s="604">
        <f>'Datu ievade'!C349</f>
        <v>0</v>
      </c>
      <c r="D31" s="604">
        <f>'Datu ievade'!D349</f>
        <v>0</v>
      </c>
      <c r="E31" s="604">
        <f>'Datu ievade'!E349</f>
        <v>0</v>
      </c>
      <c r="F31" s="604">
        <f>'Datu ievade'!F349</f>
        <v>0</v>
      </c>
      <c r="G31" s="604">
        <f>'Datu ievade'!G349</f>
        <v>0</v>
      </c>
      <c r="H31" s="604">
        <f>'Datu ievade'!H349</f>
        <v>0</v>
      </c>
      <c r="I31" s="604">
        <f>'Datu ievade'!I349</f>
        <v>0</v>
      </c>
      <c r="J31" s="604">
        <f>'Datu ievade'!J349</f>
        <v>0</v>
      </c>
      <c r="K31" s="604">
        <f>'Datu ievade'!K349</f>
        <v>0</v>
      </c>
      <c r="L31" s="604">
        <f>'Datu ievade'!L349</f>
        <v>0</v>
      </c>
      <c r="M31" s="604">
        <f>'Datu ievade'!M349</f>
        <v>0</v>
      </c>
      <c r="N31" s="604">
        <f>'Datu ievade'!N349</f>
        <v>0</v>
      </c>
      <c r="O31" s="604">
        <f>'Datu ievade'!O349</f>
        <v>0</v>
      </c>
      <c r="P31" s="604">
        <f>'Datu ievade'!P349</f>
        <v>0</v>
      </c>
      <c r="Q31" s="604">
        <f>'Datu ievade'!Q349</f>
        <v>0</v>
      </c>
      <c r="R31" s="604">
        <f>'Datu ievade'!R349</f>
        <v>0</v>
      </c>
      <c r="S31" s="604">
        <f>'Datu ievade'!S349</f>
        <v>0</v>
      </c>
      <c r="T31" s="604">
        <f>'Datu ievade'!T349</f>
        <v>0</v>
      </c>
      <c r="U31" s="604">
        <f>'Datu ievade'!U349</f>
        <v>0</v>
      </c>
      <c r="V31" s="604">
        <f>'Datu ievade'!V349</f>
        <v>0</v>
      </c>
      <c r="W31" s="604">
        <f>'Datu ievade'!W349</f>
        <v>0</v>
      </c>
      <c r="X31" s="604">
        <f>'Datu ievade'!X349</f>
        <v>0</v>
      </c>
      <c r="Y31" s="604">
        <f>'Datu ievade'!Y349</f>
        <v>0</v>
      </c>
      <c r="Z31" s="604">
        <f>'Datu ievade'!Z349</f>
        <v>0</v>
      </c>
      <c r="AA31" s="604">
        <f>'Datu ievade'!AA349</f>
        <v>0</v>
      </c>
      <c r="AB31" s="604">
        <f>'Datu ievade'!AB349</f>
        <v>0</v>
      </c>
      <c r="AC31" s="604">
        <f>'Datu ievade'!AC349</f>
        <v>0</v>
      </c>
      <c r="AD31" s="604">
        <f>'Datu ievade'!AD349</f>
        <v>0</v>
      </c>
      <c r="AE31" s="604">
        <f>'Datu ievade'!AE349</f>
        <v>0</v>
      </c>
      <c r="AF31" s="604">
        <f>'Datu ievade'!AF349</f>
        <v>0</v>
      </c>
      <c r="AG31" s="604">
        <f>'Datu ievade'!AG349</f>
        <v>0</v>
      </c>
      <c r="AH31" s="604">
        <f>'Datu ievade'!AH349</f>
        <v>0</v>
      </c>
      <c r="AI31" s="604"/>
    </row>
    <row r="32" spans="1:35" ht="12.75" hidden="1" x14ac:dyDescent="0.2">
      <c r="A32" s="604">
        <f>'Datu ievade'!A350</f>
        <v>0</v>
      </c>
      <c r="B32" s="604">
        <f>'Datu ievade'!B350</f>
        <v>0</v>
      </c>
      <c r="C32" s="604">
        <f>'Datu ievade'!C350</f>
        <v>0</v>
      </c>
      <c r="D32" s="604">
        <f>'Datu ievade'!D350</f>
        <v>0</v>
      </c>
      <c r="E32" s="604">
        <f>'Datu ievade'!E350</f>
        <v>0</v>
      </c>
      <c r="F32" s="604">
        <f>'Datu ievade'!F350</f>
        <v>0</v>
      </c>
      <c r="G32" s="604">
        <f>'Datu ievade'!G350</f>
        <v>0</v>
      </c>
      <c r="H32" s="604">
        <f>'Datu ievade'!H350</f>
        <v>0</v>
      </c>
      <c r="I32" s="604">
        <f>'Datu ievade'!I350</f>
        <v>0</v>
      </c>
      <c r="J32" s="604">
        <f>'Datu ievade'!J350</f>
        <v>0</v>
      </c>
      <c r="K32" s="604">
        <f>'Datu ievade'!K350</f>
        <v>0</v>
      </c>
      <c r="L32" s="604">
        <f>'Datu ievade'!L350</f>
        <v>0</v>
      </c>
      <c r="M32" s="604">
        <f>'Datu ievade'!M350</f>
        <v>0</v>
      </c>
      <c r="N32" s="604">
        <f>'Datu ievade'!N350</f>
        <v>0</v>
      </c>
      <c r="O32" s="604">
        <f>'Datu ievade'!O350</f>
        <v>0</v>
      </c>
      <c r="P32" s="604">
        <f>'Datu ievade'!P350</f>
        <v>0</v>
      </c>
      <c r="Q32" s="604">
        <f>'Datu ievade'!Q350</f>
        <v>0</v>
      </c>
      <c r="R32" s="604">
        <f>'Datu ievade'!R350</f>
        <v>0</v>
      </c>
      <c r="S32" s="604">
        <f>'Datu ievade'!S350</f>
        <v>0</v>
      </c>
      <c r="T32" s="604">
        <f>'Datu ievade'!T350</f>
        <v>0</v>
      </c>
      <c r="U32" s="604">
        <f>'Datu ievade'!U350</f>
        <v>0</v>
      </c>
      <c r="V32" s="604">
        <f>'Datu ievade'!V350</f>
        <v>0</v>
      </c>
      <c r="W32" s="604">
        <f>'Datu ievade'!W350</f>
        <v>0</v>
      </c>
      <c r="X32" s="604">
        <f>'Datu ievade'!X350</f>
        <v>0</v>
      </c>
      <c r="Y32" s="604">
        <f>'Datu ievade'!Y350</f>
        <v>0</v>
      </c>
      <c r="Z32" s="604">
        <f>'Datu ievade'!Z350</f>
        <v>0</v>
      </c>
      <c r="AA32" s="604">
        <f>'Datu ievade'!AA350</f>
        <v>0</v>
      </c>
      <c r="AB32" s="604">
        <f>'Datu ievade'!AB350</f>
        <v>0</v>
      </c>
      <c r="AC32" s="604">
        <f>'Datu ievade'!AC350</f>
        <v>0</v>
      </c>
      <c r="AD32" s="604">
        <f>'Datu ievade'!AD350</f>
        <v>0</v>
      </c>
      <c r="AE32" s="604">
        <f>'Datu ievade'!AE350</f>
        <v>0</v>
      </c>
      <c r="AF32" s="604">
        <f>'Datu ievade'!AF350</f>
        <v>0</v>
      </c>
      <c r="AG32" s="604">
        <f>'Datu ievade'!AG350</f>
        <v>0</v>
      </c>
      <c r="AH32" s="604">
        <f>'Datu ievade'!AH350</f>
        <v>0</v>
      </c>
      <c r="AI32" s="604"/>
    </row>
    <row r="33" spans="1:35" ht="12.75" hidden="1" x14ac:dyDescent="0.2">
      <c r="A33" s="604">
        <f>'Datu ievade'!A351</f>
        <v>0</v>
      </c>
      <c r="B33" s="604">
        <f>'Datu ievade'!B351</f>
        <v>0</v>
      </c>
      <c r="C33" s="604">
        <f>'Datu ievade'!C351</f>
        <v>0</v>
      </c>
      <c r="D33" s="604">
        <f>'Datu ievade'!D351</f>
        <v>0</v>
      </c>
      <c r="E33" s="604">
        <f>'Datu ievade'!E351</f>
        <v>0</v>
      </c>
      <c r="F33" s="604">
        <f>'Datu ievade'!F351</f>
        <v>0</v>
      </c>
      <c r="G33" s="604">
        <f>'Datu ievade'!G351</f>
        <v>0</v>
      </c>
      <c r="H33" s="604">
        <f>'Datu ievade'!H351</f>
        <v>0</v>
      </c>
      <c r="I33" s="604">
        <f>'Datu ievade'!I351</f>
        <v>0</v>
      </c>
      <c r="J33" s="604">
        <f>'Datu ievade'!J351</f>
        <v>0</v>
      </c>
      <c r="K33" s="604">
        <f>'Datu ievade'!K351</f>
        <v>0</v>
      </c>
      <c r="L33" s="604">
        <f>'Datu ievade'!L351</f>
        <v>0</v>
      </c>
      <c r="M33" s="604">
        <f>'Datu ievade'!M351</f>
        <v>0</v>
      </c>
      <c r="N33" s="604">
        <f>'Datu ievade'!N351</f>
        <v>0</v>
      </c>
      <c r="O33" s="604">
        <f>'Datu ievade'!O351</f>
        <v>0</v>
      </c>
      <c r="P33" s="604">
        <f>'Datu ievade'!P351</f>
        <v>0</v>
      </c>
      <c r="Q33" s="604">
        <f>'Datu ievade'!Q351</f>
        <v>0</v>
      </c>
      <c r="R33" s="604">
        <f>'Datu ievade'!R351</f>
        <v>0</v>
      </c>
      <c r="S33" s="604">
        <f>'Datu ievade'!S351</f>
        <v>0</v>
      </c>
      <c r="T33" s="604">
        <f>'Datu ievade'!T351</f>
        <v>0</v>
      </c>
      <c r="U33" s="604">
        <f>'Datu ievade'!U351</f>
        <v>0</v>
      </c>
      <c r="V33" s="604">
        <f>'Datu ievade'!V351</f>
        <v>0</v>
      </c>
      <c r="W33" s="604">
        <f>'Datu ievade'!W351</f>
        <v>0</v>
      </c>
      <c r="X33" s="604">
        <f>'Datu ievade'!X351</f>
        <v>0</v>
      </c>
      <c r="Y33" s="604">
        <f>'Datu ievade'!Y351</f>
        <v>0</v>
      </c>
      <c r="Z33" s="604">
        <f>'Datu ievade'!Z351</f>
        <v>0</v>
      </c>
      <c r="AA33" s="604">
        <f>'Datu ievade'!AA351</f>
        <v>0</v>
      </c>
      <c r="AB33" s="604">
        <f>'Datu ievade'!AB351</f>
        <v>0</v>
      </c>
      <c r="AC33" s="604">
        <f>'Datu ievade'!AC351</f>
        <v>0</v>
      </c>
      <c r="AD33" s="604">
        <f>'Datu ievade'!AD351</f>
        <v>0</v>
      </c>
      <c r="AE33" s="604">
        <f>'Datu ievade'!AE351</f>
        <v>0</v>
      </c>
      <c r="AF33" s="604">
        <f>'Datu ievade'!AF351</f>
        <v>0</v>
      </c>
      <c r="AG33" s="604">
        <f>'Datu ievade'!AG351</f>
        <v>0</v>
      </c>
      <c r="AH33" s="604">
        <f>'Datu ievade'!AH351</f>
        <v>0</v>
      </c>
      <c r="AI33" s="604"/>
    </row>
    <row r="34" spans="1:35" ht="12.75" hidden="1" x14ac:dyDescent="0.2">
      <c r="A34" s="604">
        <f>'Datu ievade'!A352</f>
        <v>0</v>
      </c>
      <c r="B34" s="604">
        <f>'Datu ievade'!B352</f>
        <v>0</v>
      </c>
      <c r="C34" s="604">
        <f>'Datu ievade'!C352</f>
        <v>0</v>
      </c>
      <c r="D34" s="604">
        <f>'Datu ievade'!D352</f>
        <v>0</v>
      </c>
      <c r="E34" s="604">
        <f>'Datu ievade'!E352</f>
        <v>0</v>
      </c>
      <c r="F34" s="604">
        <f>'Datu ievade'!F352</f>
        <v>0</v>
      </c>
      <c r="G34" s="604">
        <f>'Datu ievade'!G352</f>
        <v>0</v>
      </c>
      <c r="H34" s="604">
        <f>'Datu ievade'!H352</f>
        <v>0</v>
      </c>
      <c r="I34" s="604">
        <f>'Datu ievade'!I352</f>
        <v>0</v>
      </c>
      <c r="J34" s="604">
        <f>'Datu ievade'!J352</f>
        <v>0</v>
      </c>
      <c r="K34" s="604">
        <f>'Datu ievade'!K352</f>
        <v>0</v>
      </c>
      <c r="L34" s="604">
        <f>'Datu ievade'!L352</f>
        <v>0</v>
      </c>
      <c r="M34" s="604">
        <f>'Datu ievade'!M352</f>
        <v>0</v>
      </c>
      <c r="N34" s="604">
        <f>'Datu ievade'!N352</f>
        <v>0</v>
      </c>
      <c r="O34" s="604">
        <f>'Datu ievade'!O352</f>
        <v>0</v>
      </c>
      <c r="P34" s="604">
        <f>'Datu ievade'!P352</f>
        <v>0</v>
      </c>
      <c r="Q34" s="604">
        <f>'Datu ievade'!Q352</f>
        <v>0</v>
      </c>
      <c r="R34" s="604">
        <f>'Datu ievade'!R352</f>
        <v>0</v>
      </c>
      <c r="S34" s="604">
        <f>'Datu ievade'!S352</f>
        <v>0</v>
      </c>
      <c r="T34" s="604">
        <f>'Datu ievade'!T352</f>
        <v>0</v>
      </c>
      <c r="U34" s="604">
        <f>'Datu ievade'!U352</f>
        <v>0</v>
      </c>
      <c r="V34" s="604">
        <f>'Datu ievade'!V352</f>
        <v>0</v>
      </c>
      <c r="W34" s="604">
        <f>'Datu ievade'!W352</f>
        <v>0</v>
      </c>
      <c r="X34" s="604">
        <f>'Datu ievade'!X352</f>
        <v>0</v>
      </c>
      <c r="Y34" s="604">
        <f>'Datu ievade'!Y352</f>
        <v>0</v>
      </c>
      <c r="Z34" s="604">
        <f>'Datu ievade'!Z352</f>
        <v>0</v>
      </c>
      <c r="AA34" s="604">
        <f>'Datu ievade'!AA352</f>
        <v>0</v>
      </c>
      <c r="AB34" s="604">
        <f>'Datu ievade'!AB352</f>
        <v>0</v>
      </c>
      <c r="AC34" s="604">
        <f>'Datu ievade'!AC352</f>
        <v>0</v>
      </c>
      <c r="AD34" s="604">
        <f>'Datu ievade'!AD352</f>
        <v>0</v>
      </c>
      <c r="AE34" s="604">
        <f>'Datu ievade'!AE352</f>
        <v>0</v>
      </c>
      <c r="AF34" s="604">
        <f>'Datu ievade'!AF352</f>
        <v>0</v>
      </c>
      <c r="AG34" s="604">
        <f>'Datu ievade'!AG352</f>
        <v>0</v>
      </c>
      <c r="AH34" s="604">
        <f>'Datu ievade'!AH352</f>
        <v>0</v>
      </c>
      <c r="AI34" s="604"/>
    </row>
    <row r="35" spans="1:35" ht="12.75" hidden="1" x14ac:dyDescent="0.2">
      <c r="A35" s="604">
        <f>'Datu ievade'!A353</f>
        <v>0</v>
      </c>
      <c r="B35" s="604">
        <f>'Datu ievade'!B353</f>
        <v>0</v>
      </c>
      <c r="C35" s="604">
        <f>'Datu ievade'!C353</f>
        <v>0</v>
      </c>
      <c r="D35" s="604">
        <f>'Datu ievade'!D353</f>
        <v>0</v>
      </c>
      <c r="E35" s="604">
        <f>'Datu ievade'!E353</f>
        <v>0</v>
      </c>
      <c r="F35" s="604">
        <f>'Datu ievade'!F353</f>
        <v>0</v>
      </c>
      <c r="G35" s="604">
        <f>'Datu ievade'!G353</f>
        <v>0</v>
      </c>
      <c r="H35" s="604">
        <f>'Datu ievade'!H353</f>
        <v>0</v>
      </c>
      <c r="I35" s="604">
        <f>'Datu ievade'!I353</f>
        <v>0</v>
      </c>
      <c r="J35" s="604">
        <f>'Datu ievade'!J353</f>
        <v>0</v>
      </c>
      <c r="K35" s="604">
        <f>'Datu ievade'!K353</f>
        <v>0</v>
      </c>
      <c r="L35" s="604">
        <f>'Datu ievade'!L353</f>
        <v>0</v>
      </c>
      <c r="M35" s="604">
        <f>'Datu ievade'!M353</f>
        <v>0</v>
      </c>
      <c r="N35" s="604">
        <f>'Datu ievade'!N353</f>
        <v>0</v>
      </c>
      <c r="O35" s="604">
        <f>'Datu ievade'!O353</f>
        <v>0</v>
      </c>
      <c r="P35" s="604">
        <f>'Datu ievade'!P353</f>
        <v>0</v>
      </c>
      <c r="Q35" s="604">
        <f>'Datu ievade'!Q353</f>
        <v>0</v>
      </c>
      <c r="R35" s="604">
        <f>'Datu ievade'!R353</f>
        <v>0</v>
      </c>
      <c r="S35" s="604">
        <f>'Datu ievade'!S353</f>
        <v>0</v>
      </c>
      <c r="T35" s="604">
        <f>'Datu ievade'!T353</f>
        <v>0</v>
      </c>
      <c r="U35" s="604">
        <f>'Datu ievade'!U353</f>
        <v>0</v>
      </c>
      <c r="V35" s="604">
        <f>'Datu ievade'!V353</f>
        <v>0</v>
      </c>
      <c r="W35" s="604">
        <f>'Datu ievade'!W353</f>
        <v>0</v>
      </c>
      <c r="X35" s="604">
        <f>'Datu ievade'!X353</f>
        <v>0</v>
      </c>
      <c r="Y35" s="604">
        <f>'Datu ievade'!Y353</f>
        <v>0</v>
      </c>
      <c r="Z35" s="604">
        <f>'Datu ievade'!Z353</f>
        <v>0</v>
      </c>
      <c r="AA35" s="604">
        <f>'Datu ievade'!AA353</f>
        <v>0</v>
      </c>
      <c r="AB35" s="604">
        <f>'Datu ievade'!AB353</f>
        <v>0</v>
      </c>
      <c r="AC35" s="604">
        <f>'Datu ievade'!AC353</f>
        <v>0</v>
      </c>
      <c r="AD35" s="604">
        <f>'Datu ievade'!AD353</f>
        <v>0</v>
      </c>
      <c r="AE35" s="604">
        <f>'Datu ievade'!AE353</f>
        <v>0</v>
      </c>
      <c r="AF35" s="604">
        <f>'Datu ievade'!AF353</f>
        <v>0</v>
      </c>
      <c r="AG35" s="604">
        <f>'Datu ievade'!AG353</f>
        <v>0</v>
      </c>
      <c r="AH35" s="604">
        <f>'Datu ievade'!AH353</f>
        <v>0</v>
      </c>
      <c r="AI35" s="604"/>
    </row>
    <row r="36" spans="1:35" ht="12.75" hidden="1" x14ac:dyDescent="0.2">
      <c r="A36" s="604">
        <f>'Datu ievade'!A354</f>
        <v>0</v>
      </c>
      <c r="B36" s="604">
        <f>'Datu ievade'!B354</f>
        <v>0</v>
      </c>
      <c r="C36" s="604">
        <f>'Datu ievade'!C354</f>
        <v>0</v>
      </c>
      <c r="D36" s="604">
        <f>'Datu ievade'!D354</f>
        <v>0</v>
      </c>
      <c r="E36" s="604">
        <f>'Datu ievade'!E354</f>
        <v>0</v>
      </c>
      <c r="F36" s="604">
        <f>'Datu ievade'!F354</f>
        <v>0</v>
      </c>
      <c r="G36" s="604">
        <f>'Datu ievade'!G354</f>
        <v>0</v>
      </c>
      <c r="H36" s="604">
        <f>'Datu ievade'!H354</f>
        <v>0</v>
      </c>
      <c r="I36" s="604">
        <f>'Datu ievade'!I354</f>
        <v>0</v>
      </c>
      <c r="J36" s="604">
        <f>'Datu ievade'!J354</f>
        <v>0</v>
      </c>
      <c r="K36" s="604">
        <f>'Datu ievade'!K354</f>
        <v>0</v>
      </c>
      <c r="L36" s="604">
        <f>'Datu ievade'!L354</f>
        <v>0</v>
      </c>
      <c r="M36" s="604">
        <f>'Datu ievade'!M354</f>
        <v>0</v>
      </c>
      <c r="N36" s="604">
        <f>'Datu ievade'!N354</f>
        <v>0</v>
      </c>
      <c r="O36" s="604">
        <f>'Datu ievade'!O354</f>
        <v>0</v>
      </c>
      <c r="P36" s="604">
        <f>'Datu ievade'!P354</f>
        <v>0</v>
      </c>
      <c r="Q36" s="604">
        <f>'Datu ievade'!Q354</f>
        <v>0</v>
      </c>
      <c r="R36" s="604">
        <f>'Datu ievade'!R354</f>
        <v>0</v>
      </c>
      <c r="S36" s="604">
        <f>'Datu ievade'!S354</f>
        <v>0</v>
      </c>
      <c r="T36" s="604">
        <f>'Datu ievade'!T354</f>
        <v>0</v>
      </c>
      <c r="U36" s="604">
        <f>'Datu ievade'!U354</f>
        <v>0</v>
      </c>
      <c r="V36" s="604">
        <f>'Datu ievade'!V354</f>
        <v>0</v>
      </c>
      <c r="W36" s="604">
        <f>'Datu ievade'!W354</f>
        <v>0</v>
      </c>
      <c r="X36" s="604">
        <f>'Datu ievade'!X354</f>
        <v>0</v>
      </c>
      <c r="Y36" s="604">
        <f>'Datu ievade'!Y354</f>
        <v>0</v>
      </c>
      <c r="Z36" s="604">
        <f>'Datu ievade'!Z354</f>
        <v>0</v>
      </c>
      <c r="AA36" s="604">
        <f>'Datu ievade'!AA354</f>
        <v>0</v>
      </c>
      <c r="AB36" s="604">
        <f>'Datu ievade'!AB354</f>
        <v>0</v>
      </c>
      <c r="AC36" s="604">
        <f>'Datu ievade'!AC354</f>
        <v>0</v>
      </c>
      <c r="AD36" s="604">
        <f>'Datu ievade'!AD354</f>
        <v>0</v>
      </c>
      <c r="AE36" s="604">
        <f>'Datu ievade'!AE354</f>
        <v>0</v>
      </c>
      <c r="AF36" s="604">
        <f>'Datu ievade'!AF354</f>
        <v>0</v>
      </c>
      <c r="AG36" s="604">
        <f>'Datu ievade'!AG354</f>
        <v>0</v>
      </c>
      <c r="AH36" s="604">
        <f>'Datu ievade'!AH354</f>
        <v>0</v>
      </c>
      <c r="AI36" s="604"/>
    </row>
    <row r="37" spans="1:35" ht="12.75" x14ac:dyDescent="0.2">
      <c r="A37" s="481" t="str">
        <f>'Datu ievade'!A355</f>
        <v>Ūdenssaimniecības projekts</v>
      </c>
      <c r="B37" s="610">
        <f>IF(Aprekini!B260+Aprekini!B280&gt;0,Aprekini!B260+Aprekini!B280,0)</f>
        <v>0</v>
      </c>
      <c r="C37" s="610">
        <f>IF(Aprekini!C260+Aprekini!C280&gt;0,Aprekini!C260+Aprekini!C280,0)</f>
        <v>0</v>
      </c>
      <c r="D37" s="610">
        <f>IF(Aprekini!D260+Aprekini!D280&gt;0,Aprekini!D260+Aprekini!D280,0)</f>
        <v>0</v>
      </c>
      <c r="E37" s="610">
        <f>IF(Aprekini!E260+Aprekini!E280&gt;0,Aprekini!E260+Aprekini!E280,0)</f>
        <v>0</v>
      </c>
      <c r="F37" s="610">
        <f>IF(Aprekini!F260+Aprekini!F280&gt;0,Aprekini!F260+Aprekini!F280,0)</f>
        <v>0</v>
      </c>
      <c r="G37" s="610">
        <f>IF(Aprekini!G260+Aprekini!G280&gt;0,Aprekini!G260+Aprekini!G280,0)</f>
        <v>0</v>
      </c>
      <c r="H37" s="610">
        <f>IF(Aprekini!H260+Aprekini!H280&gt;0,Aprekini!H260+Aprekini!H280,0)</f>
        <v>0</v>
      </c>
      <c r="I37" s="610">
        <f>IF(Aprekini!I260+Aprekini!I280&gt;0,Aprekini!I260+Aprekini!I280,0)</f>
        <v>0</v>
      </c>
      <c r="J37" s="610">
        <f>IF(Aprekini!J260+Aprekini!J280&gt;0,Aprekini!J260+Aprekini!J280,0)</f>
        <v>0</v>
      </c>
      <c r="K37" s="610">
        <f>IF(Aprekini!K260+Aprekini!K280&gt;0,Aprekini!K260+Aprekini!K280,0)</f>
        <v>0</v>
      </c>
      <c r="L37" s="610">
        <f>IF(Aprekini!L260+Aprekini!L280&gt;0,Aprekini!L260+Aprekini!L280,0)</f>
        <v>0</v>
      </c>
      <c r="M37" s="610">
        <f>IF(Aprekini!M260+Aprekini!M280&gt;0,Aprekini!M260+Aprekini!M280,0)</f>
        <v>0</v>
      </c>
      <c r="N37" s="610">
        <f>IF(Aprekini!N260+Aprekini!N280&gt;0,Aprekini!N260+Aprekini!N280,0)</f>
        <v>0</v>
      </c>
      <c r="O37" s="610">
        <f>IF(Aprekini!O260+Aprekini!O280&gt;0,Aprekini!O260+Aprekini!O280,0)</f>
        <v>0</v>
      </c>
      <c r="P37" s="610">
        <f>IF(Aprekini!P260+Aprekini!P280&gt;0,Aprekini!P260+Aprekini!P280,0)</f>
        <v>0</v>
      </c>
      <c r="Q37" s="610">
        <f>IF(Aprekini!Q260+Aprekini!Q280&gt;0,Aprekini!Q260+Aprekini!Q280,0)</f>
        <v>0</v>
      </c>
      <c r="R37" s="610">
        <f>IF(Aprekini!R260+Aprekini!R280&gt;0,Aprekini!R260+Aprekini!R280,0)</f>
        <v>0</v>
      </c>
      <c r="S37" s="610">
        <f>IF(Aprekini!S260+Aprekini!S280&gt;0,Aprekini!S260+Aprekini!S280,0)</f>
        <v>0</v>
      </c>
      <c r="T37" s="610">
        <f>IF(Aprekini!T260+Aprekini!T280&gt;0,Aprekini!T260+Aprekini!T280,0)</f>
        <v>0</v>
      </c>
      <c r="U37" s="610">
        <f>IF(Aprekini!U260+Aprekini!U280&gt;0,Aprekini!U260+Aprekini!U280,0)</f>
        <v>0</v>
      </c>
      <c r="V37" s="610">
        <f>IF(Aprekini!V260+Aprekini!V280&gt;0,Aprekini!V260+Aprekini!V280,0)</f>
        <v>0</v>
      </c>
      <c r="W37" s="610">
        <f>IF(Aprekini!W260+Aprekini!W280&gt;0,Aprekini!W260+Aprekini!W280,0)</f>
        <v>0</v>
      </c>
      <c r="X37" s="610">
        <f>IF(Aprekini!X260+Aprekini!X280&gt;0,Aprekini!X260+Aprekini!X280,0)</f>
        <v>0</v>
      </c>
      <c r="Y37" s="610">
        <f>IF(Aprekini!Y260+Aprekini!Y280&gt;0,Aprekini!Y260+Aprekini!Y280,0)</f>
        <v>0</v>
      </c>
      <c r="Z37" s="610">
        <f>IF(Aprekini!Z260+Aprekini!Z280&gt;0,Aprekini!Z260+Aprekini!Z280,0)</f>
        <v>0</v>
      </c>
      <c r="AA37" s="610">
        <f>IF(Aprekini!AA260+Aprekini!AA280&gt;0,Aprekini!AA260+Aprekini!AA280,0)</f>
        <v>0</v>
      </c>
      <c r="AB37" s="610">
        <f>IF(Aprekini!AB260+Aprekini!AB280&gt;0,Aprekini!AB260+Aprekini!AB280,0)</f>
        <v>0</v>
      </c>
      <c r="AC37" s="610">
        <f>IF(Aprekini!AC260+Aprekini!AC280&gt;0,Aprekini!AC260+Aprekini!AC280,0)</f>
        <v>0</v>
      </c>
      <c r="AD37" s="610">
        <f>IF(Aprekini!AD260+Aprekini!AD280&gt;0,Aprekini!AD260+Aprekini!AD280,0)</f>
        <v>0</v>
      </c>
      <c r="AE37" s="610">
        <f>IF(Aprekini!AE260+Aprekini!AE280&gt;0,Aprekini!AE260+Aprekini!AE280,0)</f>
        <v>0</v>
      </c>
      <c r="AF37" s="610">
        <f>IF(Aprekini!AF260+Aprekini!AF280&gt;0,Aprekini!AF260+Aprekini!AF280,0)</f>
        <v>0</v>
      </c>
      <c r="AG37" s="610">
        <f>IF(Aprekini!AG260+Aprekini!AG280&gt;0,Aprekini!AG260+Aprekini!AG280,0)</f>
        <v>0</v>
      </c>
      <c r="AH37" s="610">
        <f>IF(Aprekini!AH260+Aprekini!AH280&gt;0,Aprekini!AH260+Aprekini!AH280,0)</f>
        <v>0</v>
      </c>
      <c r="AI37" s="610"/>
    </row>
    <row r="38" spans="1:35" ht="12.75" x14ac:dyDescent="0.2">
      <c r="A38" s="464" t="s">
        <v>400</v>
      </c>
      <c r="B38" s="611">
        <f t="shared" ref="B38:AG38" si="2">SUM(B21:B37)</f>
        <v>0</v>
      </c>
      <c r="C38" s="611">
        <f t="shared" si="2"/>
        <v>0</v>
      </c>
      <c r="D38" s="611">
        <f t="shared" si="2"/>
        <v>0</v>
      </c>
      <c r="E38" s="611">
        <f t="shared" si="2"/>
        <v>0</v>
      </c>
      <c r="F38" s="611">
        <f t="shared" si="2"/>
        <v>0</v>
      </c>
      <c r="G38" s="611">
        <f t="shared" si="2"/>
        <v>0</v>
      </c>
      <c r="H38" s="611">
        <f t="shared" si="2"/>
        <v>0</v>
      </c>
      <c r="I38" s="611">
        <f t="shared" si="2"/>
        <v>0</v>
      </c>
      <c r="J38" s="611">
        <f t="shared" si="2"/>
        <v>0</v>
      </c>
      <c r="K38" s="611">
        <f t="shared" si="2"/>
        <v>0</v>
      </c>
      <c r="L38" s="611">
        <f t="shared" si="2"/>
        <v>0</v>
      </c>
      <c r="M38" s="611">
        <f t="shared" si="2"/>
        <v>0</v>
      </c>
      <c r="N38" s="611">
        <f t="shared" si="2"/>
        <v>0</v>
      </c>
      <c r="O38" s="611">
        <f t="shared" si="2"/>
        <v>0</v>
      </c>
      <c r="P38" s="611">
        <f t="shared" si="2"/>
        <v>0</v>
      </c>
      <c r="Q38" s="611">
        <f t="shared" si="2"/>
        <v>0</v>
      </c>
      <c r="R38" s="611">
        <f t="shared" si="2"/>
        <v>0</v>
      </c>
      <c r="S38" s="611">
        <f t="shared" si="2"/>
        <v>0</v>
      </c>
      <c r="T38" s="611">
        <f t="shared" si="2"/>
        <v>0</v>
      </c>
      <c r="U38" s="611">
        <f t="shared" si="2"/>
        <v>0</v>
      </c>
      <c r="V38" s="611">
        <f t="shared" si="2"/>
        <v>0</v>
      </c>
      <c r="W38" s="611">
        <f t="shared" si="2"/>
        <v>0</v>
      </c>
      <c r="X38" s="611">
        <f t="shared" si="2"/>
        <v>0</v>
      </c>
      <c r="Y38" s="611">
        <f t="shared" si="2"/>
        <v>0</v>
      </c>
      <c r="Z38" s="611">
        <f t="shared" si="2"/>
        <v>0</v>
      </c>
      <c r="AA38" s="611">
        <f t="shared" si="2"/>
        <v>0</v>
      </c>
      <c r="AB38" s="611">
        <f t="shared" si="2"/>
        <v>0</v>
      </c>
      <c r="AC38" s="611">
        <f t="shared" si="2"/>
        <v>0</v>
      </c>
      <c r="AD38" s="611">
        <f t="shared" si="2"/>
        <v>0</v>
      </c>
      <c r="AE38" s="611">
        <f t="shared" si="2"/>
        <v>0</v>
      </c>
      <c r="AF38" s="611">
        <f t="shared" si="2"/>
        <v>0</v>
      </c>
      <c r="AG38" s="611">
        <f t="shared" si="2"/>
        <v>0</v>
      </c>
      <c r="AH38" s="611">
        <f>SUM(AH21:AH37)</f>
        <v>0</v>
      </c>
      <c r="AI38" s="611"/>
    </row>
    <row r="39" spans="1:35" ht="12" customHeight="1" x14ac:dyDescent="0.2">
      <c r="A39" s="464" t="s">
        <v>401</v>
      </c>
      <c r="B39" s="612"/>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row>
    <row r="40" spans="1:35" ht="12.75" hidden="1" x14ac:dyDescent="0.2">
      <c r="A40" s="433">
        <f>'Datu ievade'!A357</f>
        <v>0</v>
      </c>
      <c r="B40" s="433">
        <f>'Datu ievade'!B357</f>
        <v>0</v>
      </c>
      <c r="C40" s="433">
        <f>'Datu ievade'!C357</f>
        <v>0</v>
      </c>
      <c r="D40" s="433">
        <f>'Datu ievade'!D357</f>
        <v>0</v>
      </c>
      <c r="E40" s="433">
        <f>'Datu ievade'!E357</f>
        <v>0</v>
      </c>
      <c r="F40" s="433">
        <f>'Datu ievade'!F357</f>
        <v>0</v>
      </c>
      <c r="G40" s="433">
        <f>'Datu ievade'!G357</f>
        <v>0</v>
      </c>
      <c r="H40" s="433">
        <f>'Datu ievade'!H357</f>
        <v>0</v>
      </c>
      <c r="I40" s="433">
        <f>'Datu ievade'!I357</f>
        <v>0</v>
      </c>
      <c r="J40" s="433">
        <f>'Datu ievade'!J357</f>
        <v>0</v>
      </c>
      <c r="K40" s="433">
        <f>'Datu ievade'!K357</f>
        <v>0</v>
      </c>
      <c r="L40" s="433">
        <f>'Datu ievade'!L357</f>
        <v>0</v>
      </c>
      <c r="M40" s="433">
        <f>'Datu ievade'!M357</f>
        <v>0</v>
      </c>
      <c r="N40" s="433">
        <f>'Datu ievade'!N357</f>
        <v>0</v>
      </c>
      <c r="O40" s="433">
        <f>'Datu ievade'!O357</f>
        <v>0</v>
      </c>
      <c r="P40" s="433">
        <f>'Datu ievade'!P357</f>
        <v>0</v>
      </c>
      <c r="Q40" s="433">
        <f>'Datu ievade'!Q357</f>
        <v>0</v>
      </c>
      <c r="R40" s="433">
        <f>'Datu ievade'!R357</f>
        <v>0</v>
      </c>
      <c r="S40" s="433">
        <f>'Datu ievade'!S357</f>
        <v>0</v>
      </c>
      <c r="T40" s="433">
        <f>'Datu ievade'!T357</f>
        <v>0</v>
      </c>
      <c r="U40" s="433">
        <f>'Datu ievade'!U357</f>
        <v>0</v>
      </c>
      <c r="V40" s="433">
        <f>'Datu ievade'!V357</f>
        <v>0</v>
      </c>
      <c r="W40" s="433">
        <f>'Datu ievade'!W357</f>
        <v>0</v>
      </c>
      <c r="X40" s="433">
        <f>'Datu ievade'!X357</f>
        <v>0</v>
      </c>
      <c r="Y40" s="433">
        <f>'Datu ievade'!Y357</f>
        <v>0</v>
      </c>
      <c r="Z40" s="433">
        <f>'Datu ievade'!Z357</f>
        <v>0</v>
      </c>
      <c r="AA40" s="433">
        <f>'Datu ievade'!AA357</f>
        <v>0</v>
      </c>
      <c r="AB40" s="433">
        <f>'Datu ievade'!AB357</f>
        <v>0</v>
      </c>
      <c r="AC40" s="433">
        <f>'Datu ievade'!AC357</f>
        <v>0</v>
      </c>
      <c r="AD40" s="433">
        <f>'Datu ievade'!AD357</f>
        <v>0</v>
      </c>
      <c r="AE40" s="433">
        <f>'Datu ievade'!AE357</f>
        <v>0</v>
      </c>
      <c r="AF40" s="433">
        <f>'Datu ievade'!AF357</f>
        <v>0</v>
      </c>
      <c r="AG40" s="433">
        <f>'Datu ievade'!AG357</f>
        <v>0</v>
      </c>
      <c r="AH40" s="433">
        <f>'Datu ievade'!AH357</f>
        <v>0</v>
      </c>
      <c r="AI40" s="433"/>
    </row>
    <row r="41" spans="1:35" ht="12.75" hidden="1" x14ac:dyDescent="0.2">
      <c r="A41" s="433">
        <f>'Datu ievade'!A358</f>
        <v>0</v>
      </c>
      <c r="B41" s="433">
        <f>'Datu ievade'!B358</f>
        <v>0</v>
      </c>
      <c r="C41" s="433">
        <f>'Datu ievade'!C358</f>
        <v>0</v>
      </c>
      <c r="D41" s="433">
        <f>'Datu ievade'!D358</f>
        <v>0</v>
      </c>
      <c r="E41" s="433">
        <f>'Datu ievade'!E358</f>
        <v>0</v>
      </c>
      <c r="F41" s="433">
        <f>'Datu ievade'!F358</f>
        <v>0</v>
      </c>
      <c r="G41" s="433">
        <f>'Datu ievade'!G358</f>
        <v>0</v>
      </c>
      <c r="H41" s="433">
        <f>'Datu ievade'!H358</f>
        <v>0</v>
      </c>
      <c r="I41" s="433">
        <f>'Datu ievade'!I358</f>
        <v>0</v>
      </c>
      <c r="J41" s="433">
        <f>'Datu ievade'!J358</f>
        <v>0</v>
      </c>
      <c r="K41" s="433">
        <f>'Datu ievade'!K358</f>
        <v>0</v>
      </c>
      <c r="L41" s="433">
        <f>'Datu ievade'!L358</f>
        <v>0</v>
      </c>
      <c r="M41" s="433">
        <f>'Datu ievade'!M358</f>
        <v>0</v>
      </c>
      <c r="N41" s="433">
        <f>'Datu ievade'!N358</f>
        <v>0</v>
      </c>
      <c r="O41" s="433">
        <f>'Datu ievade'!O358</f>
        <v>0</v>
      </c>
      <c r="P41" s="433">
        <f>'Datu ievade'!P358</f>
        <v>0</v>
      </c>
      <c r="Q41" s="433">
        <f>'Datu ievade'!Q358</f>
        <v>0</v>
      </c>
      <c r="R41" s="433">
        <f>'Datu ievade'!R358</f>
        <v>0</v>
      </c>
      <c r="S41" s="433">
        <f>'Datu ievade'!S358</f>
        <v>0</v>
      </c>
      <c r="T41" s="433">
        <f>'Datu ievade'!T358</f>
        <v>0</v>
      </c>
      <c r="U41" s="433">
        <f>'Datu ievade'!U358</f>
        <v>0</v>
      </c>
      <c r="V41" s="433">
        <f>'Datu ievade'!V358</f>
        <v>0</v>
      </c>
      <c r="W41" s="433">
        <f>'Datu ievade'!W358</f>
        <v>0</v>
      </c>
      <c r="X41" s="433">
        <f>'Datu ievade'!X358</f>
        <v>0</v>
      </c>
      <c r="Y41" s="433">
        <f>'Datu ievade'!Y358</f>
        <v>0</v>
      </c>
      <c r="Z41" s="433">
        <f>'Datu ievade'!Z358</f>
        <v>0</v>
      </c>
      <c r="AA41" s="433">
        <f>'Datu ievade'!AA358</f>
        <v>0</v>
      </c>
      <c r="AB41" s="433">
        <f>'Datu ievade'!AB358</f>
        <v>0</v>
      </c>
      <c r="AC41" s="433">
        <f>'Datu ievade'!AC358</f>
        <v>0</v>
      </c>
      <c r="AD41" s="433">
        <f>'Datu ievade'!AD358</f>
        <v>0</v>
      </c>
      <c r="AE41" s="433">
        <f>'Datu ievade'!AE358</f>
        <v>0</v>
      </c>
      <c r="AF41" s="433">
        <f>'Datu ievade'!AF358</f>
        <v>0</v>
      </c>
      <c r="AG41" s="433">
        <f>'Datu ievade'!AG358</f>
        <v>0</v>
      </c>
      <c r="AH41" s="433">
        <f>'Datu ievade'!AH358</f>
        <v>0</v>
      </c>
      <c r="AI41" s="433"/>
    </row>
    <row r="42" spans="1:35" ht="12.75" hidden="1" x14ac:dyDescent="0.2">
      <c r="A42" s="433">
        <f>'Datu ievade'!A359</f>
        <v>0</v>
      </c>
      <c r="B42" s="433">
        <f>'Datu ievade'!B359</f>
        <v>0</v>
      </c>
      <c r="C42" s="433">
        <f>'Datu ievade'!C359</f>
        <v>0</v>
      </c>
      <c r="D42" s="433">
        <f>'Datu ievade'!D359</f>
        <v>0</v>
      </c>
      <c r="E42" s="433">
        <f>'Datu ievade'!E359</f>
        <v>0</v>
      </c>
      <c r="F42" s="433">
        <f>'Datu ievade'!F359</f>
        <v>0</v>
      </c>
      <c r="G42" s="433">
        <f>'Datu ievade'!G359</f>
        <v>0</v>
      </c>
      <c r="H42" s="433">
        <f>'Datu ievade'!H359</f>
        <v>0</v>
      </c>
      <c r="I42" s="433">
        <f>'Datu ievade'!I359</f>
        <v>0</v>
      </c>
      <c r="J42" s="433">
        <f>'Datu ievade'!J359</f>
        <v>0</v>
      </c>
      <c r="K42" s="433">
        <f>'Datu ievade'!K359</f>
        <v>0</v>
      </c>
      <c r="L42" s="433">
        <f>'Datu ievade'!L359</f>
        <v>0</v>
      </c>
      <c r="M42" s="433">
        <f>'Datu ievade'!M359</f>
        <v>0</v>
      </c>
      <c r="N42" s="433">
        <f>'Datu ievade'!N359</f>
        <v>0</v>
      </c>
      <c r="O42" s="433">
        <f>'Datu ievade'!O359</f>
        <v>0</v>
      </c>
      <c r="P42" s="433">
        <f>'Datu ievade'!P359</f>
        <v>0</v>
      </c>
      <c r="Q42" s="433">
        <f>'Datu ievade'!Q359</f>
        <v>0</v>
      </c>
      <c r="R42" s="433">
        <f>'Datu ievade'!R359</f>
        <v>0</v>
      </c>
      <c r="S42" s="433">
        <f>'Datu ievade'!S359</f>
        <v>0</v>
      </c>
      <c r="T42" s="433">
        <f>'Datu ievade'!T359</f>
        <v>0</v>
      </c>
      <c r="U42" s="433">
        <f>'Datu ievade'!U359</f>
        <v>0</v>
      </c>
      <c r="V42" s="433">
        <f>'Datu ievade'!V359</f>
        <v>0</v>
      </c>
      <c r="W42" s="433">
        <f>'Datu ievade'!W359</f>
        <v>0</v>
      </c>
      <c r="X42" s="433">
        <f>'Datu ievade'!X359</f>
        <v>0</v>
      </c>
      <c r="Y42" s="433">
        <f>'Datu ievade'!Y359</f>
        <v>0</v>
      </c>
      <c r="Z42" s="433">
        <f>'Datu ievade'!Z359</f>
        <v>0</v>
      </c>
      <c r="AA42" s="433">
        <f>'Datu ievade'!AA359</f>
        <v>0</v>
      </c>
      <c r="AB42" s="433">
        <f>'Datu ievade'!AB359</f>
        <v>0</v>
      </c>
      <c r="AC42" s="433">
        <f>'Datu ievade'!AC359</f>
        <v>0</v>
      </c>
      <c r="AD42" s="433">
        <f>'Datu ievade'!AD359</f>
        <v>0</v>
      </c>
      <c r="AE42" s="433">
        <f>'Datu ievade'!AE359</f>
        <v>0</v>
      </c>
      <c r="AF42" s="433">
        <f>'Datu ievade'!AF359</f>
        <v>0</v>
      </c>
      <c r="AG42" s="433">
        <f>'Datu ievade'!AG359</f>
        <v>0</v>
      </c>
      <c r="AH42" s="433">
        <f>'Datu ievade'!AH359</f>
        <v>0</v>
      </c>
      <c r="AI42" s="433"/>
    </row>
    <row r="43" spans="1:35" ht="12.75" x14ac:dyDescent="0.2">
      <c r="A43" s="464" t="s">
        <v>403</v>
      </c>
      <c r="B43" s="611">
        <f t="shared" ref="B43:AG43" si="3">SUM(B40:B42)</f>
        <v>0</v>
      </c>
      <c r="C43" s="611">
        <f t="shared" si="3"/>
        <v>0</v>
      </c>
      <c r="D43" s="611">
        <f t="shared" si="3"/>
        <v>0</v>
      </c>
      <c r="E43" s="611">
        <f t="shared" si="3"/>
        <v>0</v>
      </c>
      <c r="F43" s="611">
        <f t="shared" si="3"/>
        <v>0</v>
      </c>
      <c r="G43" s="611">
        <f t="shared" si="3"/>
        <v>0</v>
      </c>
      <c r="H43" s="611">
        <f t="shared" si="3"/>
        <v>0</v>
      </c>
      <c r="I43" s="611">
        <f t="shared" si="3"/>
        <v>0</v>
      </c>
      <c r="J43" s="611">
        <f t="shared" si="3"/>
        <v>0</v>
      </c>
      <c r="K43" s="611">
        <f t="shared" si="3"/>
        <v>0</v>
      </c>
      <c r="L43" s="611">
        <f t="shared" si="3"/>
        <v>0</v>
      </c>
      <c r="M43" s="611">
        <f t="shared" si="3"/>
        <v>0</v>
      </c>
      <c r="N43" s="611">
        <f t="shared" si="3"/>
        <v>0</v>
      </c>
      <c r="O43" s="611">
        <f t="shared" si="3"/>
        <v>0</v>
      </c>
      <c r="P43" s="611">
        <f t="shared" si="3"/>
        <v>0</v>
      </c>
      <c r="Q43" s="611">
        <f t="shared" si="3"/>
        <v>0</v>
      </c>
      <c r="R43" s="611">
        <f t="shared" si="3"/>
        <v>0</v>
      </c>
      <c r="S43" s="611">
        <f t="shared" si="3"/>
        <v>0</v>
      </c>
      <c r="T43" s="611">
        <f t="shared" si="3"/>
        <v>0</v>
      </c>
      <c r="U43" s="611">
        <f t="shared" si="3"/>
        <v>0</v>
      </c>
      <c r="V43" s="611">
        <f t="shared" si="3"/>
        <v>0</v>
      </c>
      <c r="W43" s="611">
        <f t="shared" si="3"/>
        <v>0</v>
      </c>
      <c r="X43" s="611">
        <f t="shared" si="3"/>
        <v>0</v>
      </c>
      <c r="Y43" s="611">
        <f t="shared" si="3"/>
        <v>0</v>
      </c>
      <c r="Z43" s="611">
        <f t="shared" si="3"/>
        <v>0</v>
      </c>
      <c r="AA43" s="611">
        <f t="shared" si="3"/>
        <v>0</v>
      </c>
      <c r="AB43" s="611">
        <f t="shared" si="3"/>
        <v>0</v>
      </c>
      <c r="AC43" s="611">
        <f t="shared" si="3"/>
        <v>0</v>
      </c>
      <c r="AD43" s="611">
        <f t="shared" si="3"/>
        <v>0</v>
      </c>
      <c r="AE43" s="611">
        <f t="shared" si="3"/>
        <v>0</v>
      </c>
      <c r="AF43" s="611">
        <f t="shared" si="3"/>
        <v>0</v>
      </c>
      <c r="AG43" s="611">
        <f t="shared" si="3"/>
        <v>0</v>
      </c>
      <c r="AH43" s="611">
        <f>SUM(AH40:AH42)</f>
        <v>0</v>
      </c>
      <c r="AI43" s="611"/>
    </row>
    <row r="44" spans="1:35" ht="12.75" x14ac:dyDescent="0.2">
      <c r="A44" s="464" t="s">
        <v>521</v>
      </c>
      <c r="B44" s="611">
        <f>'Datu ievade'!B323</f>
        <v>0</v>
      </c>
      <c r="C44" s="611">
        <f>'Datu ievade'!C323</f>
        <v>0</v>
      </c>
      <c r="D44" s="611">
        <f>'Datu ievade'!D323</f>
        <v>0</v>
      </c>
      <c r="E44" s="611">
        <f>'Datu ievade'!E323</f>
        <v>0</v>
      </c>
      <c r="F44" s="611">
        <f>'Datu ievade'!F323</f>
        <v>0</v>
      </c>
      <c r="G44" s="611">
        <f>'Datu ievade'!G323</f>
        <v>0</v>
      </c>
      <c r="H44" s="611">
        <f>'Datu ievade'!H323</f>
        <v>0</v>
      </c>
      <c r="I44" s="611">
        <f>'Datu ievade'!I323</f>
        <v>0</v>
      </c>
      <c r="J44" s="611">
        <f>'Datu ievade'!J323</f>
        <v>0</v>
      </c>
      <c r="K44" s="611">
        <f>'Datu ievade'!K323</f>
        <v>0</v>
      </c>
      <c r="L44" s="611">
        <f>'Datu ievade'!L323</f>
        <v>0</v>
      </c>
      <c r="M44" s="611">
        <f>'Datu ievade'!M323</f>
        <v>0</v>
      </c>
      <c r="N44" s="611">
        <f>'Datu ievade'!N323</f>
        <v>0</v>
      </c>
      <c r="O44" s="611">
        <f>'Datu ievade'!O323</f>
        <v>0</v>
      </c>
      <c r="P44" s="611">
        <f>'Datu ievade'!P323</f>
        <v>0</v>
      </c>
      <c r="Q44" s="611">
        <f>'Datu ievade'!Q323</f>
        <v>0</v>
      </c>
      <c r="R44" s="611">
        <f>'Datu ievade'!R323</f>
        <v>0</v>
      </c>
      <c r="S44" s="611">
        <f>'Datu ievade'!S323</f>
        <v>0</v>
      </c>
      <c r="T44" s="611">
        <f>'Datu ievade'!T323</f>
        <v>0</v>
      </c>
      <c r="U44" s="611">
        <f>'Datu ievade'!U323</f>
        <v>0</v>
      </c>
      <c r="V44" s="611">
        <f>'Datu ievade'!V323</f>
        <v>0</v>
      </c>
      <c r="W44" s="611">
        <f>'Datu ievade'!W323</f>
        <v>0</v>
      </c>
      <c r="X44" s="611">
        <f>'Datu ievade'!X323</f>
        <v>0</v>
      </c>
      <c r="Y44" s="611">
        <f>'Datu ievade'!Y323</f>
        <v>0</v>
      </c>
      <c r="Z44" s="611">
        <f>'Datu ievade'!Z323</f>
        <v>0</v>
      </c>
      <c r="AA44" s="611">
        <f>'Datu ievade'!AA323</f>
        <v>0</v>
      </c>
      <c r="AB44" s="611">
        <f>'Datu ievade'!AB323</f>
        <v>0</v>
      </c>
      <c r="AC44" s="611">
        <f>'Datu ievade'!AC323</f>
        <v>0</v>
      </c>
      <c r="AD44" s="611">
        <f>'Datu ievade'!AD323</f>
        <v>0</v>
      </c>
      <c r="AE44" s="611">
        <f>'Datu ievade'!AE323</f>
        <v>0</v>
      </c>
      <c r="AF44" s="611">
        <f>'Datu ievade'!AF323</f>
        <v>0</v>
      </c>
      <c r="AG44" s="611">
        <f>'Datu ievade'!AG323</f>
        <v>0</v>
      </c>
      <c r="AH44" s="611">
        <f>'Datu ievade'!AH323</f>
        <v>0</v>
      </c>
      <c r="AI44" s="611">
        <f>'Datu ievade'!AI323</f>
        <v>0</v>
      </c>
    </row>
    <row r="45" spans="1:35" ht="12.75" x14ac:dyDescent="0.2">
      <c r="A45" s="464" t="s">
        <v>402</v>
      </c>
      <c r="B45" s="611">
        <f>SUM(B19,B38,B43,B44)</f>
        <v>333620</v>
      </c>
      <c r="C45" s="611">
        <f t="shared" ref="C45:AH45" si="4">SUM(C19,C38,C43,C44)</f>
        <v>503539</v>
      </c>
      <c r="D45" s="611">
        <f t="shared" ca="1" si="4"/>
        <v>561041</v>
      </c>
      <c r="E45" s="611">
        <f t="shared" ca="1" si="4"/>
        <v>499599</v>
      </c>
      <c r="F45" s="611">
        <f t="shared" ca="1" si="4"/>
        <v>417094</v>
      </c>
      <c r="G45" s="611">
        <f t="shared" ca="1" si="4"/>
        <v>397245</v>
      </c>
      <c r="H45" s="611">
        <f t="shared" ca="1" si="4"/>
        <v>387394</v>
      </c>
      <c r="I45" s="611">
        <f t="shared" ca="1" si="4"/>
        <v>366596</v>
      </c>
      <c r="J45" s="611">
        <f t="shared" ca="1" si="4"/>
        <v>294705</v>
      </c>
      <c r="K45" s="611">
        <f t="shared" ca="1" si="4"/>
        <v>154102</v>
      </c>
      <c r="L45" s="611">
        <f t="shared" ca="1" si="4"/>
        <v>18569</v>
      </c>
      <c r="M45" s="611">
        <f t="shared" ca="1" si="4"/>
        <v>0</v>
      </c>
      <c r="N45" s="611">
        <f t="shared" ca="1" si="4"/>
        <v>0</v>
      </c>
      <c r="O45" s="611">
        <f t="shared" ca="1" si="4"/>
        <v>0</v>
      </c>
      <c r="P45" s="611">
        <f t="shared" ca="1" si="4"/>
        <v>0</v>
      </c>
      <c r="Q45" s="611">
        <f t="shared" ca="1" si="4"/>
        <v>0</v>
      </c>
      <c r="R45" s="611">
        <f t="shared" ca="1" si="4"/>
        <v>0</v>
      </c>
      <c r="S45" s="611">
        <f t="shared" ca="1" si="4"/>
        <v>0</v>
      </c>
      <c r="T45" s="611">
        <f t="shared" ca="1" si="4"/>
        <v>0</v>
      </c>
      <c r="U45" s="611">
        <f t="shared" ca="1" si="4"/>
        <v>0</v>
      </c>
      <c r="V45" s="611">
        <f t="shared" ca="1" si="4"/>
        <v>0</v>
      </c>
      <c r="W45" s="611">
        <f t="shared" ca="1" si="4"/>
        <v>0</v>
      </c>
      <c r="X45" s="611">
        <f t="shared" ca="1" si="4"/>
        <v>0</v>
      </c>
      <c r="Y45" s="611">
        <f t="shared" ca="1" si="4"/>
        <v>0</v>
      </c>
      <c r="Z45" s="611">
        <f t="shared" ca="1" si="4"/>
        <v>0</v>
      </c>
      <c r="AA45" s="611">
        <f t="shared" ca="1" si="4"/>
        <v>0</v>
      </c>
      <c r="AB45" s="611">
        <f t="shared" ca="1" si="4"/>
        <v>0</v>
      </c>
      <c r="AC45" s="611">
        <f t="shared" ca="1" si="4"/>
        <v>0</v>
      </c>
      <c r="AD45" s="611">
        <f t="shared" ca="1" si="4"/>
        <v>0</v>
      </c>
      <c r="AE45" s="611">
        <f t="shared" ca="1" si="4"/>
        <v>0</v>
      </c>
      <c r="AF45" s="611">
        <f t="shared" ca="1" si="4"/>
        <v>0</v>
      </c>
      <c r="AG45" s="611">
        <f t="shared" ca="1" si="4"/>
        <v>0</v>
      </c>
      <c r="AH45" s="611">
        <f t="shared" ca="1" si="4"/>
        <v>0</v>
      </c>
      <c r="AI45" s="611"/>
    </row>
    <row r="46" spans="1:35" ht="12.75" x14ac:dyDescent="0.2">
      <c r="A46" s="464" t="s">
        <v>404</v>
      </c>
      <c r="B46" s="611">
        <f>'Datu ievade'!B361</f>
        <v>4500000</v>
      </c>
      <c r="C46" s="611">
        <f>'Datu ievade'!C361</f>
        <v>4500000</v>
      </c>
      <c r="D46" s="611">
        <f>'Datu ievade'!D361</f>
        <v>4500000</v>
      </c>
      <c r="E46" s="611">
        <f>'Datu ievade'!E361</f>
        <v>4500000</v>
      </c>
      <c r="F46" s="611">
        <f>'Datu ievade'!F361</f>
        <v>4500000</v>
      </c>
      <c r="G46" s="611">
        <f>F46</f>
        <v>4500000</v>
      </c>
      <c r="H46" s="611">
        <f t="shared" ref="H46:AG46" si="5">G46</f>
        <v>4500000</v>
      </c>
      <c r="I46" s="611">
        <f t="shared" si="5"/>
        <v>4500000</v>
      </c>
      <c r="J46" s="611">
        <f t="shared" si="5"/>
        <v>4500000</v>
      </c>
      <c r="K46" s="611">
        <f t="shared" si="5"/>
        <v>4500000</v>
      </c>
      <c r="L46" s="611">
        <f t="shared" si="5"/>
        <v>4500000</v>
      </c>
      <c r="M46" s="611">
        <f t="shared" si="5"/>
        <v>4500000</v>
      </c>
      <c r="N46" s="611">
        <f t="shared" si="5"/>
        <v>4500000</v>
      </c>
      <c r="O46" s="611">
        <f t="shared" si="5"/>
        <v>4500000</v>
      </c>
      <c r="P46" s="611">
        <f t="shared" si="5"/>
        <v>4500000</v>
      </c>
      <c r="Q46" s="611">
        <f t="shared" si="5"/>
        <v>4500000</v>
      </c>
      <c r="R46" s="611">
        <f t="shared" si="5"/>
        <v>4500000</v>
      </c>
      <c r="S46" s="611">
        <f t="shared" si="5"/>
        <v>4500000</v>
      </c>
      <c r="T46" s="611">
        <f t="shared" si="5"/>
        <v>4500000</v>
      </c>
      <c r="U46" s="611">
        <f t="shared" si="5"/>
        <v>4500000</v>
      </c>
      <c r="V46" s="611">
        <f t="shared" si="5"/>
        <v>4500000</v>
      </c>
      <c r="W46" s="611">
        <f t="shared" si="5"/>
        <v>4500000</v>
      </c>
      <c r="X46" s="611">
        <f t="shared" si="5"/>
        <v>4500000</v>
      </c>
      <c r="Y46" s="611">
        <f t="shared" si="5"/>
        <v>4500000</v>
      </c>
      <c r="Z46" s="611">
        <f t="shared" si="5"/>
        <v>4500000</v>
      </c>
      <c r="AA46" s="611">
        <f t="shared" si="5"/>
        <v>4500000</v>
      </c>
      <c r="AB46" s="611">
        <f t="shared" si="5"/>
        <v>4500000</v>
      </c>
      <c r="AC46" s="611">
        <f t="shared" si="5"/>
        <v>4500000</v>
      </c>
      <c r="AD46" s="611">
        <f t="shared" si="5"/>
        <v>4500000</v>
      </c>
      <c r="AE46" s="611">
        <f t="shared" si="5"/>
        <v>4500000</v>
      </c>
      <c r="AF46" s="611">
        <f t="shared" si="5"/>
        <v>4500000</v>
      </c>
      <c r="AG46" s="611">
        <f t="shared" si="5"/>
        <v>4500000</v>
      </c>
      <c r="AH46" s="611">
        <f>AG46</f>
        <v>4500000</v>
      </c>
      <c r="AI46" s="611"/>
    </row>
    <row r="47" spans="1:35" ht="12.75" x14ac:dyDescent="0.2">
      <c r="A47" s="613" t="s">
        <v>405</v>
      </c>
      <c r="B47" s="614">
        <f t="shared" ref="B47:AG47" si="6">IF(B46=0,"Nav pašu ieņēmumu",B45/B46)</f>
        <v>7.4137777777777775E-2</v>
      </c>
      <c r="C47" s="614">
        <f t="shared" si="6"/>
        <v>0.11189755555555556</v>
      </c>
      <c r="D47" s="614">
        <f t="shared" ca="1" si="6"/>
        <v>0.12467577777777777</v>
      </c>
      <c r="E47" s="614">
        <f t="shared" ca="1" si="6"/>
        <v>0.111022</v>
      </c>
      <c r="F47" s="614">
        <f t="shared" ca="1" si="6"/>
        <v>9.2687555555555551E-2</v>
      </c>
      <c r="G47" s="614">
        <f t="shared" ca="1" si="6"/>
        <v>8.827666666666667E-2</v>
      </c>
      <c r="H47" s="614">
        <f t="shared" ca="1" si="6"/>
        <v>8.6087555555555556E-2</v>
      </c>
      <c r="I47" s="614">
        <f t="shared" ca="1" si="6"/>
        <v>8.1465777777777776E-2</v>
      </c>
      <c r="J47" s="614">
        <f t="shared" ca="1" si="6"/>
        <v>6.5490000000000007E-2</v>
      </c>
      <c r="K47" s="614">
        <f t="shared" ca="1" si="6"/>
        <v>3.4244888888888887E-2</v>
      </c>
      <c r="L47" s="614">
        <f t="shared" ca="1" si="6"/>
        <v>4.1264444444444447E-3</v>
      </c>
      <c r="M47" s="614">
        <f t="shared" ca="1" si="6"/>
        <v>0</v>
      </c>
      <c r="N47" s="614">
        <f t="shared" ca="1" si="6"/>
        <v>0</v>
      </c>
      <c r="O47" s="614">
        <f t="shared" ca="1" si="6"/>
        <v>0</v>
      </c>
      <c r="P47" s="614">
        <f t="shared" ca="1" si="6"/>
        <v>0</v>
      </c>
      <c r="Q47" s="614">
        <f t="shared" ca="1" si="6"/>
        <v>0</v>
      </c>
      <c r="R47" s="614">
        <f t="shared" ca="1" si="6"/>
        <v>0</v>
      </c>
      <c r="S47" s="614">
        <f t="shared" ca="1" si="6"/>
        <v>0</v>
      </c>
      <c r="T47" s="614">
        <f t="shared" ca="1" si="6"/>
        <v>0</v>
      </c>
      <c r="U47" s="614">
        <f t="shared" ca="1" si="6"/>
        <v>0</v>
      </c>
      <c r="V47" s="614">
        <f t="shared" ca="1" si="6"/>
        <v>0</v>
      </c>
      <c r="W47" s="614">
        <f t="shared" ca="1" si="6"/>
        <v>0</v>
      </c>
      <c r="X47" s="614">
        <f t="shared" ca="1" si="6"/>
        <v>0</v>
      </c>
      <c r="Y47" s="614">
        <f t="shared" ca="1" si="6"/>
        <v>0</v>
      </c>
      <c r="Z47" s="614">
        <f t="shared" ca="1" si="6"/>
        <v>0</v>
      </c>
      <c r="AA47" s="614">
        <f t="shared" ca="1" si="6"/>
        <v>0</v>
      </c>
      <c r="AB47" s="614">
        <f t="shared" ca="1" si="6"/>
        <v>0</v>
      </c>
      <c r="AC47" s="614">
        <f t="shared" ca="1" si="6"/>
        <v>0</v>
      </c>
      <c r="AD47" s="614">
        <f t="shared" ca="1" si="6"/>
        <v>0</v>
      </c>
      <c r="AE47" s="614">
        <f t="shared" ca="1" si="6"/>
        <v>0</v>
      </c>
      <c r="AF47" s="614">
        <f t="shared" ca="1" si="6"/>
        <v>0</v>
      </c>
      <c r="AG47" s="614">
        <f t="shared" ca="1" si="6"/>
        <v>0</v>
      </c>
      <c r="AH47" s="614">
        <f ca="1">IF(AH46=0,"Nav pašu ieņēmumu",AH45/AH46)</f>
        <v>0</v>
      </c>
      <c r="AI47" s="614"/>
    </row>
    <row r="48" spans="1:35" s="419" customFormat="1" ht="12.75" x14ac:dyDescent="0.2"/>
    <row r="49" spans="1:36" s="575" customFormat="1" x14ac:dyDescent="0.2"/>
    <row r="50" spans="1:36" s="575" customFormat="1" x14ac:dyDescent="0.2"/>
    <row r="51" spans="1:36" s="575" customFormat="1" ht="18" x14ac:dyDescent="0.2">
      <c r="A51" s="615"/>
    </row>
    <row r="52" spans="1:36" s="575" customFormat="1" ht="15" customHeight="1" x14ac:dyDescent="0.2">
      <c r="A52" s="615"/>
      <c r="B52" s="616"/>
      <c r="C52" s="616"/>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row>
    <row r="53" spans="1:36" s="575" customFormat="1" ht="12.75" x14ac:dyDescent="0.2">
      <c r="A53" s="63"/>
    </row>
    <row r="54" spans="1:36" s="575" customFormat="1" ht="12.75" x14ac:dyDescent="0.2">
      <c r="A54" s="617"/>
      <c r="B54" s="617"/>
      <c r="C54" s="617"/>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8"/>
    </row>
    <row r="55" spans="1:36" s="575" customFormat="1" ht="12.75" x14ac:dyDescent="0.2">
      <c r="A55" s="617"/>
      <c r="B55" s="617"/>
      <c r="C55" s="617"/>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8"/>
    </row>
    <row r="56" spans="1:36" s="575" customFormat="1" ht="12.75" x14ac:dyDescent="0.2">
      <c r="A56" s="617"/>
      <c r="B56" s="617"/>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8"/>
    </row>
    <row r="57" spans="1:36" s="575" customFormat="1" ht="12.75" x14ac:dyDescent="0.2">
      <c r="A57" s="617"/>
      <c r="B57" s="617"/>
      <c r="C57" s="617"/>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8"/>
    </row>
    <row r="58" spans="1:36" s="575" customFormat="1" ht="12.75" x14ac:dyDescent="0.2">
      <c r="A58" s="617"/>
      <c r="B58" s="617"/>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8"/>
    </row>
    <row r="59" spans="1:36" s="575" customFormat="1" ht="12.75" x14ac:dyDescent="0.2">
      <c r="A59" s="617"/>
      <c r="B59" s="617"/>
      <c r="C59" s="617"/>
      <c r="D59" s="617"/>
      <c r="E59" s="617"/>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8"/>
    </row>
    <row r="60" spans="1:36" s="575" customFormat="1" ht="12.75" x14ac:dyDescent="0.2">
      <c r="A60" s="617"/>
      <c r="B60" s="617"/>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8"/>
    </row>
    <row r="61" spans="1:36" s="575" customFormat="1" ht="12.75" x14ac:dyDescent="0.2">
      <c r="A61" s="617"/>
      <c r="B61" s="617"/>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8"/>
    </row>
    <row r="62" spans="1:36" s="575" customFormat="1" ht="12.75" x14ac:dyDescent="0.2">
      <c r="A62" s="617"/>
      <c r="B62" s="617"/>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8"/>
    </row>
    <row r="63" spans="1:36" s="575" customFormat="1" ht="12.75" x14ac:dyDescent="0.2">
      <c r="A63" s="617"/>
      <c r="B63" s="617"/>
      <c r="C63" s="617"/>
      <c r="D63" s="617"/>
      <c r="E63" s="617"/>
      <c r="F63" s="617"/>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8"/>
    </row>
    <row r="64" spans="1:36" s="575" customFormat="1" ht="12.75" x14ac:dyDescent="0.2">
      <c r="A64" s="619"/>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8"/>
    </row>
    <row r="65" spans="1:36" s="575" customFormat="1" ht="12.75" x14ac:dyDescent="0.2">
      <c r="A65" s="619"/>
      <c r="B65" s="619"/>
      <c r="C65" s="619"/>
      <c r="D65" s="619"/>
      <c r="E65" s="619"/>
      <c r="F65" s="619"/>
      <c r="G65" s="619"/>
      <c r="H65" s="619"/>
      <c r="I65" s="619"/>
      <c r="J65" s="619"/>
      <c r="K65" s="619"/>
      <c r="L65" s="619"/>
      <c r="M65" s="619"/>
      <c r="N65" s="619"/>
      <c r="O65" s="619"/>
      <c r="P65" s="619"/>
      <c r="Q65" s="619"/>
      <c r="R65" s="619"/>
      <c r="S65" s="619"/>
      <c r="T65" s="619"/>
      <c r="U65" s="619"/>
      <c r="V65" s="619"/>
      <c r="W65" s="619"/>
      <c r="X65" s="619"/>
      <c r="Y65" s="619"/>
      <c r="Z65" s="619"/>
      <c r="AA65" s="619"/>
      <c r="AB65" s="619"/>
      <c r="AC65" s="619"/>
      <c r="AD65" s="619"/>
      <c r="AE65" s="619"/>
      <c r="AF65" s="619"/>
      <c r="AG65" s="619"/>
      <c r="AH65" s="619"/>
      <c r="AI65" s="619"/>
      <c r="AJ65" s="618"/>
    </row>
    <row r="66" spans="1:36" s="575" customFormat="1" ht="12.75" x14ac:dyDescent="0.2">
      <c r="A66" s="63"/>
      <c r="B66" s="620"/>
      <c r="C66" s="620"/>
      <c r="D66" s="620"/>
      <c r="E66" s="620"/>
      <c r="F66" s="620"/>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69"/>
    </row>
    <row r="67" spans="1:36" s="575" customFormat="1" ht="12.75" x14ac:dyDescent="0.2">
      <c r="A67" s="617"/>
      <c r="B67" s="617"/>
      <c r="C67" s="617"/>
      <c r="D67" s="617"/>
      <c r="E67" s="617"/>
      <c r="F67" s="617"/>
      <c r="G67" s="617"/>
      <c r="H67" s="617"/>
      <c r="I67" s="617"/>
      <c r="J67" s="617"/>
      <c r="K67" s="617"/>
      <c r="L67" s="617"/>
      <c r="M67" s="617"/>
      <c r="N67" s="617"/>
      <c r="O67" s="617"/>
      <c r="P67" s="617"/>
      <c r="Q67" s="617"/>
      <c r="R67" s="617"/>
      <c r="S67" s="617"/>
      <c r="T67" s="617"/>
      <c r="U67" s="617"/>
      <c r="V67" s="617"/>
      <c r="W67" s="617"/>
      <c r="X67" s="617"/>
      <c r="Y67" s="617"/>
      <c r="Z67" s="617"/>
      <c r="AA67" s="617"/>
      <c r="AB67" s="617"/>
      <c r="AC67" s="617"/>
      <c r="AD67" s="617"/>
      <c r="AE67" s="617"/>
      <c r="AF67" s="617"/>
      <c r="AG67" s="617"/>
      <c r="AH67" s="617"/>
      <c r="AI67" s="617"/>
      <c r="AJ67" s="618"/>
    </row>
    <row r="68" spans="1:36" s="575" customFormat="1" ht="12.75" x14ac:dyDescent="0.2">
      <c r="A68" s="617"/>
      <c r="B68" s="617"/>
      <c r="C68" s="617"/>
      <c r="D68" s="617"/>
      <c r="E68" s="617"/>
      <c r="F68" s="617"/>
      <c r="G68" s="617"/>
      <c r="H68" s="617"/>
      <c r="I68" s="617"/>
      <c r="J68" s="617"/>
      <c r="K68" s="617"/>
      <c r="L68" s="617"/>
      <c r="M68" s="617"/>
      <c r="N68" s="617"/>
      <c r="O68" s="617"/>
      <c r="P68" s="617"/>
      <c r="Q68" s="617"/>
      <c r="R68" s="617"/>
      <c r="S68" s="617"/>
      <c r="T68" s="617"/>
      <c r="U68" s="617"/>
      <c r="V68" s="617"/>
      <c r="W68" s="617"/>
      <c r="X68" s="617"/>
      <c r="Y68" s="617"/>
      <c r="Z68" s="617"/>
      <c r="AA68" s="617"/>
      <c r="AB68" s="617"/>
      <c r="AC68" s="617"/>
      <c r="AD68" s="617"/>
      <c r="AE68" s="617"/>
      <c r="AF68" s="617"/>
      <c r="AG68" s="617"/>
      <c r="AH68" s="617"/>
      <c r="AI68" s="617"/>
      <c r="AJ68" s="618"/>
    </row>
    <row r="69" spans="1:36" s="575" customFormat="1" ht="12.75" x14ac:dyDescent="0.2">
      <c r="A69" s="619"/>
      <c r="B69" s="619"/>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C69" s="619"/>
      <c r="AD69" s="619"/>
      <c r="AE69" s="619"/>
      <c r="AF69" s="619"/>
      <c r="AG69" s="619"/>
      <c r="AH69" s="619"/>
      <c r="AI69" s="619"/>
      <c r="AJ69" s="618"/>
    </row>
    <row r="70" spans="1:36" s="575" customFormat="1" ht="12.75" x14ac:dyDescent="0.2">
      <c r="A70" s="63"/>
      <c r="B70" s="620"/>
      <c r="C70" s="620"/>
      <c r="D70" s="620"/>
      <c r="E70" s="620"/>
      <c r="F70" s="620"/>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69"/>
    </row>
    <row r="71" spans="1:36" s="575" customFormat="1" ht="12.75" x14ac:dyDescent="0.2">
      <c r="A71" s="617"/>
      <c r="B71" s="617"/>
      <c r="C71" s="617"/>
      <c r="D71" s="617"/>
      <c r="E71" s="617"/>
      <c r="F71" s="617"/>
      <c r="G71" s="617"/>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8"/>
    </row>
    <row r="72" spans="1:36" s="575" customFormat="1" ht="12.75" x14ac:dyDescent="0.2">
      <c r="A72" s="617"/>
      <c r="B72" s="617"/>
      <c r="C72" s="617"/>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8"/>
    </row>
    <row r="73" spans="1:36" s="575" customFormat="1" ht="12.75" x14ac:dyDescent="0.2">
      <c r="A73" s="450"/>
      <c r="B73" s="621"/>
      <c r="C73" s="621"/>
      <c r="D73" s="621"/>
      <c r="E73" s="621"/>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row>
    <row r="74" spans="1:36" s="575" customFormat="1" ht="12.75" x14ac:dyDescent="0.2">
      <c r="A74" s="450"/>
      <c r="B74" s="621"/>
      <c r="C74" s="621"/>
      <c r="D74" s="621"/>
      <c r="E74" s="621"/>
      <c r="F74" s="621"/>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row>
    <row r="75" spans="1:36" s="575" customFormat="1" ht="12.75" x14ac:dyDescent="0.2">
      <c r="A75" s="450"/>
      <c r="B75" s="621"/>
      <c r="C75" s="621"/>
      <c r="D75" s="621"/>
      <c r="E75" s="621"/>
      <c r="F75" s="621"/>
      <c r="G75" s="621"/>
      <c r="H75" s="621"/>
      <c r="I75" s="621"/>
      <c r="J75" s="621"/>
      <c r="K75" s="621"/>
      <c r="L75" s="621"/>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row>
    <row r="76" spans="1:36" s="575" customFormat="1" ht="12.75" x14ac:dyDescent="0.2">
      <c r="A76" s="450"/>
      <c r="B76" s="622"/>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row>
    <row r="77" spans="1:36" s="575" customFormat="1" x14ac:dyDescent="0.2"/>
    <row r="78" spans="1:36" s="575" customFormat="1" x14ac:dyDescent="0.2"/>
    <row r="79" spans="1:36" s="575" customFormat="1" ht="15.75" x14ac:dyDescent="0.2">
      <c r="A79" s="623"/>
    </row>
    <row r="80" spans="1:36" s="575" customFormat="1" ht="36" customHeight="1" x14ac:dyDescent="0.2">
      <c r="A80" s="624"/>
      <c r="B80" s="625"/>
      <c r="C80" s="621"/>
      <c r="D80" s="621"/>
      <c r="E80" s="621"/>
      <c r="F80" s="621"/>
      <c r="G80" s="621"/>
      <c r="H80" s="621"/>
      <c r="I80" s="621"/>
      <c r="J80" s="621"/>
      <c r="K80" s="621"/>
      <c r="L80" s="621"/>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row>
    <row r="81" spans="1:35" s="575" customFormat="1" ht="40.5" customHeight="1" x14ac:dyDescent="0.2">
      <c r="A81" s="624"/>
      <c r="B81" s="626"/>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row>
    <row r="82" spans="1:35" s="575" customFormat="1" x14ac:dyDescent="0.2"/>
    <row r="83" spans="1:35" s="575" customFormat="1" x14ac:dyDescent="0.2"/>
    <row r="84" spans="1:35" s="575" customFormat="1" x14ac:dyDescent="0.2"/>
    <row r="85" spans="1:35" s="575" customFormat="1" x14ac:dyDescent="0.2"/>
    <row r="86" spans="1:35" s="575" customFormat="1" x14ac:dyDescent="0.2"/>
    <row r="87" spans="1:35" s="575" customFormat="1" x14ac:dyDescent="0.2"/>
  </sheetData>
  <phoneticPr fontId="2" type="noConversion"/>
  <dataValidations disablePrompts="1" count="1">
    <dataValidation type="decimal" operator="greaterThanOrEqual" allowBlank="1" showErrorMessage="1" errorTitle="Jāievada pozitīvs skaitlis" error="Jāievada pozitīvs skaitlis" sqref="AJ54:AJ65 AJ67:AJ69 AJ71:AJ72">
      <formula1>0</formula1>
      <formula2>0</formula2>
    </dataValidation>
  </dataValidations>
  <printOptions horizontalCentered="1"/>
  <pageMargins left="0.59027777777777779" right="0.59027777777777779" top="0.75" bottom="0.88888888888888884" header="0.51180555555555551" footer="0.75"/>
  <pageSetup paperSize="9" scale="59" firstPageNumber="0" orientation="landscape" horizontalDpi="300" verticalDpi="300"/>
  <headerFooter alignWithMargins="0">
    <oddFooter>&amp;L&amp;A&amp;R&amp;P</oddFooter>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26"/>
  <sheetViews>
    <sheetView showGridLines="0" topLeftCell="A10" zoomScaleNormal="100" zoomScaleSheetLayoutView="90" workbookViewId="0">
      <pane xSplit="1" topLeftCell="B1" activePane="topRight" state="frozen"/>
      <selection pane="topRight" activeCell="E19" sqref="E19"/>
    </sheetView>
  </sheetViews>
  <sheetFormatPr defaultRowHeight="11.25" x14ac:dyDescent="0.2"/>
  <cols>
    <col min="1" max="1" width="60.140625" style="75" customWidth="1"/>
    <col min="2" max="34" width="9.140625" style="75"/>
    <col min="35" max="35" width="0" style="75" hidden="1" customWidth="1"/>
    <col min="36" max="16384" width="9.140625" style="75"/>
  </cols>
  <sheetData>
    <row r="1" spans="1:35" ht="16.5" x14ac:dyDescent="0.2">
      <c r="A1" s="627" t="str">
        <f>'Datu ievade'!$B$6</f>
        <v>A pašvaldība</v>
      </c>
      <c r="B1" s="628" t="str">
        <f>'Datu ievade'!$B$8</f>
        <v>Ūdenssaimniecības attīstība A pašvaldībā</v>
      </c>
    </row>
    <row r="2" spans="1:35" ht="12.75" x14ac:dyDescent="0.2">
      <c r="A2" s="629"/>
    </row>
    <row r="3" spans="1:35" s="165" customFormat="1" ht="18" x14ac:dyDescent="0.2">
      <c r="A3" s="527" t="s">
        <v>326</v>
      </c>
      <c r="B3" s="470"/>
      <c r="C3" s="470"/>
      <c r="D3" s="470"/>
      <c r="E3" s="470"/>
      <c r="F3" s="470"/>
      <c r="G3" s="470"/>
      <c r="H3" s="470"/>
      <c r="I3" s="470"/>
      <c r="J3" s="470"/>
      <c r="K3" s="470"/>
      <c r="L3" s="470"/>
      <c r="M3" s="470"/>
      <c r="N3" s="470"/>
      <c r="O3" s="470"/>
      <c r="P3" s="630"/>
      <c r="Q3" s="630"/>
      <c r="R3" s="630"/>
      <c r="S3" s="630"/>
      <c r="T3" s="630"/>
      <c r="U3" s="630"/>
      <c r="V3" s="630"/>
      <c r="W3" s="630"/>
      <c r="X3" s="630"/>
      <c r="Y3" s="630"/>
      <c r="Z3" s="630"/>
      <c r="AA3" s="630"/>
      <c r="AB3" s="630"/>
      <c r="AC3" s="630"/>
      <c r="AD3" s="630"/>
      <c r="AE3" s="630"/>
      <c r="AF3" s="630"/>
      <c r="AG3" s="630"/>
      <c r="AH3" s="630"/>
      <c r="AI3" s="630"/>
    </row>
    <row r="4" spans="1:35" ht="12.75" x14ac:dyDescent="0.2">
      <c r="A4" s="631"/>
      <c r="B4" s="632"/>
      <c r="C4" s="632"/>
      <c r="D4" s="632"/>
      <c r="E4" s="632"/>
      <c r="F4" s="632"/>
      <c r="G4" s="632"/>
      <c r="H4" s="632"/>
      <c r="I4" s="632"/>
      <c r="J4" s="632"/>
      <c r="K4" s="632"/>
      <c r="L4" s="632"/>
      <c r="M4" s="632"/>
      <c r="N4" s="632"/>
      <c r="O4" s="632"/>
      <c r="P4" s="633"/>
      <c r="Q4" s="632" t="s">
        <v>21</v>
      </c>
      <c r="R4" s="633"/>
      <c r="S4" s="633"/>
      <c r="T4" s="633"/>
      <c r="U4" s="633"/>
      <c r="V4" s="633"/>
      <c r="W4" s="633"/>
      <c r="X4" s="633"/>
      <c r="Y4" s="633"/>
      <c r="Z4" s="633"/>
      <c r="AA4" s="633"/>
      <c r="AB4" s="633"/>
      <c r="AC4" s="633"/>
      <c r="AD4" s="633"/>
      <c r="AE4" s="633"/>
      <c r="AF4" s="633"/>
      <c r="AG4" s="633"/>
      <c r="AH4" s="633"/>
      <c r="AI4" s="633"/>
    </row>
    <row r="5" spans="1:35" ht="12.75" x14ac:dyDescent="0.2">
      <c r="A5" s="634" t="s">
        <v>135</v>
      </c>
      <c r="B5" s="635">
        <f>Aprekini!B5</f>
        <v>2014</v>
      </c>
      <c r="C5" s="635">
        <f t="shared" ref="C5:AG5" si="0">B5+1</f>
        <v>2015</v>
      </c>
      <c r="D5" s="635">
        <f t="shared" si="0"/>
        <v>2016</v>
      </c>
      <c r="E5" s="635">
        <f t="shared" si="0"/>
        <v>2017</v>
      </c>
      <c r="F5" s="635">
        <f t="shared" si="0"/>
        <v>2018</v>
      </c>
      <c r="G5" s="635">
        <f t="shared" si="0"/>
        <v>2019</v>
      </c>
      <c r="H5" s="635">
        <f t="shared" si="0"/>
        <v>2020</v>
      </c>
      <c r="I5" s="635">
        <f t="shared" si="0"/>
        <v>2021</v>
      </c>
      <c r="J5" s="635">
        <f t="shared" si="0"/>
        <v>2022</v>
      </c>
      <c r="K5" s="635">
        <f t="shared" si="0"/>
        <v>2023</v>
      </c>
      <c r="L5" s="635">
        <f t="shared" si="0"/>
        <v>2024</v>
      </c>
      <c r="M5" s="635">
        <f t="shared" si="0"/>
        <v>2025</v>
      </c>
      <c r="N5" s="635">
        <f t="shared" si="0"/>
        <v>2026</v>
      </c>
      <c r="O5" s="635">
        <f t="shared" si="0"/>
        <v>2027</v>
      </c>
      <c r="P5" s="635">
        <f t="shared" si="0"/>
        <v>2028</v>
      </c>
      <c r="Q5" s="635">
        <f t="shared" si="0"/>
        <v>2029</v>
      </c>
      <c r="R5" s="635">
        <f t="shared" si="0"/>
        <v>2030</v>
      </c>
      <c r="S5" s="635">
        <f t="shared" si="0"/>
        <v>2031</v>
      </c>
      <c r="T5" s="635">
        <f t="shared" si="0"/>
        <v>2032</v>
      </c>
      <c r="U5" s="636">
        <f t="shared" si="0"/>
        <v>2033</v>
      </c>
      <c r="V5" s="636">
        <f t="shared" si="0"/>
        <v>2034</v>
      </c>
      <c r="W5" s="636">
        <f t="shared" si="0"/>
        <v>2035</v>
      </c>
      <c r="X5" s="636">
        <f t="shared" si="0"/>
        <v>2036</v>
      </c>
      <c r="Y5" s="636">
        <f t="shared" si="0"/>
        <v>2037</v>
      </c>
      <c r="Z5" s="636">
        <f t="shared" si="0"/>
        <v>2038</v>
      </c>
      <c r="AA5" s="636">
        <f t="shared" si="0"/>
        <v>2039</v>
      </c>
      <c r="AB5" s="636">
        <f t="shared" si="0"/>
        <v>2040</v>
      </c>
      <c r="AC5" s="636">
        <f t="shared" si="0"/>
        <v>2041</v>
      </c>
      <c r="AD5" s="636">
        <f t="shared" si="0"/>
        <v>2042</v>
      </c>
      <c r="AE5" s="636">
        <f t="shared" si="0"/>
        <v>2043</v>
      </c>
      <c r="AF5" s="636">
        <f t="shared" si="0"/>
        <v>2044</v>
      </c>
      <c r="AG5" s="636">
        <f t="shared" si="0"/>
        <v>2045</v>
      </c>
      <c r="AH5" s="636">
        <f>AG5+1</f>
        <v>2046</v>
      </c>
      <c r="AI5" s="636"/>
    </row>
    <row r="6" spans="1:35" ht="14.25" customHeight="1" x14ac:dyDescent="0.2">
      <c r="A6" s="523" t="s">
        <v>464</v>
      </c>
      <c r="B6" s="637">
        <f>'Datu ievade'!B418</f>
        <v>201.845</v>
      </c>
      <c r="C6" s="637">
        <f>'Datu ievade'!C418</f>
        <v>215.97415000000001</v>
      </c>
      <c r="D6" s="637">
        <f>'Datu ievade'!D418</f>
        <v>222.02950000000001</v>
      </c>
      <c r="E6" s="637">
        <f>'Datu ievade'!E418</f>
        <v>228.08484999999999</v>
      </c>
      <c r="F6" s="637">
        <f>'Datu ievade'!F418</f>
        <v>232.12174999999999</v>
      </c>
      <c r="G6" s="637">
        <f>'Datu ievade'!G418</f>
        <v>236.15864999999999</v>
      </c>
      <c r="H6" s="637">
        <f>'Datu ievade'!H418</f>
        <v>240.19555</v>
      </c>
      <c r="I6" s="637">
        <f>'Datu ievade'!I418</f>
        <v>244.23245</v>
      </c>
      <c r="J6" s="637">
        <f>'Datu ievade'!J418</f>
        <v>248.26935</v>
      </c>
      <c r="K6" s="637">
        <f>'Datu ievade'!K418</f>
        <v>252.30625000000001</v>
      </c>
      <c r="L6" s="637">
        <f>'Datu ievade'!L418</f>
        <v>256.34314999999998</v>
      </c>
      <c r="M6" s="637">
        <f>'Datu ievade'!M418</f>
        <v>260.38004999999998</v>
      </c>
      <c r="N6" s="637">
        <f>'Datu ievade'!N418</f>
        <v>264.41694999999999</v>
      </c>
      <c r="O6" s="637">
        <f>'Datu ievade'!O418</f>
        <v>268.45384999999999</v>
      </c>
      <c r="P6" s="637">
        <f>'Datu ievade'!P418</f>
        <v>274.50920000000002</v>
      </c>
      <c r="Q6" s="637">
        <f>'Datu ievade'!Q418</f>
        <v>280.56455</v>
      </c>
      <c r="R6" s="637">
        <f>'Datu ievade'!R418</f>
        <v>286.61989999999997</v>
      </c>
      <c r="S6" s="637">
        <f>'Datu ievade'!S418</f>
        <v>292.67525000000001</v>
      </c>
      <c r="T6" s="637">
        <f>'Datu ievade'!T418</f>
        <v>298.73059999999998</v>
      </c>
      <c r="U6" s="637">
        <f>'Datu ievade'!U418</f>
        <v>304.78595000000001</v>
      </c>
      <c r="V6" s="637">
        <f>'Datu ievade'!V418</f>
        <v>310.84129999999999</v>
      </c>
      <c r="W6" s="637">
        <f>'Datu ievade'!W418</f>
        <v>316.89665000000002</v>
      </c>
      <c r="X6" s="637">
        <f>'Datu ievade'!X418</f>
        <v>322.952</v>
      </c>
      <c r="Y6" s="637">
        <f>'Datu ievade'!Y418</f>
        <v>329.00734999999997</v>
      </c>
      <c r="Z6" s="637">
        <f>'Datu ievade'!Z418</f>
        <v>335.06270000000001</v>
      </c>
      <c r="AA6" s="637">
        <f>'Datu ievade'!AA418</f>
        <v>341.11804999999998</v>
      </c>
      <c r="AB6" s="637">
        <f>'Datu ievade'!AB418</f>
        <v>347.17340000000002</v>
      </c>
      <c r="AC6" s="637">
        <f>'Datu ievade'!AC418</f>
        <v>353.22874999999999</v>
      </c>
      <c r="AD6" s="637">
        <f>'Datu ievade'!AD418</f>
        <v>359.28410000000002</v>
      </c>
      <c r="AE6" s="637">
        <f>'Datu ievade'!AE418</f>
        <v>365.33945</v>
      </c>
      <c r="AF6" s="637">
        <f>'Datu ievade'!AF418</f>
        <v>371.39480000000003</v>
      </c>
      <c r="AG6" s="637">
        <f>'Datu ievade'!AG418</f>
        <v>371.39480000000003</v>
      </c>
      <c r="AH6" s="637">
        <f>'Datu ievade'!AH418</f>
        <v>371.39480000000003</v>
      </c>
      <c r="AI6" s="637"/>
    </row>
    <row r="7" spans="1:35" s="165" customFormat="1" ht="13.5" customHeight="1" x14ac:dyDescent="0.2">
      <c r="A7" s="474" t="s">
        <v>136</v>
      </c>
      <c r="B7" s="637">
        <f>'Datu ievade'!B419</f>
        <v>8.25</v>
      </c>
      <c r="C7" s="637">
        <f>'Datu ievade'!C419</f>
        <v>8.25</v>
      </c>
      <c r="D7" s="637">
        <f>'Datu ievade'!D419</f>
        <v>8.25</v>
      </c>
      <c r="E7" s="637">
        <f>'Datu ievade'!E419</f>
        <v>8.25</v>
      </c>
      <c r="F7" s="637">
        <f>'Datu ievade'!F419</f>
        <v>6.75</v>
      </c>
      <c r="G7" s="637">
        <f>'Datu ievade'!G419</f>
        <v>6.75</v>
      </c>
      <c r="H7" s="637">
        <f>'Datu ievade'!H419</f>
        <v>6.75</v>
      </c>
      <c r="I7" s="637">
        <f>'Datu ievade'!I419</f>
        <v>6.75</v>
      </c>
      <c r="J7" s="637">
        <f>'Datu ievade'!J419</f>
        <v>6.75</v>
      </c>
      <c r="K7" s="637">
        <f>'Datu ievade'!K419</f>
        <v>6.75</v>
      </c>
      <c r="L7" s="637">
        <f>'Datu ievade'!L419</f>
        <v>6.75</v>
      </c>
      <c r="M7" s="637">
        <f>'Datu ievade'!M419</f>
        <v>6.75</v>
      </c>
      <c r="N7" s="637">
        <f>'Datu ievade'!N419</f>
        <v>6.75</v>
      </c>
      <c r="O7" s="637">
        <f>'Datu ievade'!O419</f>
        <v>6.75</v>
      </c>
      <c r="P7" s="637">
        <f>'Datu ievade'!P419</f>
        <v>6.75</v>
      </c>
      <c r="Q7" s="637">
        <f>'Datu ievade'!Q419</f>
        <v>6.75</v>
      </c>
      <c r="R7" s="637">
        <f>'Datu ievade'!R419</f>
        <v>6.75</v>
      </c>
      <c r="S7" s="637">
        <f>'Datu ievade'!S419</f>
        <v>6.75</v>
      </c>
      <c r="T7" s="637">
        <f>'Datu ievade'!T419</f>
        <v>6.75</v>
      </c>
      <c r="U7" s="637">
        <f>'Datu ievade'!U419</f>
        <v>6.75</v>
      </c>
      <c r="V7" s="637">
        <f>'Datu ievade'!V419</f>
        <v>6.75</v>
      </c>
      <c r="W7" s="637">
        <f>'Datu ievade'!W419</f>
        <v>6.75</v>
      </c>
      <c r="X7" s="637">
        <f>'Datu ievade'!X419</f>
        <v>6.75</v>
      </c>
      <c r="Y7" s="637">
        <f>'Datu ievade'!Y419</f>
        <v>6.75</v>
      </c>
      <c r="Z7" s="637">
        <f>'Datu ievade'!Z419</f>
        <v>6.75</v>
      </c>
      <c r="AA7" s="637">
        <f>'Datu ievade'!AA419</f>
        <v>6.75</v>
      </c>
      <c r="AB7" s="637">
        <f>'Datu ievade'!AB419</f>
        <v>6.75</v>
      </c>
      <c r="AC7" s="637">
        <f>'Datu ievade'!AC419</f>
        <v>6.75</v>
      </c>
      <c r="AD7" s="637">
        <f>'Datu ievade'!AD419</f>
        <v>6.75</v>
      </c>
      <c r="AE7" s="637">
        <f>'Datu ievade'!AE419</f>
        <v>6.75</v>
      </c>
      <c r="AF7" s="637">
        <f>'Datu ievade'!AF419</f>
        <v>6.75</v>
      </c>
      <c r="AG7" s="637">
        <f>'Datu ievade'!AG419</f>
        <v>6.75</v>
      </c>
      <c r="AH7" s="637">
        <f>'Datu ievade'!AH419</f>
        <v>6.75</v>
      </c>
      <c r="AI7" s="637"/>
    </row>
    <row r="8" spans="1:35" s="260" customFormat="1" ht="13.5" customHeight="1" x14ac:dyDescent="0.2">
      <c r="A8" s="433" t="s">
        <v>465</v>
      </c>
      <c r="B8" s="638">
        <f>IF(B$16&gt;='Datu ievade'!$B$33,'Datu ievade'!B395*(1+'Datu ievade'!C444),'Datu ievade'!B391*(1+'Datu ievade'!C444))</f>
        <v>0.24199999999999999</v>
      </c>
      <c r="C8" s="638">
        <f>IF(C$16&gt;='Datu ievade'!$B$33,'Datu ievade'!C395*(1+'Datu ievade'!D444),'Datu ievade'!C391*(1+'Datu ievade'!D444))</f>
        <v>0.23595000000000005</v>
      </c>
      <c r="D8" s="638">
        <f>IF(D$16&gt;='Datu ievade'!$B$33,'Datu ievade'!D395*(1+'Datu ievade'!E444),'Datu ievade'!D391*(1+'Datu ievade'!E444))</f>
        <v>0.25288999999999995</v>
      </c>
      <c r="E8" s="638">
        <f ca="1">IF(E$16&gt;='Datu ievade'!$B$33,'Datu ievade'!E395*(1+'Datu ievade'!F444),'Datu ievade'!E391*(1+'Datu ievade'!F444))</f>
        <v>0.26982999999999996</v>
      </c>
      <c r="F8" s="638">
        <f ca="1">IF(F$16&gt;='Datu ievade'!$B$33,'Datu ievade'!F395*(1+'Datu ievade'!G444),'Datu ievade'!F391*(1+'Datu ievade'!G444))</f>
        <v>0.32186000000000003</v>
      </c>
      <c r="G8" s="638">
        <f ca="1">IF(G$16&gt;='Datu ievade'!$B$33,'Datu ievade'!G395*(1+'Datu ievade'!H444),'Datu ievade'!G391*(1+'Datu ievade'!H444))</f>
        <v>0.32790999999999992</v>
      </c>
      <c r="H8" s="638">
        <f ca="1">IF(H$16&gt;='Datu ievade'!$B$33,'Datu ievade'!H395*(1+'Datu ievade'!I444),'Datu ievade'!H391*(1+'Datu ievade'!I444))</f>
        <v>0.33396000000000003</v>
      </c>
      <c r="I8" s="638">
        <f ca="1">IF(I$16&gt;='Datu ievade'!$B$33,'Datu ievade'!I395*(1+'Datu ievade'!J444),'Datu ievade'!I391*(1+'Datu ievade'!J444))</f>
        <v>0.34242999999999996</v>
      </c>
      <c r="J8" s="638">
        <f ca="1">IF(J$16&gt;='Datu ievade'!$B$33,'Datu ievade'!J395*(1+'Datu ievade'!K444),'Datu ievade'!J391*(1+'Datu ievade'!K444))</f>
        <v>0.34847999999999996</v>
      </c>
      <c r="K8" s="638">
        <f ca="1">IF(K$16&gt;='Datu ievade'!$B$33,'Datu ievade'!K395*(1+'Datu ievade'!L444),'Datu ievade'!K391*(1+'Datu ievade'!L444))</f>
        <v>0.35452999999999996</v>
      </c>
      <c r="L8" s="638">
        <f ca="1">IF(L$16&gt;='Datu ievade'!$B$33,'Datu ievade'!L395*(1+'Datu ievade'!M444),'Datu ievade'!L391*(1+'Datu ievade'!M444))</f>
        <v>0.35936999999999997</v>
      </c>
      <c r="M8" s="638">
        <f ca="1">IF(M$16&gt;='Datu ievade'!$B$33,'Datu ievade'!M395*(1+'Datu ievade'!N444),'Datu ievade'!M391*(1+'Datu ievade'!N444))</f>
        <v>0.36662999999999996</v>
      </c>
      <c r="N8" s="638">
        <f ca="1">IF(N$16&gt;='Datu ievade'!$B$33,'Datu ievade'!N395*(1+'Datu ievade'!O444),'Datu ievade'!N391*(1+'Datu ievade'!O444))</f>
        <v>0.37389</v>
      </c>
      <c r="O8" s="638">
        <f ca="1">IF(O$16&gt;='Datu ievade'!$B$33,'Datu ievade'!O395*(1+'Datu ievade'!P444),'Datu ievade'!O391*(1+'Datu ievade'!P444))</f>
        <v>0.38114999999999999</v>
      </c>
      <c r="P8" s="638">
        <f ca="1">IF(P$16&gt;='Datu ievade'!$B$33,'Datu ievade'!P395*(1+'Datu ievade'!Q444),'Datu ievade'!P391*(1+'Datu ievade'!Q444))</f>
        <v>0.38356999999999997</v>
      </c>
      <c r="Q8" s="638">
        <f ca="1">IF(Q$16&gt;='Datu ievade'!$B$33,'Datu ievade'!Q395*(1+'Datu ievade'!R444),'Datu ievade'!Q391*(1+'Datu ievade'!R444))</f>
        <v>0.38599</v>
      </c>
      <c r="R8" s="638">
        <f ca="1">IF(R$16&gt;='Datu ievade'!$B$33,'Datu ievade'!R395*(1+'Datu ievade'!S444),'Datu ievade'!R391*(1+'Datu ievade'!S444))</f>
        <v>0.39324999999999999</v>
      </c>
      <c r="S8" s="638">
        <f ca="1">IF(S$16&gt;='Datu ievade'!$B$33,'Datu ievade'!S395*(1+'Datu ievade'!T444),'Datu ievade'!S391*(1+'Datu ievade'!T444))</f>
        <v>0.40172000000000002</v>
      </c>
      <c r="T8" s="638">
        <f ca="1">IF(T$16&gt;='Datu ievade'!$B$33,'Datu ievade'!T395*(1+'Datu ievade'!U444),'Datu ievade'!T391*(1+'Datu ievade'!U444))</f>
        <v>0.40898000000000001</v>
      </c>
      <c r="U8" s="638">
        <f ca="1">IF(U$16&gt;='Datu ievade'!$B$33,'Datu ievade'!U395*(1+'Datu ievade'!V444),'Datu ievade'!U391*(1+'Datu ievade'!V444))</f>
        <v>0.42349999999999999</v>
      </c>
      <c r="V8" s="638">
        <f ca="1">IF(V$16&gt;='Datu ievade'!$B$33,'Datu ievade'!V395*(1+'Datu ievade'!W444),'Datu ievade'!V391*(1+'Datu ievade'!W444))</f>
        <v>0.43075999999999998</v>
      </c>
      <c r="W8" s="638">
        <f ca="1">IF(W$16&gt;='Datu ievade'!$B$33,'Datu ievade'!W395*(1+'Datu ievade'!X444),'Datu ievade'!W391*(1+'Datu ievade'!X444))</f>
        <v>0.43922999999999995</v>
      </c>
      <c r="X8" s="638">
        <f ca="1">IF(X$16&gt;='Datu ievade'!$B$33,'Datu ievade'!X395*(1+'Datu ievade'!Y444),'Datu ievade'!X391*(1+'Datu ievade'!Y444))</f>
        <v>0.44649</v>
      </c>
      <c r="Y8" s="638">
        <f ca="1">IF(Y$16&gt;='Datu ievade'!$B$33,'Datu ievade'!Y395*(1+'Datu ievade'!Z444),'Datu ievade'!Y391*(1+'Datu ievade'!Z444))</f>
        <v>0.45495999999999998</v>
      </c>
      <c r="Z8" s="638">
        <f ca="1">IF(Z$16&gt;='Datu ievade'!$B$33,'Datu ievade'!Z395*(1+'Datu ievade'!AA444),'Datu ievade'!Z391*(1+'Datu ievade'!AA444))</f>
        <v>0.46343000000000001</v>
      </c>
      <c r="AA8" s="638">
        <f ca="1">IF(AA$16&gt;='Datu ievade'!$B$33,'Datu ievade'!AA395*(1+'Datu ievade'!AB444),'Datu ievade'!AA391*(1+'Datu ievade'!AB444))</f>
        <v>0.47069</v>
      </c>
      <c r="AB8" s="638">
        <f ca="1">IF(AB$16&gt;='Datu ievade'!$B$33,'Datu ievade'!AB395*(1+'Datu ievade'!AC444),'Datu ievade'!AB391*(1+'Datu ievade'!AC444))</f>
        <v>0.47916000000000003</v>
      </c>
      <c r="AC8" s="638">
        <f ca="1">IF(AC$16&gt;='Datu ievade'!$B$33,'Datu ievade'!AC395*(1+'Datu ievade'!AD444),'Datu ievade'!AC391*(1+'Datu ievade'!AD444))</f>
        <v>0.48763000000000001</v>
      </c>
      <c r="AD8" s="638">
        <f ca="1">IF(AD$16&gt;='Datu ievade'!$B$33,'Datu ievade'!AD395*(1+'Datu ievade'!AE444),'Datu ievade'!AD391*(1+'Datu ievade'!AE444))</f>
        <v>0.49488999999999994</v>
      </c>
      <c r="AE8" s="638">
        <f ca="1">IF(AE$16&gt;='Datu ievade'!$B$33,'Datu ievade'!AE395*(1+'Datu ievade'!AF444),'Datu ievade'!AE391*(1+'Datu ievade'!AF444))</f>
        <v>0.50456999999999996</v>
      </c>
      <c r="AF8" s="638">
        <f ca="1">IF(AF$16&gt;='Datu ievade'!$B$33,'Datu ievade'!AF395*(1+'Datu ievade'!AG444),'Datu ievade'!AF391*(1+'Datu ievade'!AG444))</f>
        <v>0.51545999999999992</v>
      </c>
      <c r="AG8" s="638">
        <f ca="1">IF(AG$16&gt;='Datu ievade'!$B$33,'Datu ievade'!AG395*(1+'Datu ievade'!AH444),'Datu ievade'!AG391*(1+'Datu ievade'!AH444))</f>
        <v>0.51424999999999998</v>
      </c>
      <c r="AH8" s="638">
        <f ca="1">IF(AH$16&gt;='Datu ievade'!$B$33,'Datu ievade'!AH395*(1+'Datu ievade'!AI444),'Datu ievade'!AH391*(1+'Datu ievade'!AI444))</f>
        <v>0.42499999999999999</v>
      </c>
      <c r="AI8" s="638"/>
    </row>
    <row r="9" spans="1:35" ht="13.5" customHeight="1" x14ac:dyDescent="0.2">
      <c r="A9" s="523" t="s">
        <v>466</v>
      </c>
      <c r="B9" s="637">
        <f>B7*B8</f>
        <v>1.9964999999999999</v>
      </c>
      <c r="C9" s="637">
        <f t="shared" ref="C9:AH9" si="1">C7*C8</f>
        <v>1.9465875000000004</v>
      </c>
      <c r="D9" s="637">
        <f t="shared" si="1"/>
        <v>2.0863424999999998</v>
      </c>
      <c r="E9" s="637">
        <f t="shared" ca="1" si="1"/>
        <v>2.2260974999999998</v>
      </c>
      <c r="F9" s="637">
        <f t="shared" ca="1" si="1"/>
        <v>2.172555</v>
      </c>
      <c r="G9" s="637">
        <f t="shared" ca="1" si="1"/>
        <v>2.2133924999999994</v>
      </c>
      <c r="H9" s="637">
        <f t="shared" ca="1" si="1"/>
        <v>2.2542300000000002</v>
      </c>
      <c r="I9" s="637">
        <f t="shared" ca="1" si="1"/>
        <v>2.3114024999999998</v>
      </c>
      <c r="J9" s="637">
        <f t="shared" ca="1" si="1"/>
        <v>2.3522399999999997</v>
      </c>
      <c r="K9" s="637">
        <f t="shared" ca="1" si="1"/>
        <v>2.3930774999999995</v>
      </c>
      <c r="L9" s="637">
        <f t="shared" ca="1" si="1"/>
        <v>2.4257474999999999</v>
      </c>
      <c r="M9" s="637">
        <f t="shared" ca="1" si="1"/>
        <v>2.4747524999999997</v>
      </c>
      <c r="N9" s="637">
        <f t="shared" ca="1" si="1"/>
        <v>2.5237574999999999</v>
      </c>
      <c r="O9" s="637">
        <f t="shared" ca="1" si="1"/>
        <v>2.5727625000000001</v>
      </c>
      <c r="P9" s="637">
        <f t="shared" ca="1" si="1"/>
        <v>2.5890974999999998</v>
      </c>
      <c r="Q9" s="637">
        <f t="shared" ca="1" si="1"/>
        <v>2.6054325</v>
      </c>
      <c r="R9" s="637">
        <f t="shared" ca="1" si="1"/>
        <v>2.6544374999999998</v>
      </c>
      <c r="S9" s="637">
        <f t="shared" ca="1" si="1"/>
        <v>2.7116100000000003</v>
      </c>
      <c r="T9" s="637">
        <f t="shared" ca="1" si="1"/>
        <v>2.760615</v>
      </c>
      <c r="U9" s="637">
        <f t="shared" ca="1" si="1"/>
        <v>2.858625</v>
      </c>
      <c r="V9" s="637">
        <f t="shared" ca="1" si="1"/>
        <v>2.9076299999999997</v>
      </c>
      <c r="W9" s="637">
        <f t="shared" ca="1" si="1"/>
        <v>2.9648024999999998</v>
      </c>
      <c r="X9" s="637">
        <f t="shared" ca="1" si="1"/>
        <v>3.0138075</v>
      </c>
      <c r="Y9" s="637">
        <f t="shared" ca="1" si="1"/>
        <v>3.07098</v>
      </c>
      <c r="Z9" s="637">
        <f t="shared" ca="1" si="1"/>
        <v>3.1281525000000001</v>
      </c>
      <c r="AA9" s="637">
        <f t="shared" ca="1" si="1"/>
        <v>3.1771574999999999</v>
      </c>
      <c r="AB9" s="637">
        <f t="shared" ca="1" si="1"/>
        <v>3.2343300000000004</v>
      </c>
      <c r="AC9" s="637">
        <f t="shared" ca="1" si="1"/>
        <v>3.2915025</v>
      </c>
      <c r="AD9" s="637">
        <f t="shared" ca="1" si="1"/>
        <v>3.3405074999999997</v>
      </c>
      <c r="AE9" s="637">
        <f t="shared" ca="1" si="1"/>
        <v>3.4058474999999997</v>
      </c>
      <c r="AF9" s="637">
        <f t="shared" ca="1" si="1"/>
        <v>3.4793549999999995</v>
      </c>
      <c r="AG9" s="637">
        <f t="shared" ca="1" si="1"/>
        <v>3.4711875000000001</v>
      </c>
      <c r="AH9" s="637">
        <f t="shared" ca="1" si="1"/>
        <v>2.8687499999999999</v>
      </c>
      <c r="AI9" s="637"/>
    </row>
    <row r="10" spans="1:35" s="165" customFormat="1" ht="14.25" customHeight="1" x14ac:dyDescent="0.2">
      <c r="A10" s="474" t="s">
        <v>137</v>
      </c>
      <c r="B10" s="637">
        <f>'Datu ievade'!B421</f>
        <v>7.875</v>
      </c>
      <c r="C10" s="637">
        <f>'Datu ievade'!C421</f>
        <v>7.875</v>
      </c>
      <c r="D10" s="637">
        <f>'Datu ievade'!D421</f>
        <v>7.875</v>
      </c>
      <c r="E10" s="637">
        <f>'Datu ievade'!E421</f>
        <v>7.875</v>
      </c>
      <c r="F10" s="637">
        <f>'Datu ievade'!F421</f>
        <v>6.375</v>
      </c>
      <c r="G10" s="637">
        <f>'Datu ievade'!G421</f>
        <v>6.375</v>
      </c>
      <c r="H10" s="637">
        <f>'Datu ievade'!H421</f>
        <v>6.375</v>
      </c>
      <c r="I10" s="637">
        <f>'Datu ievade'!I421</f>
        <v>6.375</v>
      </c>
      <c r="J10" s="639">
        <f>'Datu ievade'!J421</f>
        <v>6.375</v>
      </c>
      <c r="K10" s="637">
        <f>'Datu ievade'!K421</f>
        <v>6.375</v>
      </c>
      <c r="L10" s="637">
        <f>'Datu ievade'!L421</f>
        <v>6.375</v>
      </c>
      <c r="M10" s="637">
        <f>'Datu ievade'!M421</f>
        <v>6.375</v>
      </c>
      <c r="N10" s="637">
        <f>'Datu ievade'!N421</f>
        <v>6.375</v>
      </c>
      <c r="O10" s="637">
        <f>'Datu ievade'!O421</f>
        <v>6.375</v>
      </c>
      <c r="P10" s="637">
        <f>'Datu ievade'!P421</f>
        <v>6.375</v>
      </c>
      <c r="Q10" s="637">
        <f>'Datu ievade'!Q421</f>
        <v>6.375</v>
      </c>
      <c r="R10" s="637">
        <f>'Datu ievade'!R421</f>
        <v>6.375</v>
      </c>
      <c r="S10" s="637">
        <f>'Datu ievade'!S421</f>
        <v>6.375</v>
      </c>
      <c r="T10" s="637">
        <f>'Datu ievade'!T421</f>
        <v>6.375</v>
      </c>
      <c r="U10" s="637">
        <f>'Datu ievade'!U421</f>
        <v>6.375</v>
      </c>
      <c r="V10" s="637">
        <f>'Datu ievade'!V421</f>
        <v>6.375</v>
      </c>
      <c r="W10" s="637">
        <f>'Datu ievade'!W421</f>
        <v>6.375</v>
      </c>
      <c r="X10" s="637">
        <f>'Datu ievade'!X421</f>
        <v>6.375</v>
      </c>
      <c r="Y10" s="637">
        <f>'Datu ievade'!Y421</f>
        <v>6.375</v>
      </c>
      <c r="Z10" s="637">
        <f>'Datu ievade'!Z421</f>
        <v>6.375</v>
      </c>
      <c r="AA10" s="637">
        <f>'Datu ievade'!AA421</f>
        <v>6.375</v>
      </c>
      <c r="AB10" s="637">
        <f>'Datu ievade'!AB421</f>
        <v>6.375</v>
      </c>
      <c r="AC10" s="637">
        <f>'Datu ievade'!AC421</f>
        <v>6.375</v>
      </c>
      <c r="AD10" s="637">
        <f>'Datu ievade'!AD421</f>
        <v>6.375</v>
      </c>
      <c r="AE10" s="637">
        <f>'Datu ievade'!AE421</f>
        <v>6.375</v>
      </c>
      <c r="AF10" s="637">
        <f>'Datu ievade'!AF421</f>
        <v>6.375</v>
      </c>
      <c r="AG10" s="637">
        <f>'Datu ievade'!AG421</f>
        <v>6.375</v>
      </c>
      <c r="AH10" s="637">
        <f>'Datu ievade'!AH421</f>
        <v>6.375</v>
      </c>
      <c r="AI10" s="637"/>
    </row>
    <row r="11" spans="1:35" s="260" customFormat="1" ht="14.25" customHeight="1" x14ac:dyDescent="0.2">
      <c r="A11" s="433" t="s">
        <v>467</v>
      </c>
      <c r="B11" s="638">
        <f>IF(B$16&gt;='Datu ievade'!$B$33,'Datu ievade'!B402*(1+'Datu ievade'!C444),'Datu ievade'!B398*(1+'Datu ievade'!C444))</f>
        <v>0.24199999999999999</v>
      </c>
      <c r="C11" s="638">
        <f>IF(C$16&gt;='Datu ievade'!$B$33,'Datu ievade'!C402*(1+'Datu ievade'!D444),'Datu ievade'!C398*(1+'Datu ievade'!D444))</f>
        <v>0.25289</v>
      </c>
      <c r="D11" s="638">
        <f>IF(D$16&gt;='Datu ievade'!$B$33,'Datu ievade'!D402*(1+'Datu ievade'!E444),'Datu ievade'!D398*(1+'Datu ievade'!E444))</f>
        <v>0.27950999999999998</v>
      </c>
      <c r="E11" s="638">
        <f ca="1">IF(E$16&gt;='Datu ievade'!$B$33,'Datu ievade'!E402*(1+'Datu ievade'!F444),'Datu ievade'!E398*(1+'Datu ievade'!F444))</f>
        <v>0.30613000000000001</v>
      </c>
      <c r="F11" s="638">
        <f ca="1">IF(F$16&gt;='Datu ievade'!$B$33,'Datu ievade'!F402*(1+'Datu ievade'!G444),'Datu ievade'!F398*(1+'Datu ievade'!G444))</f>
        <v>0.31823000000000001</v>
      </c>
      <c r="G11" s="638">
        <f ca="1">IF(G$16&gt;='Datu ievade'!$B$33,'Datu ievade'!G402*(1+'Datu ievade'!H444),'Datu ievade'!G398*(1+'Datu ievade'!H444))</f>
        <v>0.32306999999999997</v>
      </c>
      <c r="H11" s="638">
        <f ca="1">IF(H$16&gt;='Datu ievade'!$B$33,'Datu ievade'!H402*(1+'Datu ievade'!I444),'Datu ievade'!H398*(1+'Datu ievade'!I444))</f>
        <v>0.33274999999999999</v>
      </c>
      <c r="I11" s="638">
        <f ca="1">IF(I$16&gt;='Datu ievade'!$B$33,'Datu ievade'!I402*(1+'Datu ievade'!J444),'Datu ievade'!I398*(1+'Datu ievade'!J444))</f>
        <v>0.33880000000000005</v>
      </c>
      <c r="J11" s="638">
        <f ca="1">IF(J$16&gt;='Datu ievade'!$B$33,'Datu ievade'!J402*(1+'Datu ievade'!K444),'Datu ievade'!J398*(1+'Datu ievade'!K444))</f>
        <v>0.34726999999999997</v>
      </c>
      <c r="K11" s="638">
        <f ca="1">IF(K$16&gt;='Datu ievade'!$B$33,'Datu ievade'!K402*(1+'Datu ievade'!L444),'Datu ievade'!K398*(1+'Datu ievade'!L444))</f>
        <v>0.35331999999999997</v>
      </c>
      <c r="L11" s="638">
        <f ca="1">IF(L$16&gt;='Datu ievade'!$B$33,'Datu ievade'!L402*(1+'Datu ievade'!M444),'Datu ievade'!L398*(1+'Datu ievade'!M444))</f>
        <v>0.35815999999999998</v>
      </c>
      <c r="M11" s="638">
        <f ca="1">IF(M$16&gt;='Datu ievade'!$B$33,'Datu ievade'!M402*(1+'Datu ievade'!N444),'Datu ievade'!M398*(1+'Datu ievade'!N444))</f>
        <v>0.36784</v>
      </c>
      <c r="N11" s="638">
        <f ca="1">IF(N$16&gt;='Datu ievade'!$B$33,'Datu ievade'!N402*(1+'Datu ievade'!O444),'Datu ievade'!N398*(1+'Datu ievade'!O444))</f>
        <v>0.37509999999999999</v>
      </c>
      <c r="O11" s="638">
        <f ca="1">IF(O$16&gt;='Datu ievade'!$B$33,'Datu ievade'!O402*(1+'Datu ievade'!P444),'Datu ievade'!O398*(1+'Datu ievade'!P444))</f>
        <v>0.38114999999999999</v>
      </c>
      <c r="P11" s="638">
        <f ca="1">IF(P$16&gt;='Datu ievade'!$B$33,'Datu ievade'!P402*(1+'Datu ievade'!Q444),'Datu ievade'!P398*(1+'Datu ievade'!Q444))</f>
        <v>0.37268000000000001</v>
      </c>
      <c r="Q11" s="638">
        <f ca="1">IF(Q$16&gt;='Datu ievade'!$B$33,'Datu ievade'!Q402*(1+'Datu ievade'!R444),'Datu ievade'!Q398*(1+'Datu ievade'!R444))</f>
        <v>0.37751999999999997</v>
      </c>
      <c r="R11" s="638">
        <f ca="1">IF(R$16&gt;='Datu ievade'!$B$33,'Datu ievade'!R402*(1+'Datu ievade'!S444),'Datu ievade'!R398*(1+'Datu ievade'!S444))</f>
        <v>0.38478000000000001</v>
      </c>
      <c r="S11" s="638">
        <f ca="1">IF(S$16&gt;='Datu ievade'!$B$33,'Datu ievade'!S402*(1+'Datu ievade'!T444),'Datu ievade'!S398*(1+'Datu ievade'!T444))</f>
        <v>0.39324999999999999</v>
      </c>
      <c r="T11" s="638">
        <f ca="1">IF(T$16&gt;='Datu ievade'!$B$33,'Datu ievade'!T402*(1+'Datu ievade'!U444),'Datu ievade'!T398*(1+'Datu ievade'!U444))</f>
        <v>0.40172000000000002</v>
      </c>
      <c r="U11" s="638">
        <f ca="1">IF(U$16&gt;='Datu ievade'!$B$33,'Datu ievade'!U402*(1+'Datu ievade'!V444),'Datu ievade'!U398*(1+'Datu ievade'!V444))</f>
        <v>0.41986999999999997</v>
      </c>
      <c r="V11" s="638">
        <f ca="1">IF(V$16&gt;='Datu ievade'!$B$33,'Datu ievade'!V402*(1+'Datu ievade'!W444),'Datu ievade'!V398*(1+'Datu ievade'!W444))</f>
        <v>0.42833999999999994</v>
      </c>
      <c r="W11" s="638">
        <f ca="1">IF(W$16&gt;='Datu ievade'!$B$33,'Datu ievade'!W402*(1+'Datu ievade'!X444),'Datu ievade'!W398*(1+'Datu ievade'!X444))</f>
        <v>0.43559999999999999</v>
      </c>
      <c r="X11" s="638">
        <f ca="1">IF(X$16&gt;='Datu ievade'!$B$33,'Datu ievade'!X402*(1+'Datu ievade'!Y444),'Datu ievade'!X398*(1+'Datu ievade'!Y444))</f>
        <v>0.44406999999999996</v>
      </c>
      <c r="Y11" s="638">
        <f ca="1">IF(Y$16&gt;='Datu ievade'!$B$33,'Datu ievade'!Y402*(1+'Datu ievade'!Z444),'Datu ievade'!Y398*(1+'Datu ievade'!Z444))</f>
        <v>0.45133000000000001</v>
      </c>
      <c r="Z11" s="638">
        <f ca="1">IF(Z$16&gt;='Datu ievade'!$B$33,'Datu ievade'!Z402*(1+'Datu ievade'!AA444),'Datu ievade'!Z398*(1+'Datu ievade'!AA444))</f>
        <v>0.45979999999999999</v>
      </c>
      <c r="AA11" s="638">
        <f ca="1">IF(AA$16&gt;='Datu ievade'!$B$33,'Datu ievade'!AA402*(1+'Datu ievade'!AB444),'Datu ievade'!AA398*(1+'Datu ievade'!AB444))</f>
        <v>0.46705999999999998</v>
      </c>
      <c r="AB11" s="638">
        <f ca="1">IF(AB$16&gt;='Datu ievade'!$B$33,'Datu ievade'!AB402*(1+'Datu ievade'!AC444),'Datu ievade'!AB398*(1+'Datu ievade'!AC444))</f>
        <v>0.47553000000000001</v>
      </c>
      <c r="AC11" s="638">
        <f ca="1">IF(AC$16&gt;='Datu ievade'!$B$33,'Datu ievade'!AC402*(1+'Datu ievade'!AD444),'Datu ievade'!AC398*(1+'Datu ievade'!AD444))</f>
        <v>0.48279</v>
      </c>
      <c r="AD11" s="638">
        <f ca="1">IF(AD$16&gt;='Datu ievade'!$B$33,'Datu ievade'!AD402*(1+'Datu ievade'!AE444),'Datu ievade'!AD398*(1+'Datu ievade'!AE444))</f>
        <v>0.49005000000000004</v>
      </c>
      <c r="AE11" s="638">
        <f ca="1">IF(AE$16&gt;='Datu ievade'!$B$33,'Datu ievade'!AE402*(1+'Datu ievade'!AF444),'Datu ievade'!AE398*(1+'Datu ievade'!AF444))</f>
        <v>0.49972999999999995</v>
      </c>
      <c r="AF11" s="638">
        <f ca="1">IF(AF$16&gt;='Datu ievade'!$B$33,'Datu ievade'!AF402*(1+'Datu ievade'!AG444),'Datu ievade'!AF398*(1+'Datu ievade'!AG444))</f>
        <v>0.50940999999999992</v>
      </c>
      <c r="AG11" s="638">
        <f ca="1">IF(AG$16&gt;='Datu ievade'!$B$33,'Datu ievade'!AG402*(1+'Datu ievade'!AH444),'Datu ievade'!AG398*(1+'Datu ievade'!AH444))</f>
        <v>0.50940999999999992</v>
      </c>
      <c r="AH11" s="638">
        <f ca="1">IF(AH$16&gt;='Datu ievade'!$B$33,'Datu ievade'!AH402*(1+'Datu ievade'!AI444),'Datu ievade'!AH398*(1+'Datu ievade'!AI444))</f>
        <v>0.42199999999999999</v>
      </c>
      <c r="AI11" s="638"/>
    </row>
    <row r="12" spans="1:35" s="165" customFormat="1" ht="14.25" customHeight="1" x14ac:dyDescent="0.2">
      <c r="A12" s="474" t="s">
        <v>468</v>
      </c>
      <c r="B12" s="637">
        <f>B10*B11</f>
        <v>1.9057499999999998</v>
      </c>
      <c r="C12" s="637">
        <f t="shared" ref="C12:AH12" si="2">C10*C11</f>
        <v>1.9915087499999999</v>
      </c>
      <c r="D12" s="637">
        <f t="shared" si="2"/>
        <v>2.20114125</v>
      </c>
      <c r="E12" s="637">
        <f t="shared" ca="1" si="2"/>
        <v>2.4107737500000002</v>
      </c>
      <c r="F12" s="637">
        <f t="shared" ca="1" si="2"/>
        <v>2.02871625</v>
      </c>
      <c r="G12" s="637">
        <f t="shared" ca="1" si="2"/>
        <v>2.0595712499999999</v>
      </c>
      <c r="H12" s="637">
        <f t="shared" ca="1" si="2"/>
        <v>2.12128125</v>
      </c>
      <c r="I12" s="637">
        <f t="shared" ca="1" si="2"/>
        <v>2.1598500000000005</v>
      </c>
      <c r="J12" s="637">
        <f t="shared" ca="1" si="2"/>
        <v>2.2138462499999996</v>
      </c>
      <c r="K12" s="637">
        <f t="shared" ca="1" si="2"/>
        <v>2.2524149999999996</v>
      </c>
      <c r="L12" s="637">
        <f t="shared" ca="1" si="2"/>
        <v>2.2832699999999999</v>
      </c>
      <c r="M12" s="637">
        <f t="shared" ca="1" si="2"/>
        <v>2.3449800000000001</v>
      </c>
      <c r="N12" s="637">
        <f t="shared" ca="1" si="2"/>
        <v>2.3912624999999998</v>
      </c>
      <c r="O12" s="637">
        <f t="shared" ca="1" si="2"/>
        <v>2.4298312499999999</v>
      </c>
      <c r="P12" s="637">
        <f t="shared" ca="1" si="2"/>
        <v>2.3758349999999999</v>
      </c>
      <c r="Q12" s="637">
        <f t="shared" ca="1" si="2"/>
        <v>2.4066899999999998</v>
      </c>
      <c r="R12" s="637">
        <f t="shared" ca="1" si="2"/>
        <v>2.4529725</v>
      </c>
      <c r="S12" s="637">
        <f t="shared" ca="1" si="2"/>
        <v>2.50696875</v>
      </c>
      <c r="T12" s="637">
        <f t="shared" ca="1" si="2"/>
        <v>2.5609649999999999</v>
      </c>
      <c r="U12" s="637">
        <f t="shared" ca="1" si="2"/>
        <v>2.6766712499999996</v>
      </c>
      <c r="V12" s="637">
        <f t="shared" ca="1" si="2"/>
        <v>2.7306674999999996</v>
      </c>
      <c r="W12" s="637">
        <f t="shared" ca="1" si="2"/>
        <v>2.7769499999999998</v>
      </c>
      <c r="X12" s="637">
        <f t="shared" ca="1" si="2"/>
        <v>2.8309462499999998</v>
      </c>
      <c r="Y12" s="637">
        <f t="shared" ca="1" si="2"/>
        <v>2.87722875</v>
      </c>
      <c r="Z12" s="637">
        <f t="shared" ca="1" si="2"/>
        <v>2.931225</v>
      </c>
      <c r="AA12" s="637">
        <f t="shared" ca="1" si="2"/>
        <v>2.9775074999999998</v>
      </c>
      <c r="AB12" s="637">
        <f t="shared" ca="1" si="2"/>
        <v>3.0315037500000002</v>
      </c>
      <c r="AC12" s="637">
        <f t="shared" ca="1" si="2"/>
        <v>3.0777862499999999</v>
      </c>
      <c r="AD12" s="637">
        <f t="shared" ca="1" si="2"/>
        <v>3.1240687500000002</v>
      </c>
      <c r="AE12" s="637">
        <f t="shared" ca="1" si="2"/>
        <v>3.1857787499999999</v>
      </c>
      <c r="AF12" s="637">
        <f t="shared" ca="1" si="2"/>
        <v>3.2474887499999996</v>
      </c>
      <c r="AG12" s="637">
        <f t="shared" ca="1" si="2"/>
        <v>3.2474887499999996</v>
      </c>
      <c r="AH12" s="637">
        <f t="shared" ca="1" si="2"/>
        <v>2.6902499999999998</v>
      </c>
      <c r="AI12" s="637"/>
    </row>
    <row r="13" spans="1:35" ht="14.25" customHeight="1" x14ac:dyDescent="0.2">
      <c r="A13" s="474" t="s">
        <v>138</v>
      </c>
      <c r="B13" s="640">
        <f t="shared" ref="B13:AG13" si="3">SUM(B9,B12)</f>
        <v>3.9022499999999996</v>
      </c>
      <c r="C13" s="641">
        <f t="shared" si="3"/>
        <v>3.9380962500000001</v>
      </c>
      <c r="D13" s="641">
        <f t="shared" si="3"/>
        <v>4.2874837499999998</v>
      </c>
      <c r="E13" s="641">
        <f t="shared" ca="1" si="3"/>
        <v>4.6368712500000004</v>
      </c>
      <c r="F13" s="641">
        <f t="shared" ca="1" si="3"/>
        <v>4.2012712499999996</v>
      </c>
      <c r="G13" s="641">
        <f t="shared" ca="1" si="3"/>
        <v>4.2729637499999988</v>
      </c>
      <c r="H13" s="641">
        <f t="shared" ca="1" si="3"/>
        <v>4.3755112500000006</v>
      </c>
      <c r="I13" s="641">
        <f t="shared" ca="1" si="3"/>
        <v>4.4712525000000003</v>
      </c>
      <c r="J13" s="638">
        <f t="shared" ca="1" si="3"/>
        <v>4.5660862499999997</v>
      </c>
      <c r="K13" s="641">
        <f t="shared" ca="1" si="3"/>
        <v>4.6454924999999996</v>
      </c>
      <c r="L13" s="641">
        <f t="shared" ca="1" si="3"/>
        <v>4.7090174999999999</v>
      </c>
      <c r="M13" s="641">
        <f t="shared" ca="1" si="3"/>
        <v>4.8197324999999998</v>
      </c>
      <c r="N13" s="641">
        <f t="shared" ca="1" si="3"/>
        <v>4.9150200000000002</v>
      </c>
      <c r="O13" s="641">
        <f t="shared" ca="1" si="3"/>
        <v>5.00259375</v>
      </c>
      <c r="P13" s="641">
        <f t="shared" ca="1" si="3"/>
        <v>4.9649324999999997</v>
      </c>
      <c r="Q13" s="641">
        <f t="shared" ca="1" si="3"/>
        <v>5.0121225000000003</v>
      </c>
      <c r="R13" s="641">
        <f t="shared" ca="1" si="3"/>
        <v>5.1074099999999998</v>
      </c>
      <c r="S13" s="641">
        <f t="shared" ca="1" si="3"/>
        <v>5.2185787500000007</v>
      </c>
      <c r="T13" s="641">
        <f t="shared" ca="1" si="3"/>
        <v>5.32158</v>
      </c>
      <c r="U13" s="641">
        <f t="shared" ca="1" si="3"/>
        <v>5.53529625</v>
      </c>
      <c r="V13" s="641">
        <f t="shared" ca="1" si="3"/>
        <v>5.6382974999999993</v>
      </c>
      <c r="W13" s="641">
        <f t="shared" ca="1" si="3"/>
        <v>5.7417524999999996</v>
      </c>
      <c r="X13" s="641">
        <f t="shared" ca="1" si="3"/>
        <v>5.8447537499999997</v>
      </c>
      <c r="Y13" s="641">
        <f t="shared" ca="1" si="3"/>
        <v>5.94820875</v>
      </c>
      <c r="Z13" s="641">
        <f t="shared" ca="1" si="3"/>
        <v>6.0593775000000001</v>
      </c>
      <c r="AA13" s="641">
        <f t="shared" ca="1" si="3"/>
        <v>6.1546649999999996</v>
      </c>
      <c r="AB13" s="641">
        <f t="shared" ca="1" si="3"/>
        <v>6.2658337500000005</v>
      </c>
      <c r="AC13" s="641">
        <f t="shared" ca="1" si="3"/>
        <v>6.3692887499999999</v>
      </c>
      <c r="AD13" s="641">
        <f t="shared" ca="1" si="3"/>
        <v>6.4645762500000004</v>
      </c>
      <c r="AE13" s="641">
        <f t="shared" ca="1" si="3"/>
        <v>6.5916262499999991</v>
      </c>
      <c r="AF13" s="641">
        <f t="shared" ca="1" si="3"/>
        <v>6.7268437499999987</v>
      </c>
      <c r="AG13" s="641">
        <f t="shared" ca="1" si="3"/>
        <v>6.7186762499999997</v>
      </c>
      <c r="AH13" s="641">
        <f ca="1">SUM(AH9,AH12)</f>
        <v>5.5589999999999993</v>
      </c>
      <c r="AI13" s="641"/>
    </row>
    <row r="14" spans="1:35" ht="14.25" customHeight="1" x14ac:dyDescent="0.2">
      <c r="A14" s="474" t="s">
        <v>139</v>
      </c>
      <c r="B14" s="642">
        <f>IF(B6=0,0,B13/B6)</f>
        <v>1.933290396096014E-2</v>
      </c>
      <c r="C14" s="642">
        <f t="shared" ref="C14:AG14" si="4">IF(C6=0,0,C13/C6)</f>
        <v>1.8234109267243327E-2</v>
      </c>
      <c r="D14" s="642">
        <f t="shared" si="4"/>
        <v>1.9310423840075305E-2</v>
      </c>
      <c r="E14" s="642">
        <f t="shared" ca="1" si="4"/>
        <v>2.0329588966562229E-2</v>
      </c>
      <c r="F14" s="642">
        <f t="shared" ca="1" si="4"/>
        <v>1.8099429501974715E-2</v>
      </c>
      <c r="G14" s="642">
        <f t="shared" ca="1" si="4"/>
        <v>1.8093615245513974E-2</v>
      </c>
      <c r="H14" s="642">
        <f t="shared" ca="1" si="4"/>
        <v>1.8216454259872845E-2</v>
      </c>
      <c r="I14" s="642">
        <f t="shared" ca="1" si="4"/>
        <v>1.8307364561916322E-2</v>
      </c>
      <c r="J14" s="643">
        <f t="shared" ca="1" si="4"/>
        <v>1.8391663127164105E-2</v>
      </c>
      <c r="K14" s="642">
        <f t="shared" ca="1" si="4"/>
        <v>1.84121182095172E-2</v>
      </c>
      <c r="L14" s="642">
        <f t="shared" ca="1" si="4"/>
        <v>1.8369975948255297E-2</v>
      </c>
      <c r="M14" s="642">
        <f t="shared" ca="1" si="4"/>
        <v>1.851037550687927E-2</v>
      </c>
      <c r="N14" s="642">
        <f t="shared" ca="1" si="4"/>
        <v>1.858814270416477E-2</v>
      </c>
      <c r="O14" s="642">
        <f t="shared" ca="1" si="4"/>
        <v>1.8634837049273087E-2</v>
      </c>
      <c r="P14" s="642">
        <f t="shared" ca="1" si="4"/>
        <v>1.8086579611903714E-2</v>
      </c>
      <c r="Q14" s="642">
        <f t="shared" ca="1" si="4"/>
        <v>1.7864418366468609E-2</v>
      </c>
      <c r="R14" s="642">
        <f t="shared" ca="1" si="4"/>
        <v>1.7819453568995034E-2</v>
      </c>
      <c r="S14" s="642">
        <f t="shared" ca="1" si="4"/>
        <v>1.7830611744587218E-2</v>
      </c>
      <c r="T14" s="642">
        <f t="shared" ca="1" si="4"/>
        <v>1.7813976874146809E-2</v>
      </c>
      <c r="U14" s="642">
        <f t="shared" ca="1" si="4"/>
        <v>1.8161257925439149E-2</v>
      </c>
      <c r="V14" s="642">
        <f t="shared" ca="1" si="4"/>
        <v>1.8138830007466831E-2</v>
      </c>
      <c r="W14" s="642">
        <f t="shared" ca="1" si="4"/>
        <v>1.8118691062212235E-2</v>
      </c>
      <c r="X14" s="642">
        <f t="shared" ca="1" si="4"/>
        <v>1.8097902319849389E-2</v>
      </c>
      <c r="Y14" s="642">
        <f t="shared" ca="1" si="4"/>
        <v>1.8079257955787312E-2</v>
      </c>
      <c r="Z14" s="642">
        <f t="shared" ca="1" si="4"/>
        <v>1.8084309294946886E-2</v>
      </c>
      <c r="AA14" s="642">
        <f t="shared" ca="1" si="4"/>
        <v>1.8042624833250542E-2</v>
      </c>
      <c r="AB14" s="642">
        <f t="shared" ca="1" si="4"/>
        <v>1.8048138912716241E-2</v>
      </c>
      <c r="AC14" s="642">
        <f t="shared" ca="1" si="4"/>
        <v>1.8031626106312128E-2</v>
      </c>
      <c r="AD14" s="642">
        <f t="shared" ca="1" si="4"/>
        <v>1.7992937204847084E-2</v>
      </c>
      <c r="AE14" s="642">
        <f t="shared" ca="1" si="4"/>
        <v>1.8042470502432736E-2</v>
      </c>
      <c r="AF14" s="642">
        <f t="shared" ca="1" si="4"/>
        <v>1.8112380006397498E-2</v>
      </c>
      <c r="AG14" s="642">
        <f t="shared" ca="1" si="4"/>
        <v>1.809038858379277E-2</v>
      </c>
      <c r="AH14" s="642">
        <f ca="1">IF(AH6=0,0,AH13/AH6)</f>
        <v>1.4967899389005982E-2</v>
      </c>
      <c r="AI14" s="642"/>
    </row>
    <row r="15" spans="1:35" x14ac:dyDescent="0.2">
      <c r="B15" s="644"/>
      <c r="C15" s="644"/>
      <c r="D15" s="644"/>
      <c r="E15" s="644"/>
      <c r="F15" s="644"/>
      <c r="G15" s="644"/>
      <c r="H15" s="644"/>
      <c r="I15" s="644"/>
      <c r="J15" s="645"/>
      <c r="K15" s="644"/>
      <c r="L15" s="644"/>
      <c r="M15" s="644"/>
      <c r="N15" s="644"/>
      <c r="O15" s="644"/>
      <c r="P15" s="644"/>
      <c r="Q15" s="644"/>
      <c r="R15" s="644"/>
      <c r="S15" s="644"/>
      <c r="T15" s="644"/>
      <c r="U15" s="644"/>
    </row>
    <row r="16" spans="1:35" ht="25.5" x14ac:dyDescent="0.2">
      <c r="A16" s="634" t="str">
        <f>"Pie ierobežota tarifu apjoma, kas nepārsniedz "&amp;'Datu ievade'!B44*100&amp;"% no mājsaimniecību ienākumiem"</f>
        <v>Pie ierobežota tarifu apjoma, kas nepārsniedz 4% no mājsaimniecību ienākumiem</v>
      </c>
      <c r="B16" s="635">
        <f>Aprekini!B5</f>
        <v>2014</v>
      </c>
      <c r="C16" s="635">
        <f t="shared" ref="C16:AG16" si="5">B16+1</f>
        <v>2015</v>
      </c>
      <c r="D16" s="635">
        <f t="shared" si="5"/>
        <v>2016</v>
      </c>
      <c r="E16" s="635">
        <f t="shared" si="5"/>
        <v>2017</v>
      </c>
      <c r="F16" s="635">
        <f t="shared" si="5"/>
        <v>2018</v>
      </c>
      <c r="G16" s="635">
        <f t="shared" si="5"/>
        <v>2019</v>
      </c>
      <c r="H16" s="635">
        <f t="shared" si="5"/>
        <v>2020</v>
      </c>
      <c r="I16" s="635">
        <f t="shared" si="5"/>
        <v>2021</v>
      </c>
      <c r="J16" s="467">
        <f t="shared" si="5"/>
        <v>2022</v>
      </c>
      <c r="K16" s="635">
        <f t="shared" si="5"/>
        <v>2023</v>
      </c>
      <c r="L16" s="635">
        <f t="shared" si="5"/>
        <v>2024</v>
      </c>
      <c r="M16" s="635">
        <f t="shared" si="5"/>
        <v>2025</v>
      </c>
      <c r="N16" s="635">
        <f t="shared" si="5"/>
        <v>2026</v>
      </c>
      <c r="O16" s="635">
        <f t="shared" si="5"/>
        <v>2027</v>
      </c>
      <c r="P16" s="635">
        <f t="shared" si="5"/>
        <v>2028</v>
      </c>
      <c r="Q16" s="635">
        <f t="shared" si="5"/>
        <v>2029</v>
      </c>
      <c r="R16" s="635">
        <f t="shared" si="5"/>
        <v>2030</v>
      </c>
      <c r="S16" s="635">
        <f t="shared" si="5"/>
        <v>2031</v>
      </c>
      <c r="T16" s="635">
        <f t="shared" si="5"/>
        <v>2032</v>
      </c>
      <c r="U16" s="635">
        <f t="shared" si="5"/>
        <v>2033</v>
      </c>
      <c r="V16" s="635">
        <f t="shared" si="5"/>
        <v>2034</v>
      </c>
      <c r="W16" s="635">
        <f t="shared" si="5"/>
        <v>2035</v>
      </c>
      <c r="X16" s="635">
        <f t="shared" si="5"/>
        <v>2036</v>
      </c>
      <c r="Y16" s="635">
        <f t="shared" si="5"/>
        <v>2037</v>
      </c>
      <c r="Z16" s="635">
        <f t="shared" si="5"/>
        <v>2038</v>
      </c>
      <c r="AA16" s="635">
        <f t="shared" si="5"/>
        <v>2039</v>
      </c>
      <c r="AB16" s="635">
        <f t="shared" si="5"/>
        <v>2040</v>
      </c>
      <c r="AC16" s="635">
        <f t="shared" si="5"/>
        <v>2041</v>
      </c>
      <c r="AD16" s="635">
        <f t="shared" si="5"/>
        <v>2042</v>
      </c>
      <c r="AE16" s="635">
        <f t="shared" si="5"/>
        <v>2043</v>
      </c>
      <c r="AF16" s="635">
        <f t="shared" si="5"/>
        <v>2044</v>
      </c>
      <c r="AG16" s="636">
        <f t="shared" si="5"/>
        <v>2045</v>
      </c>
      <c r="AH16" s="636">
        <f>AG16+1</f>
        <v>2046</v>
      </c>
      <c r="AI16" s="636"/>
    </row>
    <row r="17" spans="1:35" s="165" customFormat="1" ht="14.25" customHeight="1" x14ac:dyDescent="0.2">
      <c r="A17" s="474" t="str">
        <f t="shared" ref="A17:A25" si="6">A6</f>
        <v>11.1.Vidējie mājsaimniecības mēneša ienākumi (EUR)</v>
      </c>
      <c r="B17" s="637">
        <f>'Datu ievade'!B418</f>
        <v>201.845</v>
      </c>
      <c r="C17" s="637">
        <f>'Datu ievade'!C418</f>
        <v>215.97415000000001</v>
      </c>
      <c r="D17" s="637">
        <f>'Datu ievade'!D418</f>
        <v>222.02950000000001</v>
      </c>
      <c r="E17" s="637">
        <f>'Datu ievade'!E418</f>
        <v>228.08484999999999</v>
      </c>
      <c r="F17" s="637">
        <f>'Datu ievade'!F418</f>
        <v>232.12174999999999</v>
      </c>
      <c r="G17" s="637">
        <f>'Datu ievade'!G418</f>
        <v>236.15864999999999</v>
      </c>
      <c r="H17" s="637">
        <f>'Datu ievade'!H418</f>
        <v>240.19555</v>
      </c>
      <c r="I17" s="637">
        <f>'Datu ievade'!I418</f>
        <v>244.23245</v>
      </c>
      <c r="J17" s="639">
        <f>'Datu ievade'!J418</f>
        <v>248.26935</v>
      </c>
      <c r="K17" s="637">
        <f>'Datu ievade'!K418</f>
        <v>252.30625000000001</v>
      </c>
      <c r="L17" s="637">
        <f>'Datu ievade'!L418</f>
        <v>256.34314999999998</v>
      </c>
      <c r="M17" s="637">
        <f>'Datu ievade'!M418</f>
        <v>260.38004999999998</v>
      </c>
      <c r="N17" s="637">
        <f>'Datu ievade'!N418</f>
        <v>264.41694999999999</v>
      </c>
      <c r="O17" s="637">
        <f>'Datu ievade'!O418</f>
        <v>268.45384999999999</v>
      </c>
      <c r="P17" s="637">
        <f>'Datu ievade'!P418</f>
        <v>274.50920000000002</v>
      </c>
      <c r="Q17" s="637">
        <f>'Datu ievade'!Q418</f>
        <v>280.56455</v>
      </c>
      <c r="R17" s="637">
        <f>'Datu ievade'!R418</f>
        <v>286.61989999999997</v>
      </c>
      <c r="S17" s="637">
        <f>'Datu ievade'!S418</f>
        <v>292.67525000000001</v>
      </c>
      <c r="T17" s="637">
        <f>'Datu ievade'!T418</f>
        <v>298.73059999999998</v>
      </c>
      <c r="U17" s="637">
        <f>'Datu ievade'!U418</f>
        <v>304.78595000000001</v>
      </c>
      <c r="V17" s="637">
        <f>'Datu ievade'!V418</f>
        <v>310.84129999999999</v>
      </c>
      <c r="W17" s="637">
        <f>'Datu ievade'!W418</f>
        <v>316.89665000000002</v>
      </c>
      <c r="X17" s="637">
        <f>'Datu ievade'!X418</f>
        <v>322.952</v>
      </c>
      <c r="Y17" s="637">
        <f>'Datu ievade'!Y418</f>
        <v>329.00734999999997</v>
      </c>
      <c r="Z17" s="637">
        <f>'Datu ievade'!Z418</f>
        <v>335.06270000000001</v>
      </c>
      <c r="AA17" s="637">
        <f>'Datu ievade'!AA418</f>
        <v>341.11804999999998</v>
      </c>
      <c r="AB17" s="637">
        <f>'Datu ievade'!AB418</f>
        <v>347.17340000000002</v>
      </c>
      <c r="AC17" s="637">
        <f>'Datu ievade'!AC418</f>
        <v>353.22874999999999</v>
      </c>
      <c r="AD17" s="637">
        <f>'Datu ievade'!AD418</f>
        <v>359.28410000000002</v>
      </c>
      <c r="AE17" s="637">
        <f>'Datu ievade'!AE418</f>
        <v>365.33945</v>
      </c>
      <c r="AF17" s="637">
        <f>'Datu ievade'!AF418</f>
        <v>371.39480000000003</v>
      </c>
      <c r="AG17" s="637">
        <f>'Datu ievade'!AG418</f>
        <v>371.39480000000003</v>
      </c>
      <c r="AH17" s="637">
        <f>'Datu ievade'!AH418</f>
        <v>371.39480000000003</v>
      </c>
      <c r="AI17" s="637"/>
    </row>
    <row r="18" spans="1:35" s="165" customFormat="1" ht="13.5" customHeight="1" x14ac:dyDescent="0.2">
      <c r="A18" s="474" t="str">
        <f t="shared" si="6"/>
        <v>11.2. Ūdens patēriņš (m3/uz mājsaimniecību mēnesī)</v>
      </c>
      <c r="B18" s="637">
        <f>'Datu ievade'!B419</f>
        <v>8.25</v>
      </c>
      <c r="C18" s="637">
        <f>'Datu ievade'!C419</f>
        <v>8.25</v>
      </c>
      <c r="D18" s="637">
        <f>'Datu ievade'!D419</f>
        <v>8.25</v>
      </c>
      <c r="E18" s="637">
        <f>'Datu ievade'!E419</f>
        <v>8.25</v>
      </c>
      <c r="F18" s="637">
        <f>'Datu ievade'!F419</f>
        <v>6.75</v>
      </c>
      <c r="G18" s="637">
        <f>'Datu ievade'!G419</f>
        <v>6.75</v>
      </c>
      <c r="H18" s="637">
        <f>'Datu ievade'!H419</f>
        <v>6.75</v>
      </c>
      <c r="I18" s="637">
        <f>'Datu ievade'!I419</f>
        <v>6.75</v>
      </c>
      <c r="J18" s="639">
        <f>'Datu ievade'!J419</f>
        <v>6.75</v>
      </c>
      <c r="K18" s="637">
        <f>'Datu ievade'!K419</f>
        <v>6.75</v>
      </c>
      <c r="L18" s="637">
        <f>'Datu ievade'!L419</f>
        <v>6.75</v>
      </c>
      <c r="M18" s="637">
        <f>'Datu ievade'!M419</f>
        <v>6.75</v>
      </c>
      <c r="N18" s="637">
        <f>'Datu ievade'!N419</f>
        <v>6.75</v>
      </c>
      <c r="O18" s="637">
        <f>'Datu ievade'!O419</f>
        <v>6.75</v>
      </c>
      <c r="P18" s="637">
        <f>'Datu ievade'!P419</f>
        <v>6.75</v>
      </c>
      <c r="Q18" s="637">
        <f>'Datu ievade'!Q419</f>
        <v>6.75</v>
      </c>
      <c r="R18" s="637">
        <f>'Datu ievade'!R419</f>
        <v>6.75</v>
      </c>
      <c r="S18" s="637">
        <f>'Datu ievade'!S419</f>
        <v>6.75</v>
      </c>
      <c r="T18" s="637">
        <f>'Datu ievade'!T419</f>
        <v>6.75</v>
      </c>
      <c r="U18" s="637">
        <f>'Datu ievade'!U419</f>
        <v>6.75</v>
      </c>
      <c r="V18" s="637">
        <f>'Datu ievade'!V419</f>
        <v>6.75</v>
      </c>
      <c r="W18" s="637">
        <f>'Datu ievade'!W419</f>
        <v>6.75</v>
      </c>
      <c r="X18" s="637">
        <f>'Datu ievade'!X419</f>
        <v>6.75</v>
      </c>
      <c r="Y18" s="637">
        <f>'Datu ievade'!Y419</f>
        <v>6.75</v>
      </c>
      <c r="Z18" s="637">
        <f>'Datu ievade'!Z419</f>
        <v>6.75</v>
      </c>
      <c r="AA18" s="637">
        <f>'Datu ievade'!AA419</f>
        <v>6.75</v>
      </c>
      <c r="AB18" s="637">
        <f>'Datu ievade'!AB419</f>
        <v>6.75</v>
      </c>
      <c r="AC18" s="637">
        <f>'Datu ievade'!AC419</f>
        <v>6.75</v>
      </c>
      <c r="AD18" s="637">
        <f>'Datu ievade'!AD419</f>
        <v>6.75</v>
      </c>
      <c r="AE18" s="637">
        <f>'Datu ievade'!AE419</f>
        <v>6.75</v>
      </c>
      <c r="AF18" s="637">
        <f>'Datu ievade'!AF419</f>
        <v>6.75</v>
      </c>
      <c r="AG18" s="637">
        <f>'Datu ievade'!AG419</f>
        <v>6.75</v>
      </c>
      <c r="AH18" s="637">
        <f>'Datu ievade'!AH419</f>
        <v>6.75</v>
      </c>
      <c r="AI18" s="637"/>
    </row>
    <row r="19" spans="1:35" s="165" customFormat="1" ht="13.5" customHeight="1" x14ac:dyDescent="0.2">
      <c r="A19" s="474" t="str">
        <f t="shared" si="6"/>
        <v>11.3. Ūdensapgādes tarifs (EUR/m3), iesk. PVN 21%</v>
      </c>
      <c r="B19" s="640">
        <f>'Datu ievade'!B391*1.21</f>
        <v>0.24199999999999999</v>
      </c>
      <c r="C19" s="640">
        <f>'Datu ievade'!C391*1.21</f>
        <v>0.23595000000000005</v>
      </c>
      <c r="D19" s="640">
        <f>'Datu ievade'!D391*1.21</f>
        <v>0.25288999999999995</v>
      </c>
      <c r="E19" s="640">
        <f ca="1">'Datu ievade'!E391*1.21</f>
        <v>0.26982999999999996</v>
      </c>
      <c r="F19" s="640">
        <f ca="1">'Datu ievade'!F391*1.21</f>
        <v>0.32186000000000003</v>
      </c>
      <c r="G19" s="640">
        <f ca="1">'Datu ievade'!G391*1.21</f>
        <v>0.32790999999999992</v>
      </c>
      <c r="H19" s="640">
        <f ca="1">'Datu ievade'!H391*1.21</f>
        <v>0.33396000000000003</v>
      </c>
      <c r="I19" s="640">
        <f ca="1">'Datu ievade'!I391*1.21</f>
        <v>0.34242999999999996</v>
      </c>
      <c r="J19" s="640">
        <f ca="1">'Datu ievade'!J391*1.21</f>
        <v>0.34847999999999996</v>
      </c>
      <c r="K19" s="640">
        <f ca="1">'Datu ievade'!K391*1.21</f>
        <v>0.35453000000000001</v>
      </c>
      <c r="L19" s="640">
        <f ca="1">'Datu ievade'!L391*1.21</f>
        <v>0.35936999999999997</v>
      </c>
      <c r="M19" s="640">
        <f ca="1">'Datu ievade'!M391*1.21</f>
        <v>0.36662999999999996</v>
      </c>
      <c r="N19" s="640">
        <f ca="1">'Datu ievade'!N391*1.21</f>
        <v>0.37389</v>
      </c>
      <c r="O19" s="640">
        <f ca="1">'Datu ievade'!O391*1.21</f>
        <v>0.38114999999999999</v>
      </c>
      <c r="P19" s="640">
        <f ca="1">'Datu ievade'!P391*1.21</f>
        <v>0.38356999999999997</v>
      </c>
      <c r="Q19" s="640">
        <f ca="1">'Datu ievade'!Q391*1.21</f>
        <v>0.38598999999999994</v>
      </c>
      <c r="R19" s="640">
        <f ca="1">'Datu ievade'!R391*1.21</f>
        <v>0.39325000000000004</v>
      </c>
      <c r="S19" s="640">
        <f ca="1">'Datu ievade'!S391*1.21</f>
        <v>0.40172000000000002</v>
      </c>
      <c r="T19" s="640">
        <f ca="1">'Datu ievade'!T391*1.21</f>
        <v>0.40898000000000007</v>
      </c>
      <c r="U19" s="640">
        <f ca="1">'Datu ievade'!U391*1.21</f>
        <v>0.42349999999999999</v>
      </c>
      <c r="V19" s="640">
        <f ca="1">'Datu ievade'!V391*1.21</f>
        <v>0.43076000000000003</v>
      </c>
      <c r="W19" s="640">
        <f ca="1">'Datu ievade'!W391*1.21</f>
        <v>0.43922999999999995</v>
      </c>
      <c r="X19" s="640">
        <f ca="1">'Datu ievade'!X391*1.21</f>
        <v>0.44648999999999989</v>
      </c>
      <c r="Y19" s="640">
        <f ca="1">'Datu ievade'!Y391*1.21</f>
        <v>0.45495999999999992</v>
      </c>
      <c r="Z19" s="640">
        <f ca="1">'Datu ievade'!Z391*1.21</f>
        <v>0.46343000000000001</v>
      </c>
      <c r="AA19" s="640">
        <f ca="1">'Datu ievade'!AA391*1.21</f>
        <v>0.47069</v>
      </c>
      <c r="AB19" s="640">
        <f ca="1">'Datu ievade'!AB391*1.21</f>
        <v>0.47915999999999992</v>
      </c>
      <c r="AC19" s="640">
        <f ca="1">'Datu ievade'!AC391*1.21</f>
        <v>0.48762999999999995</v>
      </c>
      <c r="AD19" s="640">
        <f ca="1">'Datu ievade'!AD391*1.21</f>
        <v>0.49488999999999994</v>
      </c>
      <c r="AE19" s="640">
        <f ca="1">'Datu ievade'!AE391*1.21</f>
        <v>0.50457000000000007</v>
      </c>
      <c r="AF19" s="640">
        <f ca="1">'Datu ievade'!AF391*1.21</f>
        <v>0.51545999999999992</v>
      </c>
      <c r="AG19" s="640">
        <f ca="1">'Datu ievade'!AG391*1.21</f>
        <v>0.51424999999999998</v>
      </c>
      <c r="AH19" s="640">
        <f ca="1">'Datu ievade'!AH391*1.21</f>
        <v>0.51424999999999998</v>
      </c>
      <c r="AI19" s="640"/>
    </row>
    <row r="20" spans="1:35" ht="13.5" customHeight="1" x14ac:dyDescent="0.2">
      <c r="A20" s="523" t="str">
        <f t="shared" si="6"/>
        <v>11.4. Mājsaimniecības izdevumi ūdensapgādes pakalpojumiem mēnesī (EUR)</v>
      </c>
      <c r="B20" s="637">
        <f>B18*B19</f>
        <v>1.9964999999999999</v>
      </c>
      <c r="C20" s="637">
        <f t="shared" ref="C20:AH20" si="7">C18*C19</f>
        <v>1.9465875000000004</v>
      </c>
      <c r="D20" s="637">
        <f t="shared" si="7"/>
        <v>2.0863424999999998</v>
      </c>
      <c r="E20" s="637">
        <f t="shared" ca="1" si="7"/>
        <v>2.2260974999999998</v>
      </c>
      <c r="F20" s="637">
        <f t="shared" ca="1" si="7"/>
        <v>2.172555</v>
      </c>
      <c r="G20" s="637">
        <f t="shared" ca="1" si="7"/>
        <v>2.2133924999999994</v>
      </c>
      <c r="H20" s="637">
        <f t="shared" ca="1" si="7"/>
        <v>2.2542300000000002</v>
      </c>
      <c r="I20" s="637">
        <f t="shared" ca="1" si="7"/>
        <v>2.3114024999999998</v>
      </c>
      <c r="J20" s="637">
        <f t="shared" ca="1" si="7"/>
        <v>2.3522399999999997</v>
      </c>
      <c r="K20" s="637">
        <f t="shared" ca="1" si="7"/>
        <v>2.3930775</v>
      </c>
      <c r="L20" s="637">
        <f t="shared" ca="1" si="7"/>
        <v>2.4257474999999999</v>
      </c>
      <c r="M20" s="637">
        <f t="shared" ca="1" si="7"/>
        <v>2.4747524999999997</v>
      </c>
      <c r="N20" s="637">
        <f t="shared" ca="1" si="7"/>
        <v>2.5237574999999999</v>
      </c>
      <c r="O20" s="637">
        <f t="shared" ca="1" si="7"/>
        <v>2.5727625000000001</v>
      </c>
      <c r="P20" s="637">
        <f t="shared" ca="1" si="7"/>
        <v>2.5890974999999998</v>
      </c>
      <c r="Q20" s="637">
        <f t="shared" ca="1" si="7"/>
        <v>2.6054324999999996</v>
      </c>
      <c r="R20" s="637">
        <f t="shared" ca="1" si="7"/>
        <v>2.6544375000000002</v>
      </c>
      <c r="S20" s="637">
        <f t="shared" ca="1" si="7"/>
        <v>2.7116100000000003</v>
      </c>
      <c r="T20" s="637">
        <f t="shared" ca="1" si="7"/>
        <v>2.7606150000000005</v>
      </c>
      <c r="U20" s="637">
        <f t="shared" ca="1" si="7"/>
        <v>2.858625</v>
      </c>
      <c r="V20" s="637">
        <f t="shared" ca="1" si="7"/>
        <v>2.9076300000000002</v>
      </c>
      <c r="W20" s="637">
        <f t="shared" ca="1" si="7"/>
        <v>2.9648024999999998</v>
      </c>
      <c r="X20" s="637">
        <f t="shared" ca="1" si="7"/>
        <v>3.0138074999999991</v>
      </c>
      <c r="Y20" s="637">
        <f t="shared" ca="1" si="7"/>
        <v>3.0709799999999996</v>
      </c>
      <c r="Z20" s="637">
        <f t="shared" ca="1" si="7"/>
        <v>3.1281525000000001</v>
      </c>
      <c r="AA20" s="637">
        <f t="shared" ca="1" si="7"/>
        <v>3.1771574999999999</v>
      </c>
      <c r="AB20" s="637">
        <f t="shared" ca="1" si="7"/>
        <v>3.2343299999999995</v>
      </c>
      <c r="AC20" s="637">
        <f t="shared" ca="1" si="7"/>
        <v>3.2915024999999996</v>
      </c>
      <c r="AD20" s="637">
        <f t="shared" ca="1" si="7"/>
        <v>3.3405074999999997</v>
      </c>
      <c r="AE20" s="637">
        <f t="shared" ca="1" si="7"/>
        <v>3.4058475000000006</v>
      </c>
      <c r="AF20" s="637">
        <f t="shared" ca="1" si="7"/>
        <v>3.4793549999999995</v>
      </c>
      <c r="AG20" s="637">
        <f t="shared" ca="1" si="7"/>
        <v>3.4711875000000001</v>
      </c>
      <c r="AH20" s="637">
        <f t="shared" ca="1" si="7"/>
        <v>3.4711875000000001</v>
      </c>
      <c r="AI20" s="637"/>
    </row>
    <row r="21" spans="1:35" ht="14.25" customHeight="1" x14ac:dyDescent="0.2">
      <c r="A21" s="474" t="str">
        <f t="shared" si="6"/>
        <v>11.5. Notekūdeņu apjoms (m3/uz mājsaimniecību mēnesī)</v>
      </c>
      <c r="B21" s="637">
        <f>'Datu ievade'!B421</f>
        <v>7.875</v>
      </c>
      <c r="C21" s="637">
        <f>'Datu ievade'!C421</f>
        <v>7.875</v>
      </c>
      <c r="D21" s="637">
        <f>'Datu ievade'!D421</f>
        <v>7.875</v>
      </c>
      <c r="E21" s="637">
        <f>'Datu ievade'!E421</f>
        <v>7.875</v>
      </c>
      <c r="F21" s="637">
        <f>'Datu ievade'!F421</f>
        <v>6.375</v>
      </c>
      <c r="G21" s="637">
        <f>'Datu ievade'!G421</f>
        <v>6.375</v>
      </c>
      <c r="H21" s="637">
        <f>'Datu ievade'!H421</f>
        <v>6.375</v>
      </c>
      <c r="I21" s="637">
        <f>'Datu ievade'!I421</f>
        <v>6.375</v>
      </c>
      <c r="J21" s="639">
        <f>'Datu ievade'!J421</f>
        <v>6.375</v>
      </c>
      <c r="K21" s="637">
        <f>'Datu ievade'!K421</f>
        <v>6.375</v>
      </c>
      <c r="L21" s="637">
        <f>'Datu ievade'!L421</f>
        <v>6.375</v>
      </c>
      <c r="M21" s="637">
        <f>'Datu ievade'!M421</f>
        <v>6.375</v>
      </c>
      <c r="N21" s="637">
        <f>'Datu ievade'!N421</f>
        <v>6.375</v>
      </c>
      <c r="O21" s="637">
        <f>'Datu ievade'!O421</f>
        <v>6.375</v>
      </c>
      <c r="P21" s="637">
        <f>'Datu ievade'!P421</f>
        <v>6.375</v>
      </c>
      <c r="Q21" s="637">
        <f>'Datu ievade'!Q421</f>
        <v>6.375</v>
      </c>
      <c r="R21" s="637">
        <f>'Datu ievade'!R421</f>
        <v>6.375</v>
      </c>
      <c r="S21" s="637">
        <f>'Datu ievade'!S421</f>
        <v>6.375</v>
      </c>
      <c r="T21" s="637">
        <f>'Datu ievade'!T421</f>
        <v>6.375</v>
      </c>
      <c r="U21" s="637">
        <f>'Datu ievade'!U421</f>
        <v>6.375</v>
      </c>
      <c r="V21" s="637">
        <f>'Datu ievade'!V421</f>
        <v>6.375</v>
      </c>
      <c r="W21" s="637">
        <f>'Datu ievade'!W421</f>
        <v>6.375</v>
      </c>
      <c r="X21" s="637">
        <f>'Datu ievade'!X421</f>
        <v>6.375</v>
      </c>
      <c r="Y21" s="637">
        <f>'Datu ievade'!Y421</f>
        <v>6.375</v>
      </c>
      <c r="Z21" s="637">
        <f>'Datu ievade'!Z421</f>
        <v>6.375</v>
      </c>
      <c r="AA21" s="637">
        <f>'Datu ievade'!AA421</f>
        <v>6.375</v>
      </c>
      <c r="AB21" s="637">
        <f>'Datu ievade'!AB421</f>
        <v>6.375</v>
      </c>
      <c r="AC21" s="637">
        <f>'Datu ievade'!AC421</f>
        <v>6.375</v>
      </c>
      <c r="AD21" s="637">
        <f>'Datu ievade'!AD421</f>
        <v>6.375</v>
      </c>
      <c r="AE21" s="637">
        <f>'Datu ievade'!AE421</f>
        <v>6.375</v>
      </c>
      <c r="AF21" s="637">
        <f>'Datu ievade'!AF421</f>
        <v>6.375</v>
      </c>
      <c r="AG21" s="637">
        <f>'Datu ievade'!AG421</f>
        <v>6.375</v>
      </c>
      <c r="AH21" s="637">
        <f>'Datu ievade'!AH421</f>
        <v>6.375</v>
      </c>
      <c r="AI21" s="637"/>
    </row>
    <row r="22" spans="1:35" ht="14.25" customHeight="1" x14ac:dyDescent="0.2">
      <c r="A22" s="474" t="str">
        <f t="shared" si="6"/>
        <v>11.6. Kanalizācijas tarifs (EUR/m3), iesk. PVN 21%</v>
      </c>
      <c r="B22" s="640">
        <f>'Datu ievade'!B398*1.21</f>
        <v>0.24199999999999999</v>
      </c>
      <c r="C22" s="640">
        <f>'Datu ievade'!C398*1.21</f>
        <v>0.25289</v>
      </c>
      <c r="D22" s="640">
        <f>'Datu ievade'!D398*1.21</f>
        <v>0.27950999999999998</v>
      </c>
      <c r="E22" s="640">
        <f ca="1">'Datu ievade'!E398*1.21</f>
        <v>0.30613000000000001</v>
      </c>
      <c r="F22" s="640">
        <f ca="1">'Datu ievade'!F398*1.21</f>
        <v>0.31823000000000001</v>
      </c>
      <c r="G22" s="640">
        <f ca="1">'Datu ievade'!G398*1.21</f>
        <v>0.32306999999999997</v>
      </c>
      <c r="H22" s="640">
        <f ca="1">'Datu ievade'!H398*1.21</f>
        <v>0.33274999999999999</v>
      </c>
      <c r="I22" s="640">
        <f ca="1">'Datu ievade'!I398*1.21</f>
        <v>0.33880000000000005</v>
      </c>
      <c r="J22" s="640">
        <f ca="1">'Datu ievade'!J398*1.21</f>
        <v>0.34726999999999991</v>
      </c>
      <c r="K22" s="640">
        <f ca="1">'Datu ievade'!K398*1.21</f>
        <v>0.35332000000000002</v>
      </c>
      <c r="L22" s="640">
        <f ca="1">'Datu ievade'!L398*1.21</f>
        <v>0.35815999999999998</v>
      </c>
      <c r="M22" s="640">
        <f ca="1">'Datu ievade'!M398*1.21</f>
        <v>0.36784</v>
      </c>
      <c r="N22" s="640">
        <f ca="1">'Datu ievade'!N398*1.21</f>
        <v>0.37509999999999999</v>
      </c>
      <c r="O22" s="640">
        <f ca="1">'Datu ievade'!O398*1.21</f>
        <v>0.38115000000000004</v>
      </c>
      <c r="P22" s="640">
        <f ca="1">'Datu ievade'!P398*1.21</f>
        <v>0.37268000000000001</v>
      </c>
      <c r="Q22" s="640">
        <f ca="1">'Datu ievade'!Q398*1.21</f>
        <v>0.37752000000000008</v>
      </c>
      <c r="R22" s="640">
        <f ca="1">'Datu ievade'!R398*1.21</f>
        <v>0.38478000000000001</v>
      </c>
      <c r="S22" s="640">
        <f ca="1">'Datu ievade'!S398*1.21</f>
        <v>0.39324999999999999</v>
      </c>
      <c r="T22" s="640">
        <f ca="1">'Datu ievade'!T398*1.21</f>
        <v>0.40172000000000008</v>
      </c>
      <c r="U22" s="640">
        <f ca="1">'Datu ievade'!U398*1.21</f>
        <v>0.41986999999999997</v>
      </c>
      <c r="V22" s="640">
        <f ca="1">'Datu ievade'!V398*1.21</f>
        <v>0.42833999999999994</v>
      </c>
      <c r="W22" s="640">
        <f ca="1">'Datu ievade'!W398*1.21</f>
        <v>0.43559999999999999</v>
      </c>
      <c r="X22" s="640">
        <f ca="1">'Datu ievade'!X398*1.21</f>
        <v>0.44406999999999996</v>
      </c>
      <c r="Y22" s="640">
        <f ca="1">'Datu ievade'!Y398*1.21</f>
        <v>0.45133000000000001</v>
      </c>
      <c r="Z22" s="640">
        <f ca="1">'Datu ievade'!Z398*1.21</f>
        <v>0.45979999999999999</v>
      </c>
      <c r="AA22" s="640">
        <f ca="1">'Datu ievade'!AA398*1.21</f>
        <v>0.46705999999999998</v>
      </c>
      <c r="AB22" s="640">
        <f ca="1">'Datu ievade'!AB398*1.21</f>
        <v>0.47552999999999995</v>
      </c>
      <c r="AC22" s="640">
        <f ca="1">'Datu ievade'!AC398*1.21</f>
        <v>0.48279</v>
      </c>
      <c r="AD22" s="640">
        <f ca="1">'Datu ievade'!AD398*1.21</f>
        <v>0.49005000000000004</v>
      </c>
      <c r="AE22" s="640">
        <f ca="1">'Datu ievade'!AE398*1.21</f>
        <v>0.49973000000000001</v>
      </c>
      <c r="AF22" s="640">
        <f ca="1">'Datu ievade'!AF398*1.21</f>
        <v>0.50941000000000003</v>
      </c>
      <c r="AG22" s="640">
        <f ca="1">'Datu ievade'!AG398*1.21</f>
        <v>0.50941000000000003</v>
      </c>
      <c r="AH22" s="640">
        <f ca="1">'Datu ievade'!AH398*1.21</f>
        <v>0.51061999999999996</v>
      </c>
      <c r="AI22" s="640"/>
    </row>
    <row r="23" spans="1:35" ht="14.25" customHeight="1" x14ac:dyDescent="0.2">
      <c r="A23" s="474" t="str">
        <f t="shared" si="6"/>
        <v>11.7. Mājsaimniecības izdevumi kanalizācijas pakalpojumiem mēnesī (EUR)</v>
      </c>
      <c r="B23" s="637">
        <f>B22*B21</f>
        <v>1.9057499999999998</v>
      </c>
      <c r="C23" s="637">
        <f t="shared" ref="C23:AH23" si="8">C22*C21</f>
        <v>1.9915087499999999</v>
      </c>
      <c r="D23" s="637">
        <f t="shared" si="8"/>
        <v>2.20114125</v>
      </c>
      <c r="E23" s="637">
        <f t="shared" ca="1" si="8"/>
        <v>2.4107737500000002</v>
      </c>
      <c r="F23" s="637">
        <f t="shared" ca="1" si="8"/>
        <v>2.02871625</v>
      </c>
      <c r="G23" s="637">
        <f t="shared" ca="1" si="8"/>
        <v>2.0595712499999999</v>
      </c>
      <c r="H23" s="637">
        <f t="shared" ca="1" si="8"/>
        <v>2.12128125</v>
      </c>
      <c r="I23" s="637">
        <f t="shared" ca="1" si="8"/>
        <v>2.1598500000000005</v>
      </c>
      <c r="J23" s="637">
        <f t="shared" ca="1" si="8"/>
        <v>2.2138462499999996</v>
      </c>
      <c r="K23" s="637">
        <f t="shared" ca="1" si="8"/>
        <v>2.2524150000000001</v>
      </c>
      <c r="L23" s="637">
        <f t="shared" ca="1" si="8"/>
        <v>2.2832699999999999</v>
      </c>
      <c r="M23" s="637">
        <f t="shared" ca="1" si="8"/>
        <v>2.3449800000000001</v>
      </c>
      <c r="N23" s="637">
        <f t="shared" ca="1" si="8"/>
        <v>2.3912624999999998</v>
      </c>
      <c r="O23" s="637">
        <f t="shared" ca="1" si="8"/>
        <v>2.4298312500000003</v>
      </c>
      <c r="P23" s="637">
        <f t="shared" ca="1" si="8"/>
        <v>2.3758349999999999</v>
      </c>
      <c r="Q23" s="637">
        <f t="shared" ca="1" si="8"/>
        <v>2.4066900000000007</v>
      </c>
      <c r="R23" s="637">
        <f t="shared" ca="1" si="8"/>
        <v>2.4529725</v>
      </c>
      <c r="S23" s="637">
        <f t="shared" ca="1" si="8"/>
        <v>2.50696875</v>
      </c>
      <c r="T23" s="637">
        <f t="shared" ca="1" si="8"/>
        <v>2.5609650000000004</v>
      </c>
      <c r="U23" s="637">
        <f t="shared" ca="1" si="8"/>
        <v>2.6766712499999996</v>
      </c>
      <c r="V23" s="637">
        <f t="shared" ca="1" si="8"/>
        <v>2.7306674999999996</v>
      </c>
      <c r="W23" s="637">
        <f t="shared" ca="1" si="8"/>
        <v>2.7769499999999998</v>
      </c>
      <c r="X23" s="637">
        <f t="shared" ca="1" si="8"/>
        <v>2.8309462499999998</v>
      </c>
      <c r="Y23" s="637">
        <f t="shared" ca="1" si="8"/>
        <v>2.87722875</v>
      </c>
      <c r="Z23" s="637">
        <f t="shared" ca="1" si="8"/>
        <v>2.931225</v>
      </c>
      <c r="AA23" s="637">
        <f t="shared" ca="1" si="8"/>
        <v>2.9775074999999998</v>
      </c>
      <c r="AB23" s="637">
        <f t="shared" ca="1" si="8"/>
        <v>3.0315037499999997</v>
      </c>
      <c r="AC23" s="637">
        <f t="shared" ca="1" si="8"/>
        <v>3.0777862499999999</v>
      </c>
      <c r="AD23" s="637">
        <f t="shared" ca="1" si="8"/>
        <v>3.1240687500000002</v>
      </c>
      <c r="AE23" s="637">
        <f t="shared" ca="1" si="8"/>
        <v>3.1857787499999999</v>
      </c>
      <c r="AF23" s="637">
        <f t="shared" ca="1" si="8"/>
        <v>3.24748875</v>
      </c>
      <c r="AG23" s="637">
        <f t="shared" ca="1" si="8"/>
        <v>3.24748875</v>
      </c>
      <c r="AH23" s="637">
        <f t="shared" ca="1" si="8"/>
        <v>3.2552024999999998</v>
      </c>
      <c r="AI23" s="637"/>
    </row>
    <row r="24" spans="1:35" ht="14.25" customHeight="1" x14ac:dyDescent="0.2">
      <c r="A24" s="474" t="str">
        <f t="shared" si="6"/>
        <v>11.8. Kopā izdevumi ūdenssaimniecības pakalpojumiem</v>
      </c>
      <c r="B24" s="641">
        <f t="shared" ref="B24:AG24" si="9">SUM(B20,B23)</f>
        <v>3.9022499999999996</v>
      </c>
      <c r="C24" s="641">
        <f t="shared" si="9"/>
        <v>3.9380962500000001</v>
      </c>
      <c r="D24" s="641">
        <f t="shared" si="9"/>
        <v>4.2874837499999998</v>
      </c>
      <c r="E24" s="641">
        <f t="shared" ca="1" si="9"/>
        <v>4.6368712500000004</v>
      </c>
      <c r="F24" s="641">
        <f t="shared" ca="1" si="9"/>
        <v>4.2012712499999996</v>
      </c>
      <c r="G24" s="641">
        <f t="shared" ca="1" si="9"/>
        <v>4.2729637499999988</v>
      </c>
      <c r="H24" s="641">
        <f t="shared" ca="1" si="9"/>
        <v>4.3755112500000006</v>
      </c>
      <c r="I24" s="641">
        <f t="shared" ca="1" si="9"/>
        <v>4.4712525000000003</v>
      </c>
      <c r="J24" s="641">
        <f t="shared" ca="1" si="9"/>
        <v>4.5660862499999997</v>
      </c>
      <c r="K24" s="641">
        <f t="shared" ca="1" si="9"/>
        <v>4.6454924999999996</v>
      </c>
      <c r="L24" s="641">
        <f t="shared" ca="1" si="9"/>
        <v>4.7090174999999999</v>
      </c>
      <c r="M24" s="641">
        <f t="shared" ca="1" si="9"/>
        <v>4.8197324999999998</v>
      </c>
      <c r="N24" s="641">
        <f t="shared" ca="1" si="9"/>
        <v>4.9150200000000002</v>
      </c>
      <c r="O24" s="641">
        <f t="shared" ca="1" si="9"/>
        <v>5.0025937500000008</v>
      </c>
      <c r="P24" s="641">
        <f t="shared" ca="1" si="9"/>
        <v>4.9649324999999997</v>
      </c>
      <c r="Q24" s="641">
        <f t="shared" ca="1" si="9"/>
        <v>5.0121225000000003</v>
      </c>
      <c r="R24" s="641">
        <f t="shared" ca="1" si="9"/>
        <v>5.1074099999999998</v>
      </c>
      <c r="S24" s="641">
        <f t="shared" ca="1" si="9"/>
        <v>5.2185787500000007</v>
      </c>
      <c r="T24" s="641">
        <f t="shared" ca="1" si="9"/>
        <v>5.3215800000000009</v>
      </c>
      <c r="U24" s="641">
        <f t="shared" ca="1" si="9"/>
        <v>5.53529625</v>
      </c>
      <c r="V24" s="641">
        <f t="shared" ca="1" si="9"/>
        <v>5.6382975000000002</v>
      </c>
      <c r="W24" s="641">
        <f t="shared" ca="1" si="9"/>
        <v>5.7417524999999996</v>
      </c>
      <c r="X24" s="641">
        <f t="shared" ca="1" si="9"/>
        <v>5.8447537499999989</v>
      </c>
      <c r="Y24" s="641">
        <f t="shared" ca="1" si="9"/>
        <v>5.9482087499999992</v>
      </c>
      <c r="Z24" s="641">
        <f t="shared" ca="1" si="9"/>
        <v>6.0593775000000001</v>
      </c>
      <c r="AA24" s="641">
        <f t="shared" ca="1" si="9"/>
        <v>6.1546649999999996</v>
      </c>
      <c r="AB24" s="641">
        <f t="shared" ca="1" si="9"/>
        <v>6.2658337499999988</v>
      </c>
      <c r="AC24" s="641">
        <f t="shared" ca="1" si="9"/>
        <v>6.3692887499999991</v>
      </c>
      <c r="AD24" s="641">
        <f t="shared" ca="1" si="9"/>
        <v>6.4645762500000004</v>
      </c>
      <c r="AE24" s="641">
        <f t="shared" ca="1" si="9"/>
        <v>6.5916262500000009</v>
      </c>
      <c r="AF24" s="641">
        <f t="shared" ca="1" si="9"/>
        <v>6.7268437499999996</v>
      </c>
      <c r="AG24" s="641">
        <f t="shared" ca="1" si="9"/>
        <v>6.7186762499999997</v>
      </c>
      <c r="AH24" s="641">
        <f ca="1">SUM(AH20,AH23)</f>
        <v>6.7263900000000003</v>
      </c>
      <c r="AI24" s="641"/>
    </row>
    <row r="25" spans="1:35" ht="14.25" customHeight="1" x14ac:dyDescent="0.2">
      <c r="A25" s="474" t="str">
        <f t="shared" si="6"/>
        <v>11.9. Izdevumi % no mājsaimn.vidējiem mēn. ienākumiem</v>
      </c>
      <c r="B25" s="642">
        <f>IF(B17=0,0,B24/B17)</f>
        <v>1.933290396096014E-2</v>
      </c>
      <c r="C25" s="642">
        <f>IF(C17=0,0,C24/C17)</f>
        <v>1.8234109267243327E-2</v>
      </c>
      <c r="D25" s="642">
        <f t="shared" ref="D25:AG25" si="10">IF(D17=0,0,D24/D17)</f>
        <v>1.9310423840075305E-2</v>
      </c>
      <c r="E25" s="642">
        <f t="shared" ca="1" si="10"/>
        <v>2.0329588966562229E-2</v>
      </c>
      <c r="F25" s="642">
        <f t="shared" ca="1" si="10"/>
        <v>1.8099429501974715E-2</v>
      </c>
      <c r="G25" s="642">
        <f t="shared" ca="1" si="10"/>
        <v>1.8093615245513974E-2</v>
      </c>
      <c r="H25" s="642">
        <f t="shared" ca="1" si="10"/>
        <v>1.8216454259872845E-2</v>
      </c>
      <c r="I25" s="642">
        <f t="shared" ca="1" si="10"/>
        <v>1.8307364561916322E-2</v>
      </c>
      <c r="J25" s="642">
        <f t="shared" ca="1" si="10"/>
        <v>1.8391663127164105E-2</v>
      </c>
      <c r="K25" s="642">
        <f t="shared" ca="1" si="10"/>
        <v>1.84121182095172E-2</v>
      </c>
      <c r="L25" s="642">
        <f t="shared" ca="1" si="10"/>
        <v>1.8369975948255297E-2</v>
      </c>
      <c r="M25" s="642">
        <f t="shared" ca="1" si="10"/>
        <v>1.851037550687927E-2</v>
      </c>
      <c r="N25" s="642">
        <f t="shared" ca="1" si="10"/>
        <v>1.858814270416477E-2</v>
      </c>
      <c r="O25" s="642">
        <f t="shared" ca="1" si="10"/>
        <v>1.863483704927309E-2</v>
      </c>
      <c r="P25" s="642">
        <f t="shared" ca="1" si="10"/>
        <v>1.8086579611903714E-2</v>
      </c>
      <c r="Q25" s="642">
        <f t="shared" ca="1" si="10"/>
        <v>1.7864418366468609E-2</v>
      </c>
      <c r="R25" s="642">
        <f t="shared" ca="1" si="10"/>
        <v>1.7819453568995034E-2</v>
      </c>
      <c r="S25" s="642">
        <f t="shared" ca="1" si="10"/>
        <v>1.7830611744587218E-2</v>
      </c>
      <c r="T25" s="642">
        <f t="shared" ca="1" si="10"/>
        <v>1.7813976874146809E-2</v>
      </c>
      <c r="U25" s="642">
        <f t="shared" ca="1" si="10"/>
        <v>1.8161257925439149E-2</v>
      </c>
      <c r="V25" s="642">
        <f t="shared" ca="1" si="10"/>
        <v>1.8138830007466834E-2</v>
      </c>
      <c r="W25" s="642">
        <f t="shared" ca="1" si="10"/>
        <v>1.8118691062212235E-2</v>
      </c>
      <c r="X25" s="642">
        <f t="shared" ca="1" si="10"/>
        <v>1.8097902319849386E-2</v>
      </c>
      <c r="Y25" s="642">
        <f t="shared" ca="1" si="10"/>
        <v>1.8079257955787308E-2</v>
      </c>
      <c r="Z25" s="642">
        <f t="shared" ca="1" si="10"/>
        <v>1.8084309294946886E-2</v>
      </c>
      <c r="AA25" s="642">
        <f t="shared" ca="1" si="10"/>
        <v>1.8042624833250542E-2</v>
      </c>
      <c r="AB25" s="642">
        <f t="shared" ca="1" si="10"/>
        <v>1.8048138912716234E-2</v>
      </c>
      <c r="AC25" s="642">
        <f t="shared" ca="1" si="10"/>
        <v>1.8031626106312124E-2</v>
      </c>
      <c r="AD25" s="642">
        <f t="shared" ca="1" si="10"/>
        <v>1.7992937204847084E-2</v>
      </c>
      <c r="AE25" s="642">
        <f t="shared" ca="1" si="10"/>
        <v>1.8042470502432739E-2</v>
      </c>
      <c r="AF25" s="642">
        <f t="shared" ca="1" si="10"/>
        <v>1.8112380006397501E-2</v>
      </c>
      <c r="AG25" s="642">
        <f t="shared" ca="1" si="10"/>
        <v>1.809038858379277E-2</v>
      </c>
      <c r="AH25" s="642">
        <f ca="1">IF(AH17=0,0,AH24/AH17)</f>
        <v>1.811115826069724E-2</v>
      </c>
      <c r="AI25" s="642"/>
    </row>
    <row r="26" spans="1:35" s="60" customFormat="1" ht="12.75" x14ac:dyDescent="0.2"/>
  </sheetData>
  <phoneticPr fontId="2" type="noConversion"/>
  <printOptions horizontalCentered="1"/>
  <pageMargins left="0.59027777777777779" right="0.59027777777777779" top="0.75" bottom="0.88888888888888884" header="0.51180555555555551" footer="0.75"/>
  <pageSetup paperSize="9" scale="61" firstPageNumber="0" orientation="landscape" horizontalDpi="300" verticalDpi="300"/>
  <headerFooter alignWithMargins="0">
    <oddFooter>&amp;L&amp;A&amp;R&amp;P</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Datu ievade</vt:lpstr>
      <vt:lpstr>pagaidu lapa</vt:lpstr>
      <vt:lpstr>Pamatojums</vt:lpstr>
      <vt:lpstr>Aprekini</vt:lpstr>
      <vt:lpstr>Līdzfinansējums</vt:lpstr>
      <vt:lpstr>Saimnieciskas pamatdarbibas NP</vt:lpstr>
      <vt:lpstr>Naudas plusma</vt:lpstr>
      <vt:lpstr>Ilgtermina saistibas</vt:lpstr>
      <vt:lpstr>Iedzivotaju maksatspeja</vt:lpstr>
      <vt:lpstr>Indikatori</vt:lpstr>
      <vt:lpstr>Excel_BuiltIn_Print_Area_2</vt:lpstr>
      <vt:lpstr>Excel_BuiltIn_Print_Area_8</vt:lpstr>
      <vt:lpstr>Excel_BuiltIn_Print_Titles_9</vt:lpstr>
      <vt:lpstr>Pašvaldība_vai_pašvaldības_iestāde_vai_pašvaldības_aģentūra</vt:lpstr>
      <vt:lpstr>Aprekini!Print_Area</vt:lpstr>
      <vt:lpstr>'Iedzivotaju maksatspeja'!Print_Area</vt:lpstr>
      <vt:lpstr>'Ilgtermina saistibas'!Print_Area</vt:lpstr>
      <vt:lpstr>'Naudas plusma'!Print_Area</vt:lpstr>
      <vt:lpstr>Pamatojums!Print_Area</vt:lpstr>
      <vt:lpstr>'Saimnieciskas pamatdarbibas NP'!Print_Area</vt:lpstr>
      <vt:lpstr>Aprekini!Print_Titles</vt:lpstr>
      <vt:lpstr>'Ilgtermina saistibas'!Print_Titles</vt:lpstr>
      <vt:lpstr>'Naudas plusma'!Print_Titles</vt:lpstr>
      <vt:lpstr>'Saimnieciskas pamatdarbibas NP'!Print_Titles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dc:creator>
  <cp:lastModifiedBy>Ieva Kuzmina</cp:lastModifiedBy>
  <cp:lastPrinted>2015-09-08T16:26:00Z</cp:lastPrinted>
  <dcterms:created xsi:type="dcterms:W3CDTF">2009-03-01T09:15:33Z</dcterms:created>
  <dcterms:modified xsi:type="dcterms:W3CDTF">2015-11-03T08:24:14Z</dcterms:modified>
</cp:coreProperties>
</file>