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5" windowWidth="20055" windowHeight="7935"/>
  </bookViews>
  <sheets>
    <sheet name="5.piel" sheetId="8" r:id="rId1"/>
    <sheet name="5.1.piel" sheetId="9" r:id="rId2"/>
  </sheets>
  <definedNames>
    <definedName name="_xlnm.Print_Area" localSheetId="1">'5.1.piel'!$A$1:$BP$100</definedName>
    <definedName name="_xlnm.Print_Area" localSheetId="0">'5.piel'!$B$3:$BP$104</definedName>
  </definedNames>
  <calcPr calcId="145621"/>
</workbook>
</file>

<file path=xl/calcChain.xml><?xml version="1.0" encoding="utf-8"?>
<calcChain xmlns="http://schemas.openxmlformats.org/spreadsheetml/2006/main">
  <c r="AB100" i="9" l="1"/>
  <c r="AC100" i="9"/>
  <c r="AD100" i="9"/>
  <c r="AE100" i="9"/>
  <c r="AF100" i="9"/>
  <c r="AG100" i="9"/>
  <c r="AH100" i="9"/>
  <c r="AI100" i="9"/>
  <c r="AJ100" i="9"/>
  <c r="AK100" i="9"/>
  <c r="AL100" i="9"/>
  <c r="AR100" i="9"/>
  <c r="AS100" i="9"/>
  <c r="AT100" i="9"/>
  <c r="AU100" i="9"/>
  <c r="AV100" i="9"/>
  <c r="AW100" i="9"/>
  <c r="AX100" i="9"/>
  <c r="AY100" i="9"/>
  <c r="AZ100" i="9"/>
  <c r="BA100" i="9"/>
  <c r="BB100" i="9"/>
  <c r="BC100" i="9"/>
  <c r="BD100" i="9"/>
  <c r="BE100" i="9"/>
  <c r="BF100" i="9"/>
  <c r="BG100" i="9"/>
  <c r="BH100" i="9"/>
  <c r="BI100" i="9"/>
  <c r="BJ100" i="9"/>
  <c r="BK100" i="9"/>
  <c r="BL100" i="9"/>
  <c r="BM100" i="9"/>
  <c r="BN100" i="9"/>
  <c r="BO100" i="9"/>
  <c r="BP100" i="9"/>
  <c r="O100" i="9"/>
  <c r="P100" i="9"/>
  <c r="Q100" i="9"/>
  <c r="R100" i="9"/>
  <c r="S100" i="9"/>
  <c r="T100" i="9"/>
  <c r="U100" i="9"/>
  <c r="V100" i="9"/>
  <c r="W100" i="9"/>
  <c r="X100" i="9"/>
  <c r="Y100" i="9"/>
  <c r="Z100" i="9"/>
  <c r="AA100" i="9"/>
  <c r="J100" i="9"/>
  <c r="L100" i="9"/>
  <c r="H100" i="9"/>
  <c r="I100" i="9"/>
  <c r="K100" i="9"/>
  <c r="M100" i="9"/>
  <c r="N100" i="9"/>
  <c r="G100" i="9"/>
  <c r="BN99" i="9"/>
  <c r="BO99" i="9"/>
  <c r="BP99" i="9"/>
  <c r="BD99" i="9"/>
  <c r="BE99" i="9"/>
  <c r="BF99" i="9"/>
  <c r="BG99" i="9"/>
  <c r="BH99" i="9"/>
  <c r="BI99" i="9"/>
  <c r="BJ99" i="9"/>
  <c r="BK99" i="9"/>
  <c r="BL99" i="9"/>
  <c r="BM99" i="9"/>
  <c r="BC99" i="9"/>
  <c r="BB99" i="9"/>
  <c r="BA99" i="9"/>
  <c r="AS99" i="9"/>
  <c r="AT99" i="9"/>
  <c r="AU99" i="9"/>
  <c r="AV99" i="9"/>
  <c r="AW99" i="9"/>
  <c r="AX99" i="9"/>
  <c r="AY99" i="9"/>
  <c r="AZ99" i="9"/>
  <c r="AR99" i="9"/>
  <c r="AJ99" i="9"/>
  <c r="AK99" i="9"/>
  <c r="AL99" i="9"/>
  <c r="AI99" i="9"/>
  <c r="AH99" i="9"/>
  <c r="AG99" i="9"/>
  <c r="Y99" i="9"/>
  <c r="Z99" i="9"/>
  <c r="AA99" i="9"/>
  <c r="AB99" i="9"/>
  <c r="AC99" i="9"/>
  <c r="AD99" i="9"/>
  <c r="AE99" i="9"/>
  <c r="AF99" i="9"/>
  <c r="P99" i="9"/>
  <c r="Q99" i="9"/>
  <c r="R99" i="9"/>
  <c r="S99" i="9"/>
  <c r="T99" i="9"/>
  <c r="U99" i="9"/>
  <c r="V99" i="9"/>
  <c r="W99" i="9"/>
  <c r="X99" i="9"/>
  <c r="O99" i="9"/>
  <c r="N99" i="9"/>
  <c r="J99" i="9"/>
  <c r="L99" i="9"/>
  <c r="M99" i="9"/>
  <c r="K99" i="9"/>
  <c r="I99" i="9"/>
  <c r="H99" i="9"/>
  <c r="G99" i="9"/>
  <c r="D99" i="9"/>
  <c r="BD26" i="9"/>
  <c r="BE26" i="9"/>
  <c r="BF26" i="9"/>
  <c r="BG26" i="9"/>
  <c r="BH26" i="9"/>
  <c r="BI26" i="9"/>
  <c r="BJ26" i="9"/>
  <c r="BK26" i="9"/>
  <c r="BL26" i="9"/>
  <c r="BM26" i="9"/>
  <c r="BN26" i="9"/>
  <c r="BO26" i="9"/>
  <c r="BP26" i="9"/>
  <c r="BC26" i="9"/>
  <c r="BB26" i="9"/>
  <c r="BA26" i="9"/>
  <c r="AS26" i="9"/>
  <c r="AT26" i="9"/>
  <c r="AU26" i="9"/>
  <c r="AV26" i="9"/>
  <c r="AW26" i="9"/>
  <c r="AX26" i="9"/>
  <c r="AY26" i="9"/>
  <c r="AZ26" i="9"/>
  <c r="AR26" i="9"/>
  <c r="AJ26" i="9"/>
  <c r="AK26" i="9"/>
  <c r="AL26" i="9"/>
  <c r="AI26" i="9"/>
  <c r="AH26" i="9"/>
  <c r="AG26" i="9"/>
  <c r="P26" i="9"/>
  <c r="Q26" i="9"/>
  <c r="R26" i="9"/>
  <c r="S26" i="9"/>
  <c r="T26" i="9"/>
  <c r="U26" i="9"/>
  <c r="V26" i="9"/>
  <c r="W26" i="9"/>
  <c r="X26" i="9"/>
  <c r="Y26" i="9"/>
  <c r="Z26" i="9"/>
  <c r="AA26" i="9"/>
  <c r="AB26" i="9"/>
  <c r="AC26" i="9"/>
  <c r="AD26" i="9"/>
  <c r="AE26" i="9"/>
  <c r="AF26" i="9"/>
  <c r="J26" i="9"/>
  <c r="L26" i="9"/>
  <c r="O26" i="9"/>
  <c r="N26" i="9"/>
  <c r="M26" i="9"/>
  <c r="K26" i="9"/>
  <c r="H26" i="9"/>
  <c r="I26" i="9"/>
  <c r="G26" i="9"/>
  <c r="D26" i="9"/>
  <c r="BD8" i="9"/>
  <c r="BE8" i="9"/>
  <c r="BF8" i="9"/>
  <c r="BG8" i="9"/>
  <c r="BH8" i="9"/>
  <c r="BI8" i="9"/>
  <c r="BJ8" i="9"/>
  <c r="BK8" i="9"/>
  <c r="BL8" i="9"/>
  <c r="BM8" i="9"/>
  <c r="BN8" i="9"/>
  <c r="BO8" i="9"/>
  <c r="BP8" i="9"/>
  <c r="BC8" i="9"/>
  <c r="BB8" i="9"/>
  <c r="BA8" i="9"/>
  <c r="AS8" i="9"/>
  <c r="AT8" i="9"/>
  <c r="AU8" i="9"/>
  <c r="AV8" i="9"/>
  <c r="AW8" i="9"/>
  <c r="AX8" i="9"/>
  <c r="AY8" i="9"/>
  <c r="AZ8" i="9"/>
  <c r="AR8" i="9"/>
  <c r="AJ8" i="9"/>
  <c r="AK8" i="9"/>
  <c r="AL8" i="9"/>
  <c r="AI8" i="9"/>
  <c r="AH8" i="9"/>
  <c r="AG8" i="9"/>
  <c r="AD8" i="9"/>
  <c r="AE8" i="9"/>
  <c r="AF8" i="9"/>
  <c r="P8" i="9"/>
  <c r="Q8" i="9"/>
  <c r="R8" i="9"/>
  <c r="S8" i="9"/>
  <c r="T8" i="9"/>
  <c r="U8" i="9"/>
  <c r="V8" i="9"/>
  <c r="W8" i="9"/>
  <c r="X8" i="9"/>
  <c r="Y8" i="9"/>
  <c r="Z8" i="9"/>
  <c r="AA8" i="9"/>
  <c r="AB8" i="9"/>
  <c r="AC8" i="9"/>
  <c r="O8" i="9"/>
  <c r="N8" i="9"/>
  <c r="L8" i="9"/>
  <c r="J8" i="9"/>
  <c r="H8" i="9"/>
  <c r="I8" i="9"/>
  <c r="G8" i="9"/>
  <c r="D8" i="9"/>
  <c r="L90" i="9"/>
  <c r="K90" i="9"/>
  <c r="AK90" i="9" s="1"/>
  <c r="I90" i="9"/>
  <c r="L88" i="9"/>
  <c r="K88" i="9"/>
  <c r="I88" i="9"/>
  <c r="L87" i="9"/>
  <c r="K87" i="9"/>
  <c r="I87" i="9"/>
  <c r="L82" i="9"/>
  <c r="K82" i="9"/>
  <c r="I82" i="9"/>
  <c r="L80" i="9"/>
  <c r="K80" i="9"/>
  <c r="I80" i="9"/>
  <c r="AJ79" i="9"/>
  <c r="L79" i="9"/>
  <c r="K79" i="9"/>
  <c r="AK79" i="9" s="1"/>
  <c r="I79" i="9"/>
  <c r="L69" i="9"/>
  <c r="K69" i="9"/>
  <c r="I69" i="9"/>
  <c r="L68" i="9"/>
  <c r="K68" i="9"/>
  <c r="AI68" i="9" s="1"/>
  <c r="I68" i="9"/>
  <c r="L62" i="9"/>
  <c r="K62" i="9"/>
  <c r="AI62" i="9" s="1"/>
  <c r="I62" i="9"/>
  <c r="L53" i="9"/>
  <c r="K53" i="9"/>
  <c r="AI53" i="9" s="1"/>
  <c r="I53" i="9"/>
  <c r="L51" i="9"/>
  <c r="K51" i="9"/>
  <c r="I51" i="9"/>
  <c r="L48" i="9"/>
  <c r="K48" i="9"/>
  <c r="AI48" i="9" s="1"/>
  <c r="I48" i="9"/>
  <c r="L28" i="9"/>
  <c r="K28" i="9"/>
  <c r="AH28" i="9" s="1"/>
  <c r="I28" i="9"/>
  <c r="L23" i="9"/>
  <c r="K23" i="9"/>
  <c r="I23" i="9"/>
  <c r="L22" i="9"/>
  <c r="K22" i="9"/>
  <c r="I22" i="9"/>
  <c r="L18" i="9"/>
  <c r="K18" i="9"/>
  <c r="AJ18" i="9" s="1"/>
  <c r="I18" i="9"/>
  <c r="L65" i="9"/>
  <c r="K65" i="9"/>
  <c r="I65" i="9"/>
  <c r="L61" i="9"/>
  <c r="K61" i="9"/>
  <c r="AI61" i="9" s="1"/>
  <c r="I61" i="9"/>
  <c r="BQ58" i="9"/>
  <c r="L58" i="9"/>
  <c r="K58" i="9"/>
  <c r="AI58" i="9" s="1"/>
  <c r="I58" i="9"/>
  <c r="L44" i="9"/>
  <c r="K44" i="9"/>
  <c r="I44" i="9"/>
  <c r="L29" i="9"/>
  <c r="K29" i="9"/>
  <c r="AL29" i="9" s="1"/>
  <c r="I29" i="9"/>
  <c r="BR13" i="9"/>
  <c r="BQ13" i="9"/>
  <c r="L13" i="9"/>
  <c r="K13" i="9"/>
  <c r="AL13" i="9" s="1"/>
  <c r="I13" i="9"/>
  <c r="L10" i="9"/>
  <c r="K10" i="9"/>
  <c r="AJ10" i="9" s="1"/>
  <c r="I10" i="9"/>
  <c r="H6" i="9"/>
  <c r="L89" i="9"/>
  <c r="K89" i="9"/>
  <c r="I89" i="9"/>
  <c r="L81" i="9"/>
  <c r="K81" i="9"/>
  <c r="AJ81" i="9" s="1"/>
  <c r="I81" i="9"/>
  <c r="L78" i="9"/>
  <c r="K78" i="9"/>
  <c r="I78" i="9"/>
  <c r="L67" i="9"/>
  <c r="K67" i="9"/>
  <c r="AK67" i="9" s="1"/>
  <c r="I67" i="9"/>
  <c r="L57" i="9"/>
  <c r="K57" i="9"/>
  <c r="AI57" i="9" s="1"/>
  <c r="I57" i="9"/>
  <c r="L54" i="9"/>
  <c r="K54" i="9"/>
  <c r="AJ54" i="9" s="1"/>
  <c r="I54" i="9"/>
  <c r="L49" i="9"/>
  <c r="K49" i="9"/>
  <c r="AI49" i="9" s="1"/>
  <c r="I49" i="9"/>
  <c r="BQ42" i="9"/>
  <c r="L42" i="9"/>
  <c r="K42" i="9"/>
  <c r="AH42" i="9" s="1"/>
  <c r="I42" i="9"/>
  <c r="L30" i="9"/>
  <c r="K30" i="9"/>
  <c r="I30" i="9"/>
  <c r="L25" i="9"/>
  <c r="K25" i="9"/>
  <c r="AH25" i="9" s="1"/>
  <c r="I25" i="9"/>
  <c r="L21" i="9"/>
  <c r="K21" i="9"/>
  <c r="I21" i="9"/>
  <c r="L12" i="9"/>
  <c r="K12" i="9"/>
  <c r="I12" i="9"/>
  <c r="L11" i="9"/>
  <c r="K11" i="9"/>
  <c r="AK11" i="9" s="1"/>
  <c r="I11" i="9"/>
  <c r="L98" i="9"/>
  <c r="K98" i="9"/>
  <c r="AI98" i="9" s="1"/>
  <c r="I98" i="9"/>
  <c r="L97" i="9"/>
  <c r="K97" i="9"/>
  <c r="AI97" i="9" s="1"/>
  <c r="I97" i="9"/>
  <c r="L96" i="9"/>
  <c r="K96" i="9"/>
  <c r="I96" i="9"/>
  <c r="L95" i="9"/>
  <c r="K95" i="9"/>
  <c r="AI95" i="9" s="1"/>
  <c r="I95" i="9"/>
  <c r="L73" i="9"/>
  <c r="K73" i="9"/>
  <c r="AJ73" i="9" s="1"/>
  <c r="I73" i="9"/>
  <c r="L72" i="9"/>
  <c r="K72" i="9"/>
  <c r="AL72" i="9" s="1"/>
  <c r="I72" i="9"/>
  <c r="L60" i="9"/>
  <c r="K60" i="9"/>
  <c r="AH60" i="9" s="1"/>
  <c r="I60" i="9"/>
  <c r="L55" i="9"/>
  <c r="K55" i="9"/>
  <c r="I55" i="9"/>
  <c r="L50" i="9"/>
  <c r="K50" i="9"/>
  <c r="AL50" i="9" s="1"/>
  <c r="I50" i="9"/>
  <c r="BR47" i="9"/>
  <c r="BQ47" i="9"/>
  <c r="L47" i="9"/>
  <c r="K47" i="9"/>
  <c r="I47" i="9"/>
  <c r="BR46" i="9"/>
  <c r="BQ46" i="9"/>
  <c r="L46" i="9"/>
  <c r="K46" i="9"/>
  <c r="I46" i="9"/>
  <c r="L45" i="9"/>
  <c r="K45" i="9"/>
  <c r="AJ45" i="9" s="1"/>
  <c r="I45" i="9"/>
  <c r="BR38" i="9"/>
  <c r="L38" i="9"/>
  <c r="K38" i="9"/>
  <c r="AI38" i="9" s="1"/>
  <c r="I38" i="9"/>
  <c r="BR36" i="9"/>
  <c r="BQ36" i="9"/>
  <c r="M36" i="9"/>
  <c r="U36" i="9" s="1"/>
  <c r="L36" i="9"/>
  <c r="K36" i="9"/>
  <c r="AI36" i="9" s="1"/>
  <c r="I36" i="9"/>
  <c r="BR24" i="9"/>
  <c r="BQ24" i="9"/>
  <c r="L24" i="9"/>
  <c r="K24" i="9"/>
  <c r="AK24" i="9" s="1"/>
  <c r="I24" i="9"/>
  <c r="L20" i="9"/>
  <c r="K20" i="9"/>
  <c r="I20" i="9"/>
  <c r="BR15" i="9"/>
  <c r="BQ15" i="9"/>
  <c r="L15" i="9"/>
  <c r="K15" i="9"/>
  <c r="I15" i="9"/>
  <c r="BQ94" i="9"/>
  <c r="L94" i="9"/>
  <c r="K94" i="9"/>
  <c r="I94" i="9"/>
  <c r="L93" i="9"/>
  <c r="K93" i="9"/>
  <c r="AK93" i="9" s="1"/>
  <c r="I93" i="9"/>
  <c r="L92" i="9"/>
  <c r="K92" i="9"/>
  <c r="AJ92" i="9" s="1"/>
  <c r="I92" i="9"/>
  <c r="BQ91" i="9"/>
  <c r="L91" i="9"/>
  <c r="K91" i="9"/>
  <c r="I91" i="9"/>
  <c r="L86" i="9"/>
  <c r="K86" i="9"/>
  <c r="AJ86" i="9" s="1"/>
  <c r="I86" i="9"/>
  <c r="BR85" i="9"/>
  <c r="BQ85" i="9"/>
  <c r="L85" i="9"/>
  <c r="K85" i="9"/>
  <c r="I85" i="9"/>
  <c r="L84" i="9"/>
  <c r="K84" i="9"/>
  <c r="AI84" i="9" s="1"/>
  <c r="I84" i="9"/>
  <c r="BR83" i="9"/>
  <c r="BQ83" i="9"/>
  <c r="L83" i="9"/>
  <c r="K83" i="9"/>
  <c r="AH83" i="9" s="1"/>
  <c r="I83" i="9"/>
  <c r="L77" i="9"/>
  <c r="K77" i="9"/>
  <c r="I77" i="9"/>
  <c r="BR76" i="9"/>
  <c r="BQ76" i="9"/>
  <c r="L76" i="9"/>
  <c r="K76" i="9"/>
  <c r="AI76" i="9" s="1"/>
  <c r="I76" i="9"/>
  <c r="BQ75" i="9"/>
  <c r="L75" i="9"/>
  <c r="K75" i="9"/>
  <c r="AL75" i="9" s="1"/>
  <c r="I75" i="9"/>
  <c r="BQ74" i="9"/>
  <c r="L74" i="9"/>
  <c r="K74" i="9"/>
  <c r="AK74" i="9" s="1"/>
  <c r="I74" i="9"/>
  <c r="BR71" i="9"/>
  <c r="BQ71" i="9"/>
  <c r="L71" i="9"/>
  <c r="K71" i="9"/>
  <c r="AI71" i="9" s="1"/>
  <c r="I71" i="9"/>
  <c r="L70" i="9"/>
  <c r="K70" i="9"/>
  <c r="I70" i="9"/>
  <c r="L66" i="9"/>
  <c r="K66" i="9"/>
  <c r="AL66" i="9" s="1"/>
  <c r="I66" i="9"/>
  <c r="L64" i="9"/>
  <c r="K64" i="9"/>
  <c r="AJ64" i="9" s="1"/>
  <c r="I64" i="9"/>
  <c r="L63" i="9"/>
  <c r="K63" i="9"/>
  <c r="AH63" i="9" s="1"/>
  <c r="I63" i="9"/>
  <c r="L59" i="9"/>
  <c r="K59" i="9"/>
  <c r="I59" i="9"/>
  <c r="M56" i="9"/>
  <c r="V56" i="9" s="1"/>
  <c r="L56" i="9"/>
  <c r="K56" i="9"/>
  <c r="AH56" i="9" s="1"/>
  <c r="I56" i="9"/>
  <c r="L52" i="9"/>
  <c r="K52" i="9"/>
  <c r="AH52" i="9" s="1"/>
  <c r="I52" i="9"/>
  <c r="L43" i="9"/>
  <c r="K43" i="9"/>
  <c r="M43" i="9" s="1"/>
  <c r="I43" i="9"/>
  <c r="BQ41" i="9"/>
  <c r="L41" i="9"/>
  <c r="K41" i="9"/>
  <c r="M41" i="9" s="1"/>
  <c r="I41" i="9"/>
  <c r="BQ40" i="9"/>
  <c r="L40" i="9"/>
  <c r="K40" i="9"/>
  <c r="AI40" i="9" s="1"/>
  <c r="I40" i="9"/>
  <c r="L39" i="9"/>
  <c r="K39" i="9"/>
  <c r="I39" i="9"/>
  <c r="L37" i="9"/>
  <c r="K37" i="9"/>
  <c r="I37" i="9"/>
  <c r="L35" i="9"/>
  <c r="K35" i="9"/>
  <c r="AL35" i="9" s="1"/>
  <c r="I35" i="9"/>
  <c r="AH34" i="9"/>
  <c r="L34" i="9"/>
  <c r="K34" i="9"/>
  <c r="AJ34" i="9" s="1"/>
  <c r="I34" i="9"/>
  <c r="BQ33" i="9"/>
  <c r="L33" i="9"/>
  <c r="K33" i="9"/>
  <c r="AI33" i="9" s="1"/>
  <c r="I33" i="9"/>
  <c r="L32" i="9"/>
  <c r="K32" i="9"/>
  <c r="AK32" i="9" s="1"/>
  <c r="I32" i="9"/>
  <c r="L31" i="9"/>
  <c r="K31" i="9"/>
  <c r="AI31" i="9" s="1"/>
  <c r="I31" i="9"/>
  <c r="L19" i="9"/>
  <c r="K19" i="9"/>
  <c r="AK19" i="9" s="1"/>
  <c r="I19" i="9"/>
  <c r="L17" i="9"/>
  <c r="K17" i="9"/>
  <c r="AI17" i="9" s="1"/>
  <c r="I17" i="9"/>
  <c r="L16" i="9"/>
  <c r="K16" i="9"/>
  <c r="AK16" i="9" s="1"/>
  <c r="I16" i="9"/>
  <c r="L14" i="9"/>
  <c r="K14" i="9"/>
  <c r="AI14" i="9" s="1"/>
  <c r="I14" i="9"/>
  <c r="L7" i="9"/>
  <c r="K7" i="9"/>
  <c r="I7" i="9"/>
  <c r="M84" i="9" l="1"/>
  <c r="Y84" i="9" s="1"/>
  <c r="M71" i="9"/>
  <c r="N71" i="9" s="1"/>
  <c r="M17" i="9"/>
  <c r="AA17" i="9" s="1"/>
  <c r="AH31" i="9"/>
  <c r="AL34" i="9"/>
  <c r="AK56" i="9"/>
  <c r="AK71" i="9"/>
  <c r="AH38" i="9"/>
  <c r="AH17" i="9"/>
  <c r="AH84" i="9"/>
  <c r="AH36" i="9"/>
  <c r="M95" i="9"/>
  <c r="S95" i="9" s="1"/>
  <c r="M53" i="9"/>
  <c r="Y53" i="9" s="1"/>
  <c r="AJ68" i="9"/>
  <c r="AH33" i="9"/>
  <c r="AK95" i="9"/>
  <c r="AL53" i="9"/>
  <c r="AU56" i="9"/>
  <c r="AL81" i="9"/>
  <c r="AL38" i="9"/>
  <c r="AJ48" i="9"/>
  <c r="AK68" i="9"/>
  <c r="AL17" i="9"/>
  <c r="AH45" i="9"/>
  <c r="AJ11" i="9"/>
  <c r="M81" i="9"/>
  <c r="W81" i="9" s="1"/>
  <c r="AH10" i="9"/>
  <c r="AK48" i="9"/>
  <c r="AH62" i="9"/>
  <c r="AL71" i="9"/>
  <c r="M38" i="9"/>
  <c r="S38" i="9" s="1"/>
  <c r="AH81" i="9"/>
  <c r="AL10" i="9"/>
  <c r="M13" i="9"/>
  <c r="AB13" i="9" s="1"/>
  <c r="M48" i="9"/>
  <c r="Q48" i="9" s="1"/>
  <c r="M68" i="9"/>
  <c r="S68" i="9" s="1"/>
  <c r="Q41" i="9"/>
  <c r="AB41" i="9"/>
  <c r="AJ35" i="9"/>
  <c r="AJ63" i="9"/>
  <c r="AK97" i="9"/>
  <c r="AL31" i="9"/>
  <c r="AI41" i="9"/>
  <c r="AH61" i="9"/>
  <c r="M35" i="9"/>
  <c r="S35" i="9" s="1"/>
  <c r="AH43" i="9"/>
  <c r="M63" i="9"/>
  <c r="O63" i="9" s="1"/>
  <c r="Y71" i="9"/>
  <c r="AJ83" i="9"/>
  <c r="AL84" i="9"/>
  <c r="AJ36" i="9"/>
  <c r="AT36" i="9" s="1"/>
  <c r="AY36" i="9" s="1"/>
  <c r="M97" i="9"/>
  <c r="AB97" i="9" s="1"/>
  <c r="AJ58" i="9"/>
  <c r="AL61" i="9"/>
  <c r="M18" i="9"/>
  <c r="O18" i="9" s="1"/>
  <c r="AK17" i="9"/>
  <c r="M31" i="9"/>
  <c r="P31" i="9" s="1"/>
  <c r="AL56" i="9"/>
  <c r="AH71" i="9"/>
  <c r="BB71" i="9" s="1"/>
  <c r="M86" i="9"/>
  <c r="T86" i="9" s="1"/>
  <c r="AH92" i="9"/>
  <c r="AK36" i="9"/>
  <c r="AK38" i="9"/>
  <c r="M50" i="9"/>
  <c r="Q50" i="9" s="1"/>
  <c r="AL95" i="9"/>
  <c r="AH97" i="9"/>
  <c r="M11" i="9"/>
  <c r="T11" i="9" s="1"/>
  <c r="AI81" i="9"/>
  <c r="M29" i="9"/>
  <c r="AA29" i="9" s="1"/>
  <c r="M61" i="9"/>
  <c r="S61" i="9" s="1"/>
  <c r="AH53" i="9"/>
  <c r="Y43" i="9"/>
  <c r="N43" i="9"/>
  <c r="U43" i="9"/>
  <c r="P43" i="9"/>
  <c r="Z43" i="9"/>
  <c r="T43" i="9"/>
  <c r="AJ14" i="9"/>
  <c r="AJ91" i="9"/>
  <c r="AH91" i="9"/>
  <c r="M91" i="9"/>
  <c r="X91" i="9" s="1"/>
  <c r="AI21" i="9"/>
  <c r="AJ21" i="9"/>
  <c r="AJ88" i="9"/>
  <c r="M88" i="9"/>
  <c r="V88" i="9" s="1"/>
  <c r="AH88" i="9"/>
  <c r="AK14" i="9"/>
  <c r="AJ37" i="9"/>
  <c r="AL37" i="9"/>
  <c r="AL47" i="9"/>
  <c r="AJ47" i="9"/>
  <c r="M47" i="9"/>
  <c r="O47" i="9" s="1"/>
  <c r="AI54" i="9"/>
  <c r="AL54" i="9"/>
  <c r="M54" i="9"/>
  <c r="O54" i="9" s="1"/>
  <c r="AK54" i="9"/>
  <c r="AJ44" i="9"/>
  <c r="AH44" i="9"/>
  <c r="M44" i="9"/>
  <c r="U44" i="9" s="1"/>
  <c r="AL44" i="9"/>
  <c r="AI23" i="9"/>
  <c r="AJ23" i="9"/>
  <c r="M23" i="9"/>
  <c r="W23" i="9" s="1"/>
  <c r="AH23" i="9"/>
  <c r="AL14" i="9"/>
  <c r="AJ31" i="9"/>
  <c r="AH14" i="9"/>
  <c r="AJ17" i="9"/>
  <c r="AK31" i="9"/>
  <c r="M33" i="9"/>
  <c r="AA33" i="9" s="1"/>
  <c r="AL33" i="9"/>
  <c r="AK35" i="9"/>
  <c r="AH37" i="9"/>
  <c r="AA41" i="9"/>
  <c r="W41" i="9"/>
  <c r="AI52" i="9"/>
  <c r="AI74" i="9"/>
  <c r="AH74" i="9"/>
  <c r="AL74" i="9"/>
  <c r="M74" i="9"/>
  <c r="AA74" i="9" s="1"/>
  <c r="AJ74" i="9"/>
  <c r="AJ75" i="9"/>
  <c r="AH75" i="9"/>
  <c r="AI93" i="9"/>
  <c r="AH93" i="9"/>
  <c r="M93" i="9"/>
  <c r="O93" i="9" s="1"/>
  <c r="AL93" i="9"/>
  <c r="AJ93" i="9"/>
  <c r="AJ25" i="9"/>
  <c r="M25" i="9"/>
  <c r="AH54" i="9"/>
  <c r="R53" i="9"/>
  <c r="BF53" i="9" s="1"/>
  <c r="AI69" i="9"/>
  <c r="AJ69" i="9"/>
  <c r="AI80" i="9"/>
  <c r="AJ80" i="9"/>
  <c r="AJ52" i="9"/>
  <c r="Z56" i="9"/>
  <c r="Q56" i="9"/>
  <c r="BE56" i="9" s="1"/>
  <c r="AI66" i="9"/>
  <c r="AH66" i="9"/>
  <c r="AL91" i="9"/>
  <c r="AI72" i="9"/>
  <c r="AJ72" i="9"/>
  <c r="M72" i="9"/>
  <c r="AB72" i="9" s="1"/>
  <c r="AH72" i="9"/>
  <c r="X11" i="9"/>
  <c r="AJ33" i="9"/>
  <c r="AI39" i="9"/>
  <c r="AK39" i="9"/>
  <c r="M39" i="9"/>
  <c r="AI43" i="9"/>
  <c r="AK43" i="9"/>
  <c r="AJ43" i="9"/>
  <c r="AJ66" i="9"/>
  <c r="AI83" i="9"/>
  <c r="AL83" i="9"/>
  <c r="AK83" i="9"/>
  <c r="M83" i="9"/>
  <c r="Z83" i="9" s="1"/>
  <c r="AL46" i="9"/>
  <c r="AJ46" i="9"/>
  <c r="M46" i="9"/>
  <c r="AK46" i="9"/>
  <c r="AJ12" i="9"/>
  <c r="AL12" i="9"/>
  <c r="AH12" i="9"/>
  <c r="AI67" i="9"/>
  <c r="AJ67" i="9"/>
  <c r="M67" i="9"/>
  <c r="AH67" i="9"/>
  <c r="Z29" i="9"/>
  <c r="AK23" i="9"/>
  <c r="AJ87" i="9"/>
  <c r="M87" i="9"/>
  <c r="AI87" i="9"/>
  <c r="AJ90" i="9"/>
  <c r="M90" i="9"/>
  <c r="M14" i="9"/>
  <c r="S14" i="9" s="1"/>
  <c r="AK33" i="9"/>
  <c r="AL39" i="9"/>
  <c r="AJ40" i="9"/>
  <c r="AL43" i="9"/>
  <c r="AI56" i="9"/>
  <c r="AJ56" i="9"/>
  <c r="AB56" i="9"/>
  <c r="AI63" i="9"/>
  <c r="AK63" i="9"/>
  <c r="AL63" i="9"/>
  <c r="M66" i="9"/>
  <c r="T66" i="9" s="1"/>
  <c r="AK66" i="9"/>
  <c r="V71" i="9"/>
  <c r="Q71" i="9"/>
  <c r="U84" i="9"/>
  <c r="Q84" i="9"/>
  <c r="AI24" i="9"/>
  <c r="AH24" i="9"/>
  <c r="M24" i="9"/>
  <c r="AB24" i="9" s="1"/>
  <c r="AL24" i="9"/>
  <c r="AJ24" i="9"/>
  <c r="Q36" i="9"/>
  <c r="AJ55" i="9"/>
  <c r="AL55" i="9"/>
  <c r="AH55" i="9"/>
  <c r="AK72" i="9"/>
  <c r="AL67" i="9"/>
  <c r="R81" i="9"/>
  <c r="BF81" i="9" s="1"/>
  <c r="V61" i="9"/>
  <c r="AJ22" i="9"/>
  <c r="AL22" i="9"/>
  <c r="AH22" i="9"/>
  <c r="AL23" i="9"/>
  <c r="P48" i="9"/>
  <c r="AB48" i="9"/>
  <c r="AI79" i="9"/>
  <c r="AH79" i="9"/>
  <c r="M79" i="9"/>
  <c r="AA79" i="9" s="1"/>
  <c r="AL79" i="9"/>
  <c r="AJ82" i="9"/>
  <c r="AL82" i="9"/>
  <c r="AI82" i="9"/>
  <c r="AJ71" i="9"/>
  <c r="AJ84" i="9"/>
  <c r="AI86" i="9"/>
  <c r="AI92" i="9"/>
  <c r="AL36" i="9"/>
  <c r="AJ38" i="9"/>
  <c r="AL45" i="9"/>
  <c r="AJ50" i="9"/>
  <c r="AH95" i="9"/>
  <c r="AL97" i="9"/>
  <c r="AJ13" i="9"/>
  <c r="AJ29" i="9"/>
  <c r="AJ61" i="9"/>
  <c r="AK18" i="9"/>
  <c r="AL48" i="9"/>
  <c r="AJ53" i="9"/>
  <c r="AL68" i="9"/>
  <c r="AK84" i="9"/>
  <c r="AJ95" i="9"/>
  <c r="AK13" i="9"/>
  <c r="AK29" i="9"/>
  <c r="AK61" i="9"/>
  <c r="AH48" i="9"/>
  <c r="AK53" i="9"/>
  <c r="AH68" i="9"/>
  <c r="U17" i="9"/>
  <c r="AI19" i="9"/>
  <c r="AI32" i="9"/>
  <c r="AK59" i="9"/>
  <c r="M59" i="9"/>
  <c r="AL59" i="9"/>
  <c r="AH59" i="9"/>
  <c r="AH7" i="9"/>
  <c r="AL7" i="9"/>
  <c r="AH16" i="9"/>
  <c r="AL16" i="9"/>
  <c r="T17" i="9"/>
  <c r="X17" i="9"/>
  <c r="AH19" i="9"/>
  <c r="AL19" i="9"/>
  <c r="AH32" i="9"/>
  <c r="AL32" i="9"/>
  <c r="T33" i="9"/>
  <c r="M34" i="9"/>
  <c r="AK34" i="9"/>
  <c r="O35" i="9"/>
  <c r="AI35" i="9"/>
  <c r="M37" i="9"/>
  <c r="AK37" i="9"/>
  <c r="AJ39" i="9"/>
  <c r="AL41" i="9"/>
  <c r="AH41" i="9"/>
  <c r="P41" i="9"/>
  <c r="U41" i="9"/>
  <c r="AK41" i="9"/>
  <c r="AA43" i="9"/>
  <c r="W43" i="9"/>
  <c r="S43" i="9"/>
  <c r="O43" i="9"/>
  <c r="R43" i="9"/>
  <c r="X43" i="9"/>
  <c r="AC43" i="9" s="1"/>
  <c r="P56" i="9"/>
  <c r="U56" i="9"/>
  <c r="AK64" i="9"/>
  <c r="M64" i="9"/>
  <c r="AL64" i="9"/>
  <c r="AH64" i="9"/>
  <c r="AI64" i="9"/>
  <c r="AA71" i="9"/>
  <c r="W71" i="9"/>
  <c r="S71" i="9"/>
  <c r="O71" i="9"/>
  <c r="AB71" i="9"/>
  <c r="X71" i="9"/>
  <c r="T71" i="9"/>
  <c r="P71" i="9"/>
  <c r="U71" i="9"/>
  <c r="AK77" i="9"/>
  <c r="M77" i="9"/>
  <c r="AJ77" i="9"/>
  <c r="AL77" i="9"/>
  <c r="AH77" i="9"/>
  <c r="AK85" i="9"/>
  <c r="M85" i="9"/>
  <c r="AJ85" i="9"/>
  <c r="AL85" i="9"/>
  <c r="AH85" i="9"/>
  <c r="AK94" i="9"/>
  <c r="M94" i="9"/>
  <c r="AI94" i="9"/>
  <c r="AH94" i="9"/>
  <c r="AJ94" i="9"/>
  <c r="W38" i="9"/>
  <c r="O38" i="9"/>
  <c r="N38" i="9"/>
  <c r="AB38" i="9"/>
  <c r="U38" i="9"/>
  <c r="Q38" i="9"/>
  <c r="AI7" i="9"/>
  <c r="AJ7" i="9"/>
  <c r="V17" i="9"/>
  <c r="AJ32" i="9"/>
  <c r="AI34" i="9"/>
  <c r="AI37" i="9"/>
  <c r="AK40" i="9"/>
  <c r="M40" i="9"/>
  <c r="AL40" i="9"/>
  <c r="Z41" i="9"/>
  <c r="V41" i="9"/>
  <c r="R41" i="9"/>
  <c r="N41" i="9"/>
  <c r="S41" i="9"/>
  <c r="X41" i="9"/>
  <c r="AA56" i="9"/>
  <c r="W56" i="9"/>
  <c r="S56" i="9"/>
  <c r="O56" i="9"/>
  <c r="R56" i="9"/>
  <c r="X56" i="9"/>
  <c r="AI59" i="9"/>
  <c r="W66" i="9"/>
  <c r="AK70" i="9"/>
  <c r="M70" i="9"/>
  <c r="AL70" i="9"/>
  <c r="AH70" i="9"/>
  <c r="AI70" i="9"/>
  <c r="AK76" i="9"/>
  <c r="M76" i="9"/>
  <c r="AJ76" i="9"/>
  <c r="AL76" i="9"/>
  <c r="AH76" i="9"/>
  <c r="AL94" i="9"/>
  <c r="AK15" i="9"/>
  <c r="M15" i="9"/>
  <c r="AJ15" i="9"/>
  <c r="AL15" i="9"/>
  <c r="AH15" i="9"/>
  <c r="AI15" i="9"/>
  <c r="AL89" i="9"/>
  <c r="AH89" i="9"/>
  <c r="AI89" i="9"/>
  <c r="M89" i="9"/>
  <c r="AJ89" i="9"/>
  <c r="AK89" i="9"/>
  <c r="AI16" i="9"/>
  <c r="Y17" i="9"/>
  <c r="AJ16" i="9"/>
  <c r="N17" i="9"/>
  <c r="R17" i="9"/>
  <c r="AJ19" i="9"/>
  <c r="Z33" i="9"/>
  <c r="U35" i="9"/>
  <c r="M7" i="9"/>
  <c r="AK7" i="9"/>
  <c r="M16" i="9"/>
  <c r="O17" i="9"/>
  <c r="M19" i="9"/>
  <c r="M32" i="9"/>
  <c r="S33" i="9"/>
  <c r="V35" i="9"/>
  <c r="AH35" i="9"/>
  <c r="AH39" i="9"/>
  <c r="AH40" i="9"/>
  <c r="O41" i="9"/>
  <c r="T41" i="9"/>
  <c r="Y41" i="9"/>
  <c r="AJ41" i="9"/>
  <c r="Q43" i="9"/>
  <c r="V43" i="9"/>
  <c r="AB43" i="9"/>
  <c r="AK52" i="9"/>
  <c r="M52" i="9"/>
  <c r="AL52" i="9"/>
  <c r="N56" i="9"/>
  <c r="T56" i="9"/>
  <c r="Y56" i="9"/>
  <c r="AJ59" i="9"/>
  <c r="R63" i="9"/>
  <c r="AJ70" i="9"/>
  <c r="R71" i="9"/>
  <c r="Z71" i="9"/>
  <c r="AI77" i="9"/>
  <c r="AA84" i="9"/>
  <c r="W84" i="9"/>
  <c r="S84" i="9"/>
  <c r="O84" i="9"/>
  <c r="Z84" i="9"/>
  <c r="V84" i="9"/>
  <c r="R84" i="9"/>
  <c r="N84" i="9"/>
  <c r="AB84" i="9"/>
  <c r="X84" i="9"/>
  <c r="T84" i="9"/>
  <c r="P84" i="9"/>
  <c r="AI85" i="9"/>
  <c r="AK20" i="9"/>
  <c r="M20" i="9"/>
  <c r="AJ20" i="9"/>
  <c r="AL20" i="9"/>
  <c r="AH20" i="9"/>
  <c r="AI20" i="9"/>
  <c r="M75" i="9"/>
  <c r="AK75" i="9"/>
  <c r="AK91" i="9"/>
  <c r="AA36" i="9"/>
  <c r="W36" i="9"/>
  <c r="S36" i="9"/>
  <c r="O36" i="9"/>
  <c r="Z36" i="9"/>
  <c r="V36" i="9"/>
  <c r="R36" i="9"/>
  <c r="N36" i="9"/>
  <c r="AB36" i="9"/>
  <c r="X36" i="9"/>
  <c r="T36" i="9"/>
  <c r="P36" i="9"/>
  <c r="AK96" i="9"/>
  <c r="M96" i="9"/>
  <c r="AJ96" i="9"/>
  <c r="AL96" i="9"/>
  <c r="AH96" i="9"/>
  <c r="AI96" i="9"/>
  <c r="O25" i="9"/>
  <c r="AJ42" i="9"/>
  <c r="AK42" i="9"/>
  <c r="M42" i="9"/>
  <c r="AL42" i="9"/>
  <c r="AI42" i="9"/>
  <c r="AI75" i="9"/>
  <c r="AA95" i="9"/>
  <c r="AL86" i="9"/>
  <c r="AH86" i="9"/>
  <c r="AK86" i="9"/>
  <c r="AI91" i="9"/>
  <c r="AK92" i="9"/>
  <c r="M92" i="9"/>
  <c r="AL92" i="9"/>
  <c r="S24" i="9"/>
  <c r="N24" i="9"/>
  <c r="Y36" i="9"/>
  <c r="M45" i="9"/>
  <c r="AK45" i="9"/>
  <c r="AI46" i="9"/>
  <c r="AI47" i="9"/>
  <c r="AI50" i="9"/>
  <c r="M55" i="9"/>
  <c r="AK55" i="9"/>
  <c r="AK60" i="9"/>
  <c r="M60" i="9"/>
  <c r="AL60" i="9"/>
  <c r="AL30" i="9"/>
  <c r="AH30" i="9"/>
  <c r="AI30" i="9"/>
  <c r="AK30" i="9"/>
  <c r="M30" i="9"/>
  <c r="AJ30" i="9"/>
  <c r="S54" i="9"/>
  <c r="N54" i="9"/>
  <c r="X54" i="9"/>
  <c r="Y54" i="9"/>
  <c r="AI45" i="9"/>
  <c r="AK47" i="9"/>
  <c r="AK50" i="9"/>
  <c r="AI55" i="9"/>
  <c r="AI60" i="9"/>
  <c r="AL78" i="9"/>
  <c r="AH78" i="9"/>
  <c r="M78" i="9"/>
  <c r="AK78" i="9"/>
  <c r="AI78" i="9"/>
  <c r="AJ78" i="9"/>
  <c r="AH46" i="9"/>
  <c r="R47" i="9"/>
  <c r="AH47" i="9"/>
  <c r="AH50" i="9"/>
  <c r="AJ60" i="9"/>
  <c r="AA72" i="9"/>
  <c r="AK73" i="9"/>
  <c r="M73" i="9"/>
  <c r="AL73" i="9"/>
  <c r="AH73" i="9"/>
  <c r="AI73" i="9"/>
  <c r="AK98" i="9"/>
  <c r="M98" i="9"/>
  <c r="AJ98" i="9"/>
  <c r="AL98" i="9"/>
  <c r="AH98" i="9"/>
  <c r="AJ97" i="9"/>
  <c r="AI11" i="9"/>
  <c r="M12" i="9"/>
  <c r="AK12" i="9"/>
  <c r="M21" i="9"/>
  <c r="AL25" i="9"/>
  <c r="V67" i="9"/>
  <c r="P81" i="9"/>
  <c r="Y81" i="9"/>
  <c r="V81" i="9"/>
  <c r="Q11" i="9"/>
  <c r="AI12" i="9"/>
  <c r="AL21" i="9"/>
  <c r="AH21" i="9"/>
  <c r="AK21" i="9"/>
  <c r="AI25" i="9"/>
  <c r="AK57" i="9"/>
  <c r="M57" i="9"/>
  <c r="AJ57" i="9"/>
  <c r="AL57" i="9"/>
  <c r="AH57" i="9"/>
  <c r="N11" i="9"/>
  <c r="R11" i="9"/>
  <c r="AH11" i="9"/>
  <c r="AL11" i="9"/>
  <c r="AK25" i="9"/>
  <c r="AK49" i="9"/>
  <c r="M49" i="9"/>
  <c r="AJ49" i="9"/>
  <c r="AL49" i="9"/>
  <c r="AH49" i="9"/>
  <c r="I6" i="9"/>
  <c r="AK81" i="9"/>
  <c r="AK65" i="9"/>
  <c r="M65" i="9"/>
  <c r="AL65" i="9"/>
  <c r="AH65" i="9"/>
  <c r="AJ65" i="9"/>
  <c r="AI65" i="9"/>
  <c r="M10" i="9"/>
  <c r="AK10" i="9"/>
  <c r="S13" i="9"/>
  <c r="AI13" i="9"/>
  <c r="S29" i="9"/>
  <c r="AI29" i="9"/>
  <c r="O44" i="9"/>
  <c r="AK44" i="9"/>
  <c r="M58" i="9"/>
  <c r="P61" i="9"/>
  <c r="AI10" i="9"/>
  <c r="Q29" i="9"/>
  <c r="X44" i="9"/>
  <c r="T44" i="9"/>
  <c r="AL58" i="9"/>
  <c r="AH58" i="9"/>
  <c r="AK58" i="9"/>
  <c r="V13" i="9"/>
  <c r="AH13" i="9"/>
  <c r="AH29" i="9"/>
  <c r="Y44" i="9"/>
  <c r="AI44" i="9"/>
  <c r="U23" i="9"/>
  <c r="P23" i="9"/>
  <c r="Y23" i="9"/>
  <c r="AI18" i="9"/>
  <c r="M22" i="9"/>
  <c r="AK22" i="9"/>
  <c r="AK28" i="9"/>
  <c r="M28" i="9"/>
  <c r="AJ28" i="9"/>
  <c r="AK51" i="9"/>
  <c r="M51" i="9"/>
  <c r="AH51" i="9"/>
  <c r="AI51" i="9"/>
  <c r="AA53" i="9"/>
  <c r="O53" i="9"/>
  <c r="Z53" i="9"/>
  <c r="AB53" i="9"/>
  <c r="V53" i="9"/>
  <c r="Q18" i="9"/>
  <c r="AI22" i="9"/>
  <c r="AI28" i="9"/>
  <c r="AJ51" i="9"/>
  <c r="AH18" i="9"/>
  <c r="AL18" i="9"/>
  <c r="AL28" i="9"/>
  <c r="AL51" i="9"/>
  <c r="T53" i="9"/>
  <c r="AK62" i="9"/>
  <c r="M62" i="9"/>
  <c r="AL62" i="9"/>
  <c r="AK69" i="9"/>
  <c r="M69" i="9"/>
  <c r="AL69" i="9"/>
  <c r="W48" i="9"/>
  <c r="O48" i="9"/>
  <c r="R48" i="9"/>
  <c r="AJ62" i="9"/>
  <c r="W68" i="9"/>
  <c r="AH69" i="9"/>
  <c r="AA88" i="9"/>
  <c r="S88" i="9"/>
  <c r="M80" i="9"/>
  <c r="AK80" i="9"/>
  <c r="M82" i="9"/>
  <c r="AH82" i="9"/>
  <c r="AL87" i="9"/>
  <c r="AH87" i="9"/>
  <c r="AK87" i="9"/>
  <c r="AI88" i="9"/>
  <c r="AB79" i="9"/>
  <c r="AH80" i="9"/>
  <c r="AL80" i="9"/>
  <c r="AK88" i="9"/>
  <c r="U79" i="9"/>
  <c r="AK82" i="9"/>
  <c r="AL88" i="9"/>
  <c r="AH90" i="9"/>
  <c r="AL90" i="9"/>
  <c r="AI90" i="9"/>
  <c r="N104" i="8"/>
  <c r="O104" i="8"/>
  <c r="P104" i="8"/>
  <c r="Q104" i="8"/>
  <c r="R104" i="8"/>
  <c r="S104" i="8"/>
  <c r="T104" i="8"/>
  <c r="U104" i="8"/>
  <c r="V104" i="8"/>
  <c r="W104" i="8"/>
  <c r="X104" i="8"/>
  <c r="Y104" i="8"/>
  <c r="Z104" i="8"/>
  <c r="AA104" i="8"/>
  <c r="AB104" i="8"/>
  <c r="AC104" i="8"/>
  <c r="AD104" i="8"/>
  <c r="AE104" i="8"/>
  <c r="AF104" i="8"/>
  <c r="AG104" i="8"/>
  <c r="AH104" i="8"/>
  <c r="AI104" i="8"/>
  <c r="AJ104" i="8"/>
  <c r="AK104" i="8"/>
  <c r="AL104" i="8"/>
  <c r="AM104" i="8"/>
  <c r="AN104" i="8"/>
  <c r="AO104" i="8"/>
  <c r="AP104" i="8"/>
  <c r="AQ104" i="8"/>
  <c r="AR104" i="8"/>
  <c r="AS104" i="8"/>
  <c r="AT104" i="8"/>
  <c r="AU104" i="8"/>
  <c r="AV104" i="8"/>
  <c r="AW104" i="8"/>
  <c r="AX104" i="8"/>
  <c r="AY104" i="8"/>
  <c r="AZ104" i="8"/>
  <c r="BA104" i="8"/>
  <c r="BB104" i="8"/>
  <c r="BC104" i="8"/>
  <c r="BD104" i="8"/>
  <c r="BE104" i="8"/>
  <c r="BF104" i="8"/>
  <c r="BG104" i="8"/>
  <c r="BH104" i="8"/>
  <c r="BI104" i="8"/>
  <c r="BJ104" i="8"/>
  <c r="BK104" i="8"/>
  <c r="BL104" i="8"/>
  <c r="BM104" i="8"/>
  <c r="BN104" i="8"/>
  <c r="BO104" i="8"/>
  <c r="BP104" i="8"/>
  <c r="AV103" i="8"/>
  <c r="AW103" i="8"/>
  <c r="AX103" i="8"/>
  <c r="AY103" i="8"/>
  <c r="AZ103" i="8"/>
  <c r="BA103" i="8"/>
  <c r="BB103" i="8"/>
  <c r="BC103" i="8"/>
  <c r="BD103" i="8"/>
  <c r="BE103" i="8"/>
  <c r="BF103" i="8"/>
  <c r="BG103" i="8"/>
  <c r="BH103" i="8"/>
  <c r="BI103" i="8"/>
  <c r="BJ103" i="8"/>
  <c r="BK103" i="8"/>
  <c r="BL103" i="8"/>
  <c r="BM103" i="8"/>
  <c r="BN103" i="8"/>
  <c r="BO103" i="8"/>
  <c r="BP103" i="8"/>
  <c r="AF103" i="8"/>
  <c r="AG103" i="8"/>
  <c r="AH103" i="8"/>
  <c r="AI103" i="8"/>
  <c r="AJ103" i="8"/>
  <c r="AK103" i="8"/>
  <c r="AL103" i="8"/>
  <c r="AR103" i="8"/>
  <c r="AS103" i="8"/>
  <c r="AT103" i="8"/>
  <c r="AU103" i="8"/>
  <c r="N103" i="8"/>
  <c r="O103" i="8"/>
  <c r="P103" i="8"/>
  <c r="Q103" i="8"/>
  <c r="R103" i="8"/>
  <c r="S103" i="8"/>
  <c r="T103" i="8"/>
  <c r="U103" i="8"/>
  <c r="V103" i="8"/>
  <c r="W103" i="8"/>
  <c r="X103" i="8"/>
  <c r="Y103" i="8"/>
  <c r="Z103" i="8"/>
  <c r="AA103" i="8"/>
  <c r="AB103" i="8"/>
  <c r="AC103" i="8"/>
  <c r="AD103" i="8"/>
  <c r="AE103" i="8"/>
  <c r="AC85" i="8"/>
  <c r="AD85" i="8"/>
  <c r="AE85" i="8"/>
  <c r="AF85" i="8"/>
  <c r="AG85" i="8"/>
  <c r="AH85" i="8"/>
  <c r="AI85" i="8"/>
  <c r="AJ85" i="8"/>
  <c r="AK85" i="8"/>
  <c r="AL85" i="8"/>
  <c r="AR85" i="8"/>
  <c r="AS85" i="8"/>
  <c r="AT85" i="8"/>
  <c r="AU85" i="8"/>
  <c r="AV85" i="8"/>
  <c r="AW85" i="8"/>
  <c r="AX85" i="8"/>
  <c r="AY85" i="8"/>
  <c r="AZ85" i="8"/>
  <c r="BA85" i="8"/>
  <c r="BB85" i="8"/>
  <c r="BC85" i="8"/>
  <c r="BD85" i="8"/>
  <c r="BE85" i="8"/>
  <c r="BF85" i="8"/>
  <c r="BG85" i="8"/>
  <c r="BH85" i="8"/>
  <c r="BI85" i="8"/>
  <c r="BJ85" i="8"/>
  <c r="BK85" i="8"/>
  <c r="BL85" i="8"/>
  <c r="BM85" i="8"/>
  <c r="BN85" i="8"/>
  <c r="BO85" i="8"/>
  <c r="BP85" i="8"/>
  <c r="N85" i="8"/>
  <c r="O85" i="8"/>
  <c r="P85" i="8"/>
  <c r="Q85" i="8"/>
  <c r="R85" i="8"/>
  <c r="S85" i="8"/>
  <c r="T85" i="8"/>
  <c r="U85" i="8"/>
  <c r="V85" i="8"/>
  <c r="W85" i="8"/>
  <c r="X85" i="8"/>
  <c r="Y85" i="8"/>
  <c r="Z85" i="8"/>
  <c r="AA85" i="8"/>
  <c r="AB85" i="8"/>
  <c r="N75" i="8"/>
  <c r="O75" i="8"/>
  <c r="P75" i="8"/>
  <c r="Q75" i="8"/>
  <c r="R75" i="8"/>
  <c r="S75" i="8"/>
  <c r="T75" i="8"/>
  <c r="U75" i="8"/>
  <c r="V75" i="8"/>
  <c r="W75" i="8"/>
  <c r="X75" i="8"/>
  <c r="Y75" i="8"/>
  <c r="Z75" i="8"/>
  <c r="AA75" i="8"/>
  <c r="AB75" i="8"/>
  <c r="AC75" i="8"/>
  <c r="AD75" i="8"/>
  <c r="AE75" i="8"/>
  <c r="AF75" i="8"/>
  <c r="AG75" i="8"/>
  <c r="AH75" i="8"/>
  <c r="AI75" i="8"/>
  <c r="AJ75" i="8"/>
  <c r="AK75" i="8"/>
  <c r="AL75" i="8"/>
  <c r="AR75" i="8"/>
  <c r="AS75" i="8"/>
  <c r="AT75" i="8"/>
  <c r="AU75" i="8"/>
  <c r="AV75" i="8"/>
  <c r="AW75" i="8"/>
  <c r="AX75" i="8"/>
  <c r="AY75" i="8"/>
  <c r="AZ75" i="8"/>
  <c r="BA75" i="8"/>
  <c r="BB75" i="8"/>
  <c r="BC75" i="8"/>
  <c r="BD75" i="8"/>
  <c r="BE75" i="8"/>
  <c r="BF75" i="8"/>
  <c r="BG75" i="8"/>
  <c r="BH75" i="8"/>
  <c r="BI75" i="8"/>
  <c r="BJ75" i="8"/>
  <c r="BK75" i="8"/>
  <c r="BL75" i="8"/>
  <c r="BM75" i="8"/>
  <c r="BN75" i="8"/>
  <c r="BO75" i="8"/>
  <c r="BP75" i="8"/>
  <c r="AD60" i="8"/>
  <c r="AE60" i="8"/>
  <c r="AF60" i="8"/>
  <c r="AG60" i="8"/>
  <c r="AH60" i="8"/>
  <c r="AI60" i="8"/>
  <c r="AJ60" i="8"/>
  <c r="AK60" i="8"/>
  <c r="AL60" i="8"/>
  <c r="AR60" i="8"/>
  <c r="AS60" i="8"/>
  <c r="AT60" i="8"/>
  <c r="AU60" i="8"/>
  <c r="AV60" i="8"/>
  <c r="AW60" i="8"/>
  <c r="AX60" i="8"/>
  <c r="AY60" i="8"/>
  <c r="AZ60" i="8"/>
  <c r="BA60" i="8"/>
  <c r="BB60" i="8"/>
  <c r="BC60" i="8"/>
  <c r="BD60" i="8"/>
  <c r="BE60" i="8"/>
  <c r="BF60" i="8"/>
  <c r="BG60" i="8"/>
  <c r="BH60" i="8"/>
  <c r="BI60" i="8"/>
  <c r="BJ60" i="8"/>
  <c r="BK60" i="8"/>
  <c r="BL60" i="8"/>
  <c r="BM60" i="8"/>
  <c r="BN60" i="8"/>
  <c r="BO60" i="8"/>
  <c r="BP60" i="8"/>
  <c r="O60" i="8"/>
  <c r="P60" i="8"/>
  <c r="Q60" i="8"/>
  <c r="R60" i="8"/>
  <c r="S60" i="8"/>
  <c r="T60" i="8"/>
  <c r="U60" i="8"/>
  <c r="V60" i="8"/>
  <c r="W60" i="8"/>
  <c r="X60" i="8"/>
  <c r="Y60" i="8"/>
  <c r="Z60" i="8"/>
  <c r="AA60" i="8"/>
  <c r="AB60" i="8"/>
  <c r="AC60" i="8"/>
  <c r="N60" i="8"/>
  <c r="X41" i="8"/>
  <c r="Y41" i="8"/>
  <c r="Z41" i="8"/>
  <c r="AA41" i="8"/>
  <c r="AB41" i="8"/>
  <c r="AC41" i="8"/>
  <c r="AD41" i="8"/>
  <c r="AE41" i="8"/>
  <c r="AF41" i="8"/>
  <c r="AG41" i="8"/>
  <c r="AH41" i="8"/>
  <c r="AI41" i="8"/>
  <c r="AJ41" i="8"/>
  <c r="AK41" i="8"/>
  <c r="AL41" i="8"/>
  <c r="AR41" i="8"/>
  <c r="AS41" i="8"/>
  <c r="AT41" i="8"/>
  <c r="AU41" i="8"/>
  <c r="AV41" i="8"/>
  <c r="AW41" i="8"/>
  <c r="AX41" i="8"/>
  <c r="AY41" i="8"/>
  <c r="AZ41" i="8"/>
  <c r="BA41" i="8"/>
  <c r="BB41" i="8"/>
  <c r="BC41" i="8"/>
  <c r="BD41" i="8"/>
  <c r="BE41" i="8"/>
  <c r="BF41" i="8"/>
  <c r="BG41" i="8"/>
  <c r="BH41" i="8"/>
  <c r="BI41" i="8"/>
  <c r="BJ41" i="8"/>
  <c r="BK41" i="8"/>
  <c r="BL41" i="8"/>
  <c r="BM41" i="8"/>
  <c r="BN41" i="8"/>
  <c r="BO41" i="8"/>
  <c r="BP41" i="8"/>
  <c r="N41" i="8"/>
  <c r="O41" i="8"/>
  <c r="P41" i="8"/>
  <c r="Q41" i="8"/>
  <c r="R41" i="8"/>
  <c r="S41" i="8"/>
  <c r="T41" i="8"/>
  <c r="U41" i="8"/>
  <c r="V41" i="8"/>
  <c r="W41" i="8"/>
  <c r="L104" i="8"/>
  <c r="J104" i="8"/>
  <c r="H104" i="8"/>
  <c r="I104" i="8"/>
  <c r="K104" i="8"/>
  <c r="M104" i="8"/>
  <c r="G104" i="8"/>
  <c r="L103" i="8"/>
  <c r="J103" i="8"/>
  <c r="H103" i="8"/>
  <c r="I103" i="8"/>
  <c r="K103" i="8"/>
  <c r="M103" i="8"/>
  <c r="G103" i="8"/>
  <c r="L85" i="8"/>
  <c r="J85" i="8"/>
  <c r="H85" i="8"/>
  <c r="I85" i="8"/>
  <c r="K85" i="8"/>
  <c r="M85" i="8"/>
  <c r="G85" i="8"/>
  <c r="L75" i="8"/>
  <c r="J75" i="8"/>
  <c r="H75" i="8"/>
  <c r="I75" i="8"/>
  <c r="K75" i="8"/>
  <c r="M75" i="8"/>
  <c r="G75" i="8"/>
  <c r="L60" i="8"/>
  <c r="J60" i="8"/>
  <c r="H60" i="8"/>
  <c r="I60" i="8"/>
  <c r="K60" i="8"/>
  <c r="M60" i="8"/>
  <c r="G60" i="8"/>
  <c r="L41" i="8"/>
  <c r="J41" i="8"/>
  <c r="H41" i="8"/>
  <c r="I41" i="8"/>
  <c r="K41" i="8"/>
  <c r="M41" i="8"/>
  <c r="G41" i="8"/>
  <c r="X48" i="9" l="1"/>
  <c r="AA48" i="9"/>
  <c r="N23" i="9"/>
  <c r="O23" i="9"/>
  <c r="S44" i="9"/>
  <c r="S11" i="9"/>
  <c r="AC11" i="9" s="1"/>
  <c r="W97" i="9"/>
  <c r="Q54" i="9"/>
  <c r="V54" i="9"/>
  <c r="Y95" i="9"/>
  <c r="W17" i="9"/>
  <c r="AG17" i="9" s="1"/>
  <c r="P66" i="9"/>
  <c r="Q17" i="9"/>
  <c r="P38" i="9"/>
  <c r="AE38" i="9" s="1"/>
  <c r="V38" i="9"/>
  <c r="AU38" i="9" s="1"/>
  <c r="BO38" i="9" s="1"/>
  <c r="AA38" i="9"/>
  <c r="X74" i="9"/>
  <c r="P17" i="9"/>
  <c r="Z48" i="9"/>
  <c r="BN48" i="9" s="1"/>
  <c r="BE71" i="9"/>
  <c r="AV81" i="9"/>
  <c r="BA81" i="9" s="1"/>
  <c r="AZ56" i="9"/>
  <c r="O50" i="9"/>
  <c r="BC50" i="9" s="1"/>
  <c r="Z95" i="9"/>
  <c r="V23" i="9"/>
  <c r="W44" i="9"/>
  <c r="Z11" i="9"/>
  <c r="T54" i="9"/>
  <c r="AB95" i="9"/>
  <c r="S17" i="9"/>
  <c r="Z17" i="9"/>
  <c r="V14" i="9"/>
  <c r="Z86" i="9"/>
  <c r="X38" i="9"/>
  <c r="AC38" i="9" s="1"/>
  <c r="Z38" i="9"/>
  <c r="O74" i="9"/>
  <c r="AB17" i="9"/>
  <c r="U48" i="9"/>
  <c r="AT48" i="9" s="1"/>
  <c r="AY48" i="9" s="1"/>
  <c r="AU71" i="9"/>
  <c r="AZ71" i="9" s="1"/>
  <c r="P88" i="9"/>
  <c r="R13" i="9"/>
  <c r="Y13" i="9"/>
  <c r="O81" i="9"/>
  <c r="W31" i="9"/>
  <c r="BO56" i="9"/>
  <c r="AU61" i="9"/>
  <c r="AZ61" i="9" s="1"/>
  <c r="BE84" i="9"/>
  <c r="U88" i="9"/>
  <c r="AB88" i="9"/>
  <c r="X53" i="9"/>
  <c r="AC53" i="9" s="1"/>
  <c r="P53" i="9"/>
  <c r="BD53" i="9" s="1"/>
  <c r="S53" i="9"/>
  <c r="R29" i="9"/>
  <c r="N13" i="9"/>
  <c r="BB13" i="9" s="1"/>
  <c r="U13" i="9"/>
  <c r="AA13" i="9"/>
  <c r="N81" i="9"/>
  <c r="U81" i="9"/>
  <c r="AE81" i="9" s="1"/>
  <c r="X81" i="9"/>
  <c r="Y47" i="9"/>
  <c r="S47" i="9"/>
  <c r="Z74" i="9"/>
  <c r="R35" i="9"/>
  <c r="BF35" i="9" s="1"/>
  <c r="S31" i="9"/>
  <c r="R31" i="9"/>
  <c r="Y31" i="9"/>
  <c r="W86" i="9"/>
  <c r="V31" i="9"/>
  <c r="P74" i="9"/>
  <c r="S74" i="9"/>
  <c r="AR74" i="9" s="1"/>
  <c r="X31" i="9"/>
  <c r="X13" i="9"/>
  <c r="P50" i="9"/>
  <c r="BD50" i="9" s="1"/>
  <c r="T13" i="9"/>
  <c r="AD13" i="9" s="1"/>
  <c r="O88" i="9"/>
  <c r="O13" i="9"/>
  <c r="AA81" i="9"/>
  <c r="T81" i="9"/>
  <c r="P13" i="9"/>
  <c r="Q53" i="9"/>
  <c r="U53" i="9"/>
  <c r="AT53" i="9" s="1"/>
  <c r="AY53" i="9" s="1"/>
  <c r="W53" i="9"/>
  <c r="AG53" i="9" s="1"/>
  <c r="Y29" i="9"/>
  <c r="Q13" i="9"/>
  <c r="W13" i="9"/>
  <c r="AV13" i="9" s="1"/>
  <c r="Q81" i="9"/>
  <c r="AF81" i="9" s="1"/>
  <c r="S81" i="9"/>
  <c r="Z81" i="9"/>
  <c r="AB81" i="9"/>
  <c r="AG81" i="9" s="1"/>
  <c r="N50" i="9"/>
  <c r="BB50" i="9" s="1"/>
  <c r="R74" i="9"/>
  <c r="O31" i="9"/>
  <c r="Y35" i="9"/>
  <c r="N31" i="9"/>
  <c r="AC31" i="9" s="1"/>
  <c r="N86" i="9"/>
  <c r="T74" i="9"/>
  <c r="W74" i="9"/>
  <c r="AV74" i="9" s="1"/>
  <c r="BA74" i="9" s="1"/>
  <c r="Z13" i="9"/>
  <c r="N53" i="9"/>
  <c r="BE36" i="9"/>
  <c r="U18" i="9"/>
  <c r="AT18" i="9" s="1"/>
  <c r="AY18" i="9" s="1"/>
  <c r="W61" i="9"/>
  <c r="U95" i="9"/>
  <c r="R95" i="9"/>
  <c r="BF95" i="9" s="1"/>
  <c r="Q95" i="9"/>
  <c r="X95" i="9"/>
  <c r="W95" i="9"/>
  <c r="Z63" i="9"/>
  <c r="S63" i="9"/>
  <c r="X33" i="9"/>
  <c r="AA18" i="9"/>
  <c r="BE48" i="9"/>
  <c r="N95" i="9"/>
  <c r="P95" i="9"/>
  <c r="BD95" i="9" s="1"/>
  <c r="O95" i="9"/>
  <c r="O33" i="9"/>
  <c r="BC33" i="9" s="1"/>
  <c r="Y33" i="9"/>
  <c r="AA83" i="9"/>
  <c r="P63" i="9"/>
  <c r="BD13" i="9"/>
  <c r="V18" i="9"/>
  <c r="AU18" i="9" s="1"/>
  <c r="AZ18" i="9" s="1"/>
  <c r="Y61" i="9"/>
  <c r="V95" i="9"/>
  <c r="T95" i="9"/>
  <c r="N33" i="9"/>
  <c r="BB33" i="9" s="1"/>
  <c r="AB33" i="9"/>
  <c r="AA14" i="9"/>
  <c r="P14" i="9"/>
  <c r="BD14" i="9" s="1"/>
  <c r="Q14" i="9"/>
  <c r="BE14" i="9" s="1"/>
  <c r="T14" i="9"/>
  <c r="AD14" i="9" s="1"/>
  <c r="U87" i="9"/>
  <c r="AT87" i="9" s="1"/>
  <c r="R87" i="9"/>
  <c r="BF87" i="9" s="1"/>
  <c r="T25" i="9"/>
  <c r="AS25" i="9" s="1"/>
  <c r="AX25" i="9" s="1"/>
  <c r="W25" i="9"/>
  <c r="AV25" i="9" s="1"/>
  <c r="BA25" i="9" s="1"/>
  <c r="O97" i="9"/>
  <c r="U97" i="9"/>
  <c r="AT97" i="9" s="1"/>
  <c r="AA97" i="9"/>
  <c r="V97" i="9"/>
  <c r="AU97" i="9" s="1"/>
  <c r="T97" i="9"/>
  <c r="AS97" i="9" s="1"/>
  <c r="X87" i="9"/>
  <c r="R97" i="9"/>
  <c r="BF97" i="9" s="1"/>
  <c r="Y93" i="9"/>
  <c r="U25" i="9"/>
  <c r="O14" i="9"/>
  <c r="BC14" i="9" s="1"/>
  <c r="W24" i="9"/>
  <c r="AV24" i="9" s="1"/>
  <c r="BP24" i="9" s="1"/>
  <c r="AA24" i="9"/>
  <c r="R24" i="9"/>
  <c r="BF24" i="9" s="1"/>
  <c r="P24" i="9"/>
  <c r="AA66" i="9"/>
  <c r="O66" i="9"/>
  <c r="V66" i="9"/>
  <c r="AU66" i="9" s="1"/>
  <c r="AZ66" i="9" s="1"/>
  <c r="AA90" i="9"/>
  <c r="N90" i="9"/>
  <c r="P90" i="9"/>
  <c r="BD90" i="9" s="1"/>
  <c r="Q97" i="9"/>
  <c r="BE97" i="9" s="1"/>
  <c r="Y97" i="9"/>
  <c r="AB61" i="9"/>
  <c r="R61" i="9"/>
  <c r="BF61" i="9" s="1"/>
  <c r="N61" i="9"/>
  <c r="Z61" i="9"/>
  <c r="AB18" i="9"/>
  <c r="T18" i="9"/>
  <c r="AS18" i="9" s="1"/>
  <c r="W18" i="9"/>
  <c r="AV18" i="9" s="1"/>
  <c r="Y18" i="9"/>
  <c r="Z18" i="9"/>
  <c r="V63" i="9"/>
  <c r="AU63" i="9" s="1"/>
  <c r="Y63" i="9"/>
  <c r="AA63" i="9"/>
  <c r="AB63" i="9"/>
  <c r="U63" i="9"/>
  <c r="AT63" i="9" s="1"/>
  <c r="N63" i="9"/>
  <c r="BB63" i="9" s="1"/>
  <c r="Q63" i="9"/>
  <c r="BE63" i="9" s="1"/>
  <c r="T68" i="9"/>
  <c r="AS68" i="9" s="1"/>
  <c r="AX68" i="9" s="1"/>
  <c r="Q68" i="9"/>
  <c r="BE68" i="9" s="1"/>
  <c r="V68" i="9"/>
  <c r="N68" i="9"/>
  <c r="BB68" i="9" s="1"/>
  <c r="O68" i="9"/>
  <c r="BC68" i="9" s="1"/>
  <c r="P68" i="9"/>
  <c r="BD68" i="9" s="1"/>
  <c r="Z68" i="9"/>
  <c r="N87" i="9"/>
  <c r="O90" i="9"/>
  <c r="BC90" i="9" s="1"/>
  <c r="P87" i="9"/>
  <c r="X68" i="9"/>
  <c r="AA68" i="9"/>
  <c r="R18" i="9"/>
  <c r="BF18" i="9" s="1"/>
  <c r="T61" i="9"/>
  <c r="AS61" i="9" s="1"/>
  <c r="AA61" i="9"/>
  <c r="Z97" i="9"/>
  <c r="U72" i="9"/>
  <c r="AT72" i="9" s="1"/>
  <c r="Z24" i="9"/>
  <c r="T93" i="9"/>
  <c r="R25" i="9"/>
  <c r="U14" i="9"/>
  <c r="AT14" i="9" s="1"/>
  <c r="X66" i="9"/>
  <c r="T63" i="9"/>
  <c r="AD63" i="9" s="1"/>
  <c r="W63" i="9"/>
  <c r="AV63" i="9" s="1"/>
  <c r="BA63" i="9" s="1"/>
  <c r="AB14" i="9"/>
  <c r="Y68" i="9"/>
  <c r="BM68" i="9" s="1"/>
  <c r="U68" i="9"/>
  <c r="AT68" i="9" s="1"/>
  <c r="AY68" i="9" s="1"/>
  <c r="AA47" i="9"/>
  <c r="Q47" i="9"/>
  <c r="BE47" i="9" s="1"/>
  <c r="N47" i="9"/>
  <c r="BB47" i="9" s="1"/>
  <c r="AS43" i="9"/>
  <c r="AX43" i="9" s="1"/>
  <c r="AB29" i="9"/>
  <c r="T29" i="9"/>
  <c r="AS29" i="9" s="1"/>
  <c r="AX29" i="9" s="1"/>
  <c r="X29" i="9"/>
  <c r="O29" i="9"/>
  <c r="BC29" i="9" s="1"/>
  <c r="U29" i="9"/>
  <c r="N29" i="9"/>
  <c r="BB29" i="9" s="1"/>
  <c r="P29" i="9"/>
  <c r="BD29" i="9" s="1"/>
  <c r="AA31" i="9"/>
  <c r="Q31" i="9"/>
  <c r="BE31" i="9" s="1"/>
  <c r="T31" i="9"/>
  <c r="AS31" i="9" s="1"/>
  <c r="AX31" i="9" s="1"/>
  <c r="V87" i="9"/>
  <c r="AU87" i="9" s="1"/>
  <c r="X90" i="9"/>
  <c r="R68" i="9"/>
  <c r="BF68" i="9" s="1"/>
  <c r="N18" i="9"/>
  <c r="S18" i="9"/>
  <c r="AR18" i="9" s="1"/>
  <c r="V29" i="9"/>
  <c r="AF29" i="9" s="1"/>
  <c r="X61" i="9"/>
  <c r="U61" i="9"/>
  <c r="AE61" i="9" s="1"/>
  <c r="W29" i="9"/>
  <c r="AV29" i="9" s="1"/>
  <c r="X97" i="9"/>
  <c r="S97" i="9"/>
  <c r="P72" i="9"/>
  <c r="BD72" i="9" s="1"/>
  <c r="U47" i="9"/>
  <c r="T24" i="9"/>
  <c r="AS24" i="9" s="1"/>
  <c r="O24" i="9"/>
  <c r="BC24" i="9" s="1"/>
  <c r="S91" i="9"/>
  <c r="AR91" i="9" s="1"/>
  <c r="AW91" i="9" s="1"/>
  <c r="W91" i="9"/>
  <c r="AA25" i="9"/>
  <c r="Z31" i="9"/>
  <c r="Z14" i="9"/>
  <c r="U31" i="9"/>
  <c r="AB83" i="9"/>
  <c r="S66" i="9"/>
  <c r="AR66" i="9" s="1"/>
  <c r="AW66" i="9" s="1"/>
  <c r="R14" i="9"/>
  <c r="BF14" i="9" s="1"/>
  <c r="Y14" i="9"/>
  <c r="Q66" i="9"/>
  <c r="BE66" i="9" s="1"/>
  <c r="X63" i="9"/>
  <c r="AF56" i="9"/>
  <c r="BJ56" i="9" s="1"/>
  <c r="AB31" i="9"/>
  <c r="AG31" i="9" s="1"/>
  <c r="P18" i="9"/>
  <c r="BD18" i="9" s="1"/>
  <c r="X18" i="9"/>
  <c r="AB68" i="9"/>
  <c r="AG68" i="9" s="1"/>
  <c r="AA23" i="9"/>
  <c r="S23" i="9"/>
  <c r="AR23" i="9" s="1"/>
  <c r="X23" i="9"/>
  <c r="AB44" i="9"/>
  <c r="P44" i="9"/>
  <c r="BD44" i="9" s="1"/>
  <c r="N44" i="9"/>
  <c r="AC44" i="9" s="1"/>
  <c r="AA54" i="9"/>
  <c r="AF54" i="9" s="1"/>
  <c r="W54" i="9"/>
  <c r="AV54" i="9" s="1"/>
  <c r="R54" i="9"/>
  <c r="BF54" i="9" s="1"/>
  <c r="P54" i="9"/>
  <c r="BD54" i="9" s="1"/>
  <c r="BD48" i="9"/>
  <c r="AE43" i="9"/>
  <c r="T48" i="9"/>
  <c r="Y48" i="9"/>
  <c r="W79" i="9"/>
  <c r="AV79" i="9" s="1"/>
  <c r="BP79" i="9" s="1"/>
  <c r="S48" i="9"/>
  <c r="AR48" i="9" s="1"/>
  <c r="BL48" i="9" s="1"/>
  <c r="R50" i="9"/>
  <c r="S86" i="9"/>
  <c r="AR86" i="9" s="1"/>
  <c r="AF84" i="9"/>
  <c r="R33" i="9"/>
  <c r="U33" i="9"/>
  <c r="AT33" i="9" s="1"/>
  <c r="BN33" i="9" s="1"/>
  <c r="Q33" i="9"/>
  <c r="BE33" i="9" s="1"/>
  <c r="Y38" i="9"/>
  <c r="T38" i="9"/>
  <c r="R38" i="9"/>
  <c r="AG38" i="9" s="1"/>
  <c r="BE41" i="9"/>
  <c r="N48" i="9"/>
  <c r="BB48" i="9" s="1"/>
  <c r="V48" i="9"/>
  <c r="AU48" i="9" s="1"/>
  <c r="BD43" i="9"/>
  <c r="O67" i="9"/>
  <c r="BC67" i="9" s="1"/>
  <c r="W67" i="9"/>
  <c r="AV67" i="9" s="1"/>
  <c r="X67" i="9"/>
  <c r="S46" i="9"/>
  <c r="AR46" i="9" s="1"/>
  <c r="AW46" i="9" s="1"/>
  <c r="AA46" i="9"/>
  <c r="Q46" i="9"/>
  <c r="BE46" i="9" s="1"/>
  <c r="R46" i="9"/>
  <c r="V39" i="9"/>
  <c r="AU39" i="9" s="1"/>
  <c r="AZ39" i="9" s="1"/>
  <c r="O39" i="9"/>
  <c r="BC39" i="9" s="1"/>
  <c r="N39" i="9"/>
  <c r="BB39" i="9" s="1"/>
  <c r="S67" i="9"/>
  <c r="Q39" i="9"/>
  <c r="BE39" i="9" s="1"/>
  <c r="X50" i="9"/>
  <c r="AB50" i="9"/>
  <c r="S50" i="9"/>
  <c r="AR50" i="9" s="1"/>
  <c r="V50" i="9"/>
  <c r="Z50" i="9"/>
  <c r="X86" i="9"/>
  <c r="V86" i="9"/>
  <c r="AU86" i="9" s="1"/>
  <c r="U86" i="9"/>
  <c r="AT86" i="9" s="1"/>
  <c r="O86" i="9"/>
  <c r="R86" i="9"/>
  <c r="BF86" i="9" s="1"/>
  <c r="P86" i="9"/>
  <c r="AB86" i="9"/>
  <c r="T67" i="9"/>
  <c r="AS67" i="9" s="1"/>
  <c r="N46" i="9"/>
  <c r="Y50" i="9"/>
  <c r="AA50" i="9"/>
  <c r="O46" i="9"/>
  <c r="BC46" i="9" s="1"/>
  <c r="Y86" i="9"/>
  <c r="AA39" i="9"/>
  <c r="T50" i="9"/>
  <c r="AS50" i="9" s="1"/>
  <c r="T88" i="9"/>
  <c r="Q88" i="9"/>
  <c r="Y88" i="9"/>
  <c r="P11" i="9"/>
  <c r="BD11" i="9" s="1"/>
  <c r="AB11" i="9"/>
  <c r="O11" i="9"/>
  <c r="U11" i="9"/>
  <c r="AT11" i="9" s="1"/>
  <c r="V11" i="9"/>
  <c r="AA11" i="9"/>
  <c r="Z35" i="9"/>
  <c r="X35" i="9"/>
  <c r="W35" i="9"/>
  <c r="AV35" i="9" s="1"/>
  <c r="Q35" i="9"/>
  <c r="AB35" i="9"/>
  <c r="P35" i="9"/>
  <c r="BD35" i="9" s="1"/>
  <c r="AA35" i="9"/>
  <c r="N35" i="9"/>
  <c r="BB35" i="9" s="1"/>
  <c r="N88" i="9"/>
  <c r="Z88" i="9"/>
  <c r="X88" i="9"/>
  <c r="AC88" i="9" s="1"/>
  <c r="BO48" i="9"/>
  <c r="Y11" i="9"/>
  <c r="R67" i="9"/>
  <c r="W11" i="9"/>
  <c r="U50" i="9"/>
  <c r="AT50" i="9" s="1"/>
  <c r="AY50" i="9" s="1"/>
  <c r="W50" i="9"/>
  <c r="Q86" i="9"/>
  <c r="BE86" i="9" s="1"/>
  <c r="AA86" i="9"/>
  <c r="W72" i="9"/>
  <c r="AV72" i="9" s="1"/>
  <c r="BP72" i="9" s="1"/>
  <c r="O72" i="9"/>
  <c r="AB25" i="9"/>
  <c r="X25" i="9"/>
  <c r="N25" i="9"/>
  <c r="BB25" i="9" s="1"/>
  <c r="U93" i="9"/>
  <c r="P93" i="9"/>
  <c r="S93" i="9"/>
  <c r="AR93" i="9" s="1"/>
  <c r="AW93" i="9" s="1"/>
  <c r="AV41" i="9"/>
  <c r="BP41" i="9" s="1"/>
  <c r="T35" i="9"/>
  <c r="W47" i="9"/>
  <c r="V47" i="9"/>
  <c r="AU47" i="9" s="1"/>
  <c r="AZ47" i="9" s="1"/>
  <c r="S87" i="9"/>
  <c r="AR87" i="9" s="1"/>
  <c r="AW87" i="9" s="1"/>
  <c r="Z87" i="9"/>
  <c r="R23" i="9"/>
  <c r="BF23" i="9" s="1"/>
  <c r="Q23" i="9"/>
  <c r="Z23" i="9"/>
  <c r="AE23" i="9" s="1"/>
  <c r="O61" i="9"/>
  <c r="R44" i="9"/>
  <c r="BF44" i="9" s="1"/>
  <c r="P97" i="9"/>
  <c r="BD97" i="9" s="1"/>
  <c r="N97" i="9"/>
  <c r="U54" i="9"/>
  <c r="AB54" i="9"/>
  <c r="Z54" i="9"/>
  <c r="X24" i="9"/>
  <c r="V24" i="9"/>
  <c r="AU24" i="9" s="1"/>
  <c r="N66" i="9"/>
  <c r="W33" i="9"/>
  <c r="AV33" i="9" s="1"/>
  <c r="BP33" i="9" s="1"/>
  <c r="W14" i="9"/>
  <c r="AV14" i="9" s="1"/>
  <c r="BA14" i="9" s="1"/>
  <c r="V33" i="9"/>
  <c r="N14" i="9"/>
  <c r="BB14" i="9" s="1"/>
  <c r="U66" i="9"/>
  <c r="AT66" i="9" s="1"/>
  <c r="AB66" i="9"/>
  <c r="U74" i="9"/>
  <c r="AB74" i="9"/>
  <c r="AG74" i="9" s="1"/>
  <c r="P33" i="9"/>
  <c r="AE33" i="9" s="1"/>
  <c r="X14" i="9"/>
  <c r="Q61" i="9"/>
  <c r="BE61" i="9" s="1"/>
  <c r="AF71" i="9"/>
  <c r="BB53" i="9"/>
  <c r="BB43" i="9"/>
  <c r="U83" i="9"/>
  <c r="AE83" i="9" s="1"/>
  <c r="Y83" i="9"/>
  <c r="Z91" i="9"/>
  <c r="AA91" i="9"/>
  <c r="Q91" i="9"/>
  <c r="BE91" i="9" s="1"/>
  <c r="V91" i="9"/>
  <c r="AU91" i="9" s="1"/>
  <c r="S90" i="9"/>
  <c r="AB90" i="9"/>
  <c r="R91" i="9"/>
  <c r="AB91" i="9"/>
  <c r="N83" i="9"/>
  <c r="BB83" i="9" s="1"/>
  <c r="Y79" i="9"/>
  <c r="T79" i="9"/>
  <c r="Z79" i="9"/>
  <c r="R79" i="9"/>
  <c r="V79" i="9"/>
  <c r="P79" i="9"/>
  <c r="BD79" i="9" s="1"/>
  <c r="N79" i="9"/>
  <c r="X79" i="9"/>
  <c r="Y39" i="9"/>
  <c r="P39" i="9"/>
  <c r="Z39" i="9"/>
  <c r="U39" i="9"/>
  <c r="AT39" i="9" s="1"/>
  <c r="Q79" i="9"/>
  <c r="BE79" i="9" s="1"/>
  <c r="V90" i="9"/>
  <c r="AU90" i="9" s="1"/>
  <c r="W90" i="9"/>
  <c r="AV90" i="9" s="1"/>
  <c r="BA90" i="9" s="1"/>
  <c r="Y90" i="9"/>
  <c r="U90" i="9"/>
  <c r="Z90" i="9"/>
  <c r="O79" i="9"/>
  <c r="BC79" i="9" s="1"/>
  <c r="U67" i="9"/>
  <c r="AT67" i="9" s="1"/>
  <c r="P67" i="9"/>
  <c r="BD67" i="9" s="1"/>
  <c r="N67" i="9"/>
  <c r="BB67" i="9" s="1"/>
  <c r="X72" i="9"/>
  <c r="V46" i="9"/>
  <c r="U46" i="9"/>
  <c r="AT46" i="9" s="1"/>
  <c r="AY46" i="9" s="1"/>
  <c r="Y91" i="9"/>
  <c r="R93" i="9"/>
  <c r="AA93" i="9"/>
  <c r="T91" i="9"/>
  <c r="AS91" i="9" s="1"/>
  <c r="AX91" i="9" s="1"/>
  <c r="V25" i="9"/>
  <c r="Y25" i="9"/>
  <c r="P25" i="9"/>
  <c r="BD25" i="9" s="1"/>
  <c r="O91" i="9"/>
  <c r="Q83" i="9"/>
  <c r="BE83" i="9" s="1"/>
  <c r="R39" i="9"/>
  <c r="X83" i="9"/>
  <c r="V83" i="9"/>
  <c r="AU83" i="9" s="1"/>
  <c r="W83" i="9"/>
  <c r="AB39" i="9"/>
  <c r="W39" i="9"/>
  <c r="AC71" i="9"/>
  <c r="T39" i="9"/>
  <c r="Y24" i="9"/>
  <c r="Q24" i="9"/>
  <c r="U24" i="9"/>
  <c r="AT24" i="9" s="1"/>
  <c r="AY24" i="9" s="1"/>
  <c r="AT84" i="9"/>
  <c r="Y66" i="9"/>
  <c r="R66" i="9"/>
  <c r="Z66" i="9"/>
  <c r="AA87" i="9"/>
  <c r="W87" i="9"/>
  <c r="AV87" i="9" s="1"/>
  <c r="T87" i="9"/>
  <c r="AS87" i="9" s="1"/>
  <c r="AX87" i="9" s="1"/>
  <c r="AB87" i="9"/>
  <c r="Y87" i="9"/>
  <c r="Q87" i="9"/>
  <c r="BE87" i="9" s="1"/>
  <c r="O87" i="9"/>
  <c r="N74" i="9"/>
  <c r="Y74" i="9"/>
  <c r="AD74" i="9" s="1"/>
  <c r="V74" i="9"/>
  <c r="AU74" i="9" s="1"/>
  <c r="AZ74" i="9" s="1"/>
  <c r="Q74" i="9"/>
  <c r="BE74" i="9" s="1"/>
  <c r="AB23" i="9"/>
  <c r="T23" i="9"/>
  <c r="AS23" i="9" s="1"/>
  <c r="AX23" i="9" s="1"/>
  <c r="Z44" i="9"/>
  <c r="AA44" i="9"/>
  <c r="V44" i="9"/>
  <c r="AU44" i="9" s="1"/>
  <c r="AZ44" i="9" s="1"/>
  <c r="Q44" i="9"/>
  <c r="T90" i="9"/>
  <c r="Q90" i="9"/>
  <c r="BE90" i="9" s="1"/>
  <c r="R90" i="9"/>
  <c r="N91" i="9"/>
  <c r="BN36" i="9"/>
  <c r="P83" i="9"/>
  <c r="BD83" i="9" s="1"/>
  <c r="O83" i="9"/>
  <c r="Y67" i="9"/>
  <c r="Q67" i="9"/>
  <c r="BE67" i="9" s="1"/>
  <c r="Z46" i="9"/>
  <c r="P46" i="9"/>
  <c r="BD46" i="9" s="1"/>
  <c r="AB46" i="9"/>
  <c r="X46" i="9"/>
  <c r="T46" i="9"/>
  <c r="AS46" i="9" s="1"/>
  <c r="AX46" i="9" s="1"/>
  <c r="V72" i="9"/>
  <c r="R72" i="9"/>
  <c r="N72" i="9"/>
  <c r="BB72" i="9" s="1"/>
  <c r="Q72" i="9"/>
  <c r="BE72" i="9" s="1"/>
  <c r="Z72" i="9"/>
  <c r="AE72" i="9" s="1"/>
  <c r="Y72" i="9"/>
  <c r="Z93" i="9"/>
  <c r="AB93" i="9"/>
  <c r="V93" i="9"/>
  <c r="Q93" i="9"/>
  <c r="BE93" i="9" s="1"/>
  <c r="S79" i="9"/>
  <c r="AB67" i="9"/>
  <c r="Z67" i="9"/>
  <c r="BN67" i="9" s="1"/>
  <c r="AA67" i="9"/>
  <c r="AF67" i="9" s="1"/>
  <c r="T72" i="9"/>
  <c r="S72" i="9"/>
  <c r="Y46" i="9"/>
  <c r="W46" i="9"/>
  <c r="N93" i="9"/>
  <c r="BB93" i="9" s="1"/>
  <c r="X93" i="9"/>
  <c r="W93" i="9"/>
  <c r="AV93" i="9" s="1"/>
  <c r="P91" i="9"/>
  <c r="BD91" i="9" s="1"/>
  <c r="Q25" i="9"/>
  <c r="S25" i="9"/>
  <c r="Z25" i="9"/>
  <c r="U91" i="9"/>
  <c r="AT91" i="9" s="1"/>
  <c r="X39" i="9"/>
  <c r="T83" i="9"/>
  <c r="R83" i="9"/>
  <c r="BF83" i="9" s="1"/>
  <c r="S83" i="9"/>
  <c r="AR83" i="9" s="1"/>
  <c r="BL83" i="9" s="1"/>
  <c r="S39" i="9"/>
  <c r="AR39" i="9" s="1"/>
  <c r="BL39" i="9" s="1"/>
  <c r="AT43" i="9"/>
  <c r="AY43" i="9" s="1"/>
  <c r="Z47" i="9"/>
  <c r="P47" i="9"/>
  <c r="AB47" i="9"/>
  <c r="T47" i="9"/>
  <c r="AS47" i="9" s="1"/>
  <c r="AX47" i="9" s="1"/>
  <c r="X47" i="9"/>
  <c r="R88" i="9"/>
  <c r="W88" i="9"/>
  <c r="BN43" i="9"/>
  <c r="AA80" i="9"/>
  <c r="W80" i="9"/>
  <c r="S80" i="9"/>
  <c r="O80" i="9"/>
  <c r="Z80" i="9"/>
  <c r="V80" i="9"/>
  <c r="R80" i="9"/>
  <c r="N80" i="9"/>
  <c r="Y80" i="9"/>
  <c r="U80" i="9"/>
  <c r="Q80" i="9"/>
  <c r="T80" i="9"/>
  <c r="P80" i="9"/>
  <c r="X80" i="9"/>
  <c r="AB80" i="9"/>
  <c r="Y51" i="9"/>
  <c r="U51" i="9"/>
  <c r="Q51" i="9"/>
  <c r="AB51" i="9"/>
  <c r="W51" i="9"/>
  <c r="R51" i="9"/>
  <c r="V51" i="9"/>
  <c r="O51" i="9"/>
  <c r="AA51" i="9"/>
  <c r="T51" i="9"/>
  <c r="N51" i="9"/>
  <c r="X51" i="9"/>
  <c r="P51" i="9"/>
  <c r="S51" i="9"/>
  <c r="Z51" i="9"/>
  <c r="AV23" i="9"/>
  <c r="AR13" i="9"/>
  <c r="BL13" i="9" s="1"/>
  <c r="AR67" i="9"/>
  <c r="Y73" i="9"/>
  <c r="U73" i="9"/>
  <c r="Q73" i="9"/>
  <c r="Z73" i="9"/>
  <c r="V73" i="9"/>
  <c r="R73" i="9"/>
  <c r="N73" i="9"/>
  <c r="AA73" i="9"/>
  <c r="S73" i="9"/>
  <c r="X73" i="9"/>
  <c r="P73" i="9"/>
  <c r="AB73" i="9"/>
  <c r="T73" i="9"/>
  <c r="O73" i="9"/>
  <c r="W73" i="9"/>
  <c r="BC72" i="9"/>
  <c r="Z78" i="9"/>
  <c r="V78" i="9"/>
  <c r="R78" i="9"/>
  <c r="AB78" i="9"/>
  <c r="W78" i="9"/>
  <c r="Q78" i="9"/>
  <c r="AA78" i="9"/>
  <c r="U78" i="9"/>
  <c r="P78" i="9"/>
  <c r="X78" i="9"/>
  <c r="S78" i="9"/>
  <c r="N78" i="9"/>
  <c r="O78" i="9"/>
  <c r="T78" i="9"/>
  <c r="Y78" i="9"/>
  <c r="BE54" i="9"/>
  <c r="AV50" i="9"/>
  <c r="BP50" i="9" s="1"/>
  <c r="AV91" i="9"/>
  <c r="BA91" i="9" s="1"/>
  <c r="BF25" i="9"/>
  <c r="BC25" i="9"/>
  <c r="BD84" i="9"/>
  <c r="AE84" i="9"/>
  <c r="AF43" i="9"/>
  <c r="BE43" i="9"/>
  <c r="BE88" i="9"/>
  <c r="AF88" i="9"/>
  <c r="AR68" i="9"/>
  <c r="BL68" i="9" s="1"/>
  <c r="AV48" i="9"/>
  <c r="Y62" i="9"/>
  <c r="U62" i="9"/>
  <c r="Q62" i="9"/>
  <c r="Z62" i="9"/>
  <c r="T62" i="9"/>
  <c r="O62" i="9"/>
  <c r="X62" i="9"/>
  <c r="S62" i="9"/>
  <c r="N62" i="9"/>
  <c r="AA62" i="9"/>
  <c r="V62" i="9"/>
  <c r="P62" i="9"/>
  <c r="AB62" i="9"/>
  <c r="W62" i="9"/>
  <c r="R62" i="9"/>
  <c r="AR53" i="9"/>
  <c r="AB22" i="9"/>
  <c r="X22" i="9"/>
  <c r="T22" i="9"/>
  <c r="P22" i="9"/>
  <c r="AA22" i="9"/>
  <c r="W22" i="9"/>
  <c r="S22" i="9"/>
  <c r="O22" i="9"/>
  <c r="Y22" i="9"/>
  <c r="U22" i="9"/>
  <c r="Q22" i="9"/>
  <c r="Z22" i="9"/>
  <c r="V22" i="9"/>
  <c r="N22" i="9"/>
  <c r="R22" i="9"/>
  <c r="BC18" i="9"/>
  <c r="BB23" i="9"/>
  <c r="BD23" i="9"/>
  <c r="AR44" i="9"/>
  <c r="AW44" i="9" s="1"/>
  <c r="BF29" i="9"/>
  <c r="BF13" i="9"/>
  <c r="AV44" i="9"/>
  <c r="BA44" i="9" s="1"/>
  <c r="BE29" i="9"/>
  <c r="BD61" i="9"/>
  <c r="AD44" i="9"/>
  <c r="BC44" i="9"/>
  <c r="AR29" i="9"/>
  <c r="BL29" i="9" s="1"/>
  <c r="AB10" i="9"/>
  <c r="X10" i="9"/>
  <c r="T10" i="9"/>
  <c r="P10" i="9"/>
  <c r="AA10" i="9"/>
  <c r="W10" i="9"/>
  <c r="S10" i="9"/>
  <c r="O10" i="9"/>
  <c r="Y10" i="9"/>
  <c r="U10" i="9"/>
  <c r="Q10" i="9"/>
  <c r="R10" i="9"/>
  <c r="N10" i="9"/>
  <c r="V10" i="9"/>
  <c r="Z10" i="9"/>
  <c r="Y65" i="9"/>
  <c r="U65" i="9"/>
  <c r="Q65" i="9"/>
  <c r="Z65" i="9"/>
  <c r="V65" i="9"/>
  <c r="R65" i="9"/>
  <c r="AB65" i="9"/>
  <c r="T65" i="9"/>
  <c r="N65" i="9"/>
  <c r="AA65" i="9"/>
  <c r="S65" i="9"/>
  <c r="W65" i="9"/>
  <c r="O65" i="9"/>
  <c r="X65" i="9"/>
  <c r="P65" i="9"/>
  <c r="Y49" i="9"/>
  <c r="U49" i="9"/>
  <c r="Q49" i="9"/>
  <c r="AB49" i="9"/>
  <c r="X49" i="9"/>
  <c r="T49" i="9"/>
  <c r="P49" i="9"/>
  <c r="Z49" i="9"/>
  <c r="V49" i="9"/>
  <c r="R49" i="9"/>
  <c r="N49" i="9"/>
  <c r="W49" i="9"/>
  <c r="S49" i="9"/>
  <c r="AA49" i="9"/>
  <c r="O49" i="9"/>
  <c r="BB11" i="9"/>
  <c r="BE11" i="9"/>
  <c r="AU81" i="9"/>
  <c r="BD81" i="9"/>
  <c r="AS11" i="9"/>
  <c r="BM11" i="9" s="1"/>
  <c r="Y98" i="9"/>
  <c r="U98" i="9"/>
  <c r="Q98" i="9"/>
  <c r="AB98" i="9"/>
  <c r="X98" i="9"/>
  <c r="T98" i="9"/>
  <c r="P98" i="9"/>
  <c r="Z98" i="9"/>
  <c r="V98" i="9"/>
  <c r="R98" i="9"/>
  <c r="N98" i="9"/>
  <c r="W98" i="9"/>
  <c r="S98" i="9"/>
  <c r="AA98" i="9"/>
  <c r="O98" i="9"/>
  <c r="AV97" i="9"/>
  <c r="BF50" i="9"/>
  <c r="BF47" i="9"/>
  <c r="BK81" i="9"/>
  <c r="AE11" i="9"/>
  <c r="AS54" i="9"/>
  <c r="BM54" i="9" s="1"/>
  <c r="AR54" i="9"/>
  <c r="Z30" i="9"/>
  <c r="V30" i="9"/>
  <c r="R30" i="9"/>
  <c r="N30" i="9"/>
  <c r="AA30" i="9"/>
  <c r="W30" i="9"/>
  <c r="S30" i="9"/>
  <c r="O30" i="9"/>
  <c r="U30" i="9"/>
  <c r="AB30" i="9"/>
  <c r="T30" i="9"/>
  <c r="X30" i="9"/>
  <c r="P30" i="9"/>
  <c r="Y30" i="9"/>
  <c r="Q30" i="9"/>
  <c r="BC47" i="9"/>
  <c r="AR24" i="9"/>
  <c r="AW24" i="9" s="1"/>
  <c r="Y92" i="9"/>
  <c r="U92" i="9"/>
  <c r="Q92" i="9"/>
  <c r="AA92" i="9"/>
  <c r="V92" i="9"/>
  <c r="P92" i="9"/>
  <c r="Z92" i="9"/>
  <c r="T92" i="9"/>
  <c r="O92" i="9"/>
  <c r="AB92" i="9"/>
  <c r="W92" i="9"/>
  <c r="R92" i="9"/>
  <c r="N92" i="9"/>
  <c r="X92" i="9"/>
  <c r="S92" i="9"/>
  <c r="Y96" i="9"/>
  <c r="U96" i="9"/>
  <c r="Q96" i="9"/>
  <c r="AB96" i="9"/>
  <c r="X96" i="9"/>
  <c r="T96" i="9"/>
  <c r="P96" i="9"/>
  <c r="Z96" i="9"/>
  <c r="V96" i="9"/>
  <c r="R96" i="9"/>
  <c r="N96" i="9"/>
  <c r="O96" i="9"/>
  <c r="AA96" i="9"/>
  <c r="S96" i="9"/>
  <c r="W96" i="9"/>
  <c r="AU36" i="9"/>
  <c r="AZ36" i="9" s="1"/>
  <c r="AV36" i="9"/>
  <c r="BA36" i="9" s="1"/>
  <c r="AT93" i="9"/>
  <c r="BF74" i="9"/>
  <c r="AU43" i="9"/>
  <c r="AZ43" i="9" s="1"/>
  <c r="AS41" i="9"/>
  <c r="BM41" i="9" s="1"/>
  <c r="AU35" i="9"/>
  <c r="AZ35" i="9" s="1"/>
  <c r="AR33" i="9"/>
  <c r="AR31" i="9"/>
  <c r="AW31" i="9" s="1"/>
  <c r="AR17" i="9"/>
  <c r="AW17" i="9" s="1"/>
  <c r="AR14" i="9"/>
  <c r="BF33" i="9"/>
  <c r="AS35" i="9"/>
  <c r="AX35" i="9" s="1"/>
  <c r="AT31" i="9"/>
  <c r="BN31" i="9" s="1"/>
  <c r="Y15" i="9"/>
  <c r="U15" i="9"/>
  <c r="Q15" i="9"/>
  <c r="AB15" i="9"/>
  <c r="X15" i="9"/>
  <c r="Z15" i="9"/>
  <c r="V15" i="9"/>
  <c r="R15" i="9"/>
  <c r="N15" i="9"/>
  <c r="W15" i="9"/>
  <c r="O15" i="9"/>
  <c r="T15" i="9"/>
  <c r="AA15" i="9"/>
  <c r="P15" i="9"/>
  <c r="S15" i="9"/>
  <c r="AV86" i="9"/>
  <c r="BA86" i="9" s="1"/>
  <c r="BB86" i="9"/>
  <c r="Y76" i="9"/>
  <c r="U76" i="9"/>
  <c r="Q76" i="9"/>
  <c r="AB76" i="9"/>
  <c r="X76" i="9"/>
  <c r="T76" i="9"/>
  <c r="P76" i="9"/>
  <c r="Z76" i="9"/>
  <c r="V76" i="9"/>
  <c r="R76" i="9"/>
  <c r="N76" i="9"/>
  <c r="AA76" i="9"/>
  <c r="W76" i="9"/>
  <c r="S76" i="9"/>
  <c r="O76" i="9"/>
  <c r="AV66" i="9"/>
  <c r="AD56" i="9"/>
  <c r="BC56" i="9"/>
  <c r="AC41" i="9"/>
  <c r="BB41" i="9"/>
  <c r="BF38" i="9"/>
  <c r="AR38" i="9"/>
  <c r="BD71" i="9"/>
  <c r="AE71" i="9"/>
  <c r="BC71" i="9"/>
  <c r="AD71" i="9"/>
  <c r="AD43" i="9"/>
  <c r="BC43" i="9"/>
  <c r="AE41" i="9"/>
  <c r="BD41" i="9"/>
  <c r="AB37" i="9"/>
  <c r="X37" i="9"/>
  <c r="T37" i="9"/>
  <c r="P37" i="9"/>
  <c r="S37" i="9"/>
  <c r="Z37" i="9"/>
  <c r="R37" i="9"/>
  <c r="AA37" i="9"/>
  <c r="W37" i="9"/>
  <c r="O37" i="9"/>
  <c r="V37" i="9"/>
  <c r="Y37" i="9"/>
  <c r="U37" i="9"/>
  <c r="Q37" i="9"/>
  <c r="N37" i="9"/>
  <c r="AB34" i="9"/>
  <c r="X34" i="9"/>
  <c r="T34" i="9"/>
  <c r="P34" i="9"/>
  <c r="AA34" i="9"/>
  <c r="W34" i="9"/>
  <c r="O34" i="9"/>
  <c r="Z34" i="9"/>
  <c r="V34" i="9"/>
  <c r="N34" i="9"/>
  <c r="S34" i="9"/>
  <c r="Y34" i="9"/>
  <c r="U34" i="9"/>
  <c r="Q34" i="9"/>
  <c r="R34" i="9"/>
  <c r="BD17" i="9"/>
  <c r="AE17" i="9"/>
  <c r="BC88" i="9"/>
  <c r="BF48" i="9"/>
  <c r="AG48" i="9"/>
  <c r="Y69" i="9"/>
  <c r="U69" i="9"/>
  <c r="Q69" i="9"/>
  <c r="AB69" i="9"/>
  <c r="W69" i="9"/>
  <c r="R69" i="9"/>
  <c r="AA69" i="9"/>
  <c r="V69" i="9"/>
  <c r="P69" i="9"/>
  <c r="X69" i="9"/>
  <c r="S69" i="9"/>
  <c r="N69" i="9"/>
  <c r="Z69" i="9"/>
  <c r="O69" i="9"/>
  <c r="T69" i="9"/>
  <c r="AF53" i="9"/>
  <c r="BE53" i="9"/>
  <c r="Y28" i="9"/>
  <c r="U28" i="9"/>
  <c r="Q28" i="9"/>
  <c r="Z28" i="9"/>
  <c r="T28" i="9"/>
  <c r="O28" i="9"/>
  <c r="W28" i="9"/>
  <c r="P28" i="9"/>
  <c r="AB28" i="9"/>
  <c r="V28" i="9"/>
  <c r="N28" i="9"/>
  <c r="X28" i="9"/>
  <c r="R28" i="9"/>
  <c r="AA28" i="9"/>
  <c r="S28" i="9"/>
  <c r="AT23" i="9"/>
  <c r="AY23" i="9" s="1"/>
  <c r="AU54" i="9"/>
  <c r="AZ54" i="9" s="1"/>
  <c r="BB95" i="9"/>
  <c r="AC95" i="9"/>
  <c r="BC84" i="9"/>
  <c r="AD84" i="9"/>
  <c r="BC17" i="9"/>
  <c r="AD17" i="9"/>
  <c r="AR56" i="9"/>
  <c r="Y40" i="9"/>
  <c r="U40" i="9"/>
  <c r="Q40" i="9"/>
  <c r="AB40" i="9"/>
  <c r="W40" i="9"/>
  <c r="R40" i="9"/>
  <c r="T40" i="9"/>
  <c r="O40" i="9"/>
  <c r="AA40" i="9"/>
  <c r="V40" i="9"/>
  <c r="P40" i="9"/>
  <c r="Z40" i="9"/>
  <c r="X40" i="9"/>
  <c r="S40" i="9"/>
  <c r="N40" i="9"/>
  <c r="Y64" i="9"/>
  <c r="U64" i="9"/>
  <c r="Q64" i="9"/>
  <c r="Z64" i="9"/>
  <c r="V64" i="9"/>
  <c r="R64" i="9"/>
  <c r="N64" i="9"/>
  <c r="X64" i="9"/>
  <c r="P64" i="9"/>
  <c r="AB64" i="9"/>
  <c r="W64" i="9"/>
  <c r="O64" i="9"/>
  <c r="AA64" i="9"/>
  <c r="S64" i="9"/>
  <c r="T64" i="9"/>
  <c r="AS14" i="9"/>
  <c r="AX14" i="9" s="1"/>
  <c r="Y59" i="9"/>
  <c r="U59" i="9"/>
  <c r="Q59" i="9"/>
  <c r="X59" i="9"/>
  <c r="S59" i="9"/>
  <c r="N59" i="9"/>
  <c r="P59" i="9"/>
  <c r="AB59" i="9"/>
  <c r="W59" i="9"/>
  <c r="R59" i="9"/>
  <c r="AA59" i="9"/>
  <c r="Z59" i="9"/>
  <c r="T59" i="9"/>
  <c r="O59" i="9"/>
  <c r="V59" i="9"/>
  <c r="AT79" i="9"/>
  <c r="BE18" i="9"/>
  <c r="AU53" i="9"/>
  <c r="AZ53" i="9" s="1"/>
  <c r="AE44" i="9"/>
  <c r="BC13" i="9"/>
  <c r="AY67" i="9"/>
  <c r="AT81" i="9"/>
  <c r="AY81" i="9" s="1"/>
  <c r="BB97" i="9"/>
  <c r="BC97" i="9"/>
  <c r="BE50" i="9"/>
  <c r="AB55" i="9"/>
  <c r="X55" i="9"/>
  <c r="T55" i="9"/>
  <c r="P55" i="9"/>
  <c r="AA55" i="9"/>
  <c r="W55" i="9"/>
  <c r="S55" i="9"/>
  <c r="O55" i="9"/>
  <c r="Y55" i="9"/>
  <c r="U55" i="9"/>
  <c r="Q55" i="9"/>
  <c r="R55" i="9"/>
  <c r="N55" i="9"/>
  <c r="V55" i="9"/>
  <c r="Z55" i="9"/>
  <c r="AU95" i="9"/>
  <c r="AZ95" i="9" s="1"/>
  <c r="AS95" i="9"/>
  <c r="AR95" i="9"/>
  <c r="AW95" i="9" s="1"/>
  <c r="AB42" i="9"/>
  <c r="X42" i="9"/>
  <c r="T42" i="9"/>
  <c r="P42" i="9"/>
  <c r="Y42" i="9"/>
  <c r="U42" i="9"/>
  <c r="Q42" i="9"/>
  <c r="V42" i="9"/>
  <c r="N42" i="9"/>
  <c r="AA42" i="9"/>
  <c r="S42" i="9"/>
  <c r="W42" i="9"/>
  <c r="O42" i="9"/>
  <c r="R42" i="9"/>
  <c r="Z42" i="9"/>
  <c r="BD36" i="9"/>
  <c r="AE36" i="9"/>
  <c r="BI36" i="9" s="1"/>
  <c r="BB36" i="9"/>
  <c r="AC36" i="9"/>
  <c r="BC36" i="9"/>
  <c r="AD36" i="9"/>
  <c r="AB75" i="9"/>
  <c r="X75" i="9"/>
  <c r="T75" i="9"/>
  <c r="P75" i="9"/>
  <c r="AA75" i="9"/>
  <c r="W75" i="9"/>
  <c r="S75" i="9"/>
  <c r="O75" i="9"/>
  <c r="Y75" i="9"/>
  <c r="U75" i="9"/>
  <c r="Q75" i="9"/>
  <c r="N75" i="9"/>
  <c r="V75" i="9"/>
  <c r="Z75" i="9"/>
  <c r="R75" i="9"/>
  <c r="Y20" i="9"/>
  <c r="U20" i="9"/>
  <c r="Q20" i="9"/>
  <c r="AB20" i="9"/>
  <c r="X20" i="9"/>
  <c r="T20" i="9"/>
  <c r="P20" i="9"/>
  <c r="Z20" i="9"/>
  <c r="V20" i="9"/>
  <c r="R20" i="9"/>
  <c r="N20" i="9"/>
  <c r="O20" i="9"/>
  <c r="AA20" i="9"/>
  <c r="S20" i="9"/>
  <c r="W20" i="9"/>
  <c r="AS84" i="9"/>
  <c r="BM84" i="9" s="1"/>
  <c r="BF84" i="9"/>
  <c r="AG84" i="9"/>
  <c r="AR84" i="9"/>
  <c r="BL84" i="9" s="1"/>
  <c r="BF71" i="9"/>
  <c r="AG71" i="9"/>
  <c r="AS56" i="9"/>
  <c r="Y32" i="9"/>
  <c r="U32" i="9"/>
  <c r="Q32" i="9"/>
  <c r="AB32" i="9"/>
  <c r="T32" i="9"/>
  <c r="P32" i="9"/>
  <c r="W32" i="9"/>
  <c r="O32" i="9"/>
  <c r="X32" i="9"/>
  <c r="AA32" i="9"/>
  <c r="Z32" i="9"/>
  <c r="V32" i="9"/>
  <c r="R32" i="9"/>
  <c r="N32" i="9"/>
  <c r="S32" i="9"/>
  <c r="Y19" i="9"/>
  <c r="U19" i="9"/>
  <c r="Q19" i="9"/>
  <c r="X19" i="9"/>
  <c r="T19" i="9"/>
  <c r="S19" i="9"/>
  <c r="AB19" i="9"/>
  <c r="P19" i="9"/>
  <c r="AA19" i="9"/>
  <c r="O19" i="9"/>
  <c r="Z19" i="9"/>
  <c r="V19" i="9"/>
  <c r="R19" i="9"/>
  <c r="N19" i="9"/>
  <c r="W19" i="9"/>
  <c r="Y16" i="9"/>
  <c r="U16" i="9"/>
  <c r="Q16" i="9"/>
  <c r="X16" i="9"/>
  <c r="T16" i="9"/>
  <c r="W16" i="9"/>
  <c r="O16" i="9"/>
  <c r="AB16" i="9"/>
  <c r="P16" i="9"/>
  <c r="S16" i="9"/>
  <c r="Z16" i="9"/>
  <c r="V16" i="9"/>
  <c r="R16" i="9"/>
  <c r="N16" i="9"/>
  <c r="AA16" i="9"/>
  <c r="BF31" i="9"/>
  <c r="BF17" i="9"/>
  <c r="AU14" i="9"/>
  <c r="AS83" i="9"/>
  <c r="BD66" i="9"/>
  <c r="AV56" i="9"/>
  <c r="BP56" i="9" s="1"/>
  <c r="AU41" i="9"/>
  <c r="BO41" i="9" s="1"/>
  <c r="AU31" i="9"/>
  <c r="AT38" i="9"/>
  <c r="AY38" i="9" s="1"/>
  <c r="Y94" i="9"/>
  <c r="U94" i="9"/>
  <c r="Q94" i="9"/>
  <c r="X94" i="9"/>
  <c r="S94" i="9"/>
  <c r="N94" i="9"/>
  <c r="AB94" i="9"/>
  <c r="W94" i="9"/>
  <c r="R94" i="9"/>
  <c r="Z94" i="9"/>
  <c r="T94" i="9"/>
  <c r="O94" i="9"/>
  <c r="V94" i="9"/>
  <c r="P94" i="9"/>
  <c r="AA94" i="9"/>
  <c r="Y85" i="9"/>
  <c r="U85" i="9"/>
  <c r="Q85" i="9"/>
  <c r="AB85" i="9"/>
  <c r="X85" i="9"/>
  <c r="T85" i="9"/>
  <c r="P85" i="9"/>
  <c r="Z85" i="9"/>
  <c r="V85" i="9"/>
  <c r="R85" i="9"/>
  <c r="N85" i="9"/>
  <c r="S85" i="9"/>
  <c r="AA85" i="9"/>
  <c r="O85" i="9"/>
  <c r="W85" i="9"/>
  <c r="BD74" i="9"/>
  <c r="BC74" i="9"/>
  <c r="AV71" i="9"/>
  <c r="BA71" i="9" s="1"/>
  <c r="AS63" i="9"/>
  <c r="BM63" i="9" s="1"/>
  <c r="AR63" i="9"/>
  <c r="AW63" i="9" s="1"/>
  <c r="AT56" i="9"/>
  <c r="BN56" i="9" s="1"/>
  <c r="AV43" i="9"/>
  <c r="BA43" i="9" s="1"/>
  <c r="AF41" i="9"/>
  <c r="BC35" i="9"/>
  <c r="AD35" i="9"/>
  <c r="BD31" i="9"/>
  <c r="BM43" i="9"/>
  <c r="BB87" i="9"/>
  <c r="BB90" i="9"/>
  <c r="AU88" i="9"/>
  <c r="BO88" i="9" s="1"/>
  <c r="AV68" i="9"/>
  <c r="AS53" i="9"/>
  <c r="BM53" i="9" s="1"/>
  <c r="AU23" i="9"/>
  <c r="BC61" i="9"/>
  <c r="Z58" i="9"/>
  <c r="V58" i="9"/>
  <c r="R58" i="9"/>
  <c r="N58" i="9"/>
  <c r="AB58" i="9"/>
  <c r="W58" i="9"/>
  <c r="Q58" i="9"/>
  <c r="AA58" i="9"/>
  <c r="U58" i="9"/>
  <c r="P58" i="9"/>
  <c r="X58" i="9"/>
  <c r="S58" i="9"/>
  <c r="O58" i="9"/>
  <c r="T58" i="9"/>
  <c r="Y58" i="9"/>
  <c r="BF67" i="9"/>
  <c r="Z21" i="9"/>
  <c r="V21" i="9"/>
  <c r="R21" i="9"/>
  <c r="N21" i="9"/>
  <c r="AB21" i="9"/>
  <c r="W21" i="9"/>
  <c r="Q21" i="9"/>
  <c r="AA21" i="9"/>
  <c r="U21" i="9"/>
  <c r="P21" i="9"/>
  <c r="X21" i="9"/>
  <c r="S21" i="9"/>
  <c r="Y21" i="9"/>
  <c r="O21" i="9"/>
  <c r="T21" i="9"/>
  <c r="AT47" i="9"/>
  <c r="AT95" i="9"/>
  <c r="AY95" i="9" s="1"/>
  <c r="BC95" i="9"/>
  <c r="BC93" i="9"/>
  <c r="BB84" i="9"/>
  <c r="AC84" i="9"/>
  <c r="Y52" i="9"/>
  <c r="U52" i="9"/>
  <c r="Q52" i="9"/>
  <c r="AA52" i="9"/>
  <c r="V52" i="9"/>
  <c r="P52" i="9"/>
  <c r="N52" i="9"/>
  <c r="Z52" i="9"/>
  <c r="T52" i="9"/>
  <c r="O52" i="9"/>
  <c r="S52" i="9"/>
  <c r="AB52" i="9"/>
  <c r="W52" i="9"/>
  <c r="R52" i="9"/>
  <c r="X52" i="9"/>
  <c r="BC41" i="9"/>
  <c r="AD41" i="9"/>
  <c r="BC31" i="9"/>
  <c r="AT35" i="9"/>
  <c r="BN35" i="9" s="1"/>
  <c r="AG41" i="9"/>
  <c r="BF41" i="9"/>
  <c r="BE38" i="9"/>
  <c r="AF38" i="9"/>
  <c r="AV38" i="9"/>
  <c r="BP38" i="9" s="1"/>
  <c r="Y77" i="9"/>
  <c r="U77" i="9"/>
  <c r="Q77" i="9"/>
  <c r="AB77" i="9"/>
  <c r="X77" i="9"/>
  <c r="T77" i="9"/>
  <c r="P77" i="9"/>
  <c r="Z77" i="9"/>
  <c r="V77" i="9"/>
  <c r="R77" i="9"/>
  <c r="N77" i="9"/>
  <c r="S77" i="9"/>
  <c r="O77" i="9"/>
  <c r="W77" i="9"/>
  <c r="AA77" i="9"/>
  <c r="AS71" i="9"/>
  <c r="BM71" i="9" s="1"/>
  <c r="AR71" i="9"/>
  <c r="BL71" i="9" s="1"/>
  <c r="BD63" i="9"/>
  <c r="BC63" i="9"/>
  <c r="AR43" i="9"/>
  <c r="BL43" i="9" s="1"/>
  <c r="AR35" i="9"/>
  <c r="BL35" i="9" s="1"/>
  <c r="BB88" i="9"/>
  <c r="AT88" i="9"/>
  <c r="AY88" i="9" s="1"/>
  <c r="BC48" i="9"/>
  <c r="AR61" i="9"/>
  <c r="AW61" i="9" s="1"/>
  <c r="Y57" i="9"/>
  <c r="U57" i="9"/>
  <c r="Q57" i="9"/>
  <c r="AB57" i="9"/>
  <c r="X57" i="9"/>
  <c r="T57" i="9"/>
  <c r="P57" i="9"/>
  <c r="Z57" i="9"/>
  <c r="V57" i="9"/>
  <c r="R57" i="9"/>
  <c r="N57" i="9"/>
  <c r="AA57" i="9"/>
  <c r="W57" i="9"/>
  <c r="O57" i="9"/>
  <c r="S57" i="9"/>
  <c r="BB81" i="9"/>
  <c r="AC81" i="9"/>
  <c r="AU67" i="9"/>
  <c r="AZ67" i="9" s="1"/>
  <c r="AF79" i="9"/>
  <c r="BD87" i="9"/>
  <c r="AB82" i="9"/>
  <c r="X82" i="9"/>
  <c r="T82" i="9"/>
  <c r="P82" i="9"/>
  <c r="Z82" i="9"/>
  <c r="U82" i="9"/>
  <c r="O82" i="9"/>
  <c r="Y82" i="9"/>
  <c r="S82" i="9"/>
  <c r="N82" i="9"/>
  <c r="W82" i="9"/>
  <c r="R82" i="9"/>
  <c r="AA82" i="9"/>
  <c r="Q82" i="9"/>
  <c r="V82" i="9"/>
  <c r="AR88" i="9"/>
  <c r="AE88" i="9"/>
  <c r="BD88" i="9"/>
  <c r="BC53" i="9"/>
  <c r="AD53" i="9"/>
  <c r="BC23" i="9"/>
  <c r="AU13" i="9"/>
  <c r="BO13" i="9" s="1"/>
  <c r="AS44" i="9"/>
  <c r="AT29" i="9"/>
  <c r="AF13" i="9"/>
  <c r="BE13" i="9"/>
  <c r="AT44" i="9"/>
  <c r="BN44" i="9" s="1"/>
  <c r="BF11" i="9"/>
  <c r="AR81" i="9"/>
  <c r="AB12" i="9"/>
  <c r="X12" i="9"/>
  <c r="T12" i="9"/>
  <c r="P12" i="9"/>
  <c r="AA12" i="9"/>
  <c r="W12" i="9"/>
  <c r="S12" i="9"/>
  <c r="O12" i="9"/>
  <c r="Y12" i="9"/>
  <c r="U12" i="9"/>
  <c r="Q12" i="9"/>
  <c r="R12" i="9"/>
  <c r="N12" i="9"/>
  <c r="V12" i="9"/>
  <c r="Z12" i="9"/>
  <c r="BC11" i="9"/>
  <c r="AD11" i="9"/>
  <c r="AR97" i="9"/>
  <c r="AW97" i="9" s="1"/>
  <c r="AU46" i="9"/>
  <c r="BB54" i="9"/>
  <c r="AC54" i="9"/>
  <c r="BC54" i="9"/>
  <c r="AD54" i="9"/>
  <c r="Y60" i="9"/>
  <c r="U60" i="9"/>
  <c r="Q60" i="9"/>
  <c r="Z60" i="9"/>
  <c r="T60" i="9"/>
  <c r="O60" i="9"/>
  <c r="X60" i="9"/>
  <c r="S60" i="9"/>
  <c r="N60" i="9"/>
  <c r="AA60" i="9"/>
  <c r="V60" i="9"/>
  <c r="P60" i="9"/>
  <c r="AB60" i="9"/>
  <c r="W60" i="9"/>
  <c r="R60" i="9"/>
  <c r="AR47" i="9"/>
  <c r="AV46" i="9"/>
  <c r="AB45" i="9"/>
  <c r="X45" i="9"/>
  <c r="T45" i="9"/>
  <c r="P45" i="9"/>
  <c r="AA45" i="9"/>
  <c r="W45" i="9"/>
  <c r="S45" i="9"/>
  <c r="O45" i="9"/>
  <c r="Y45" i="9"/>
  <c r="U45" i="9"/>
  <c r="Q45" i="9"/>
  <c r="V45" i="9"/>
  <c r="R45" i="9"/>
  <c r="Z45" i="9"/>
  <c r="N45" i="9"/>
  <c r="BD24" i="9"/>
  <c r="BB24" i="9"/>
  <c r="AC24" i="9"/>
  <c r="AG95" i="9"/>
  <c r="BE95" i="9"/>
  <c r="AV95" i="9"/>
  <c r="BP95" i="9" s="1"/>
  <c r="AS36" i="9"/>
  <c r="AG36" i="9"/>
  <c r="BF36" i="9"/>
  <c r="AR36" i="9"/>
  <c r="AF36" i="9"/>
  <c r="AU84" i="9"/>
  <c r="AZ84" i="9" s="1"/>
  <c r="BJ84" i="9" s="1"/>
  <c r="AV84" i="9"/>
  <c r="BP84" i="9" s="1"/>
  <c r="BF63" i="9"/>
  <c r="AG63" i="9"/>
  <c r="BB56" i="9"/>
  <c r="AC56" i="9"/>
  <c r="AV31" i="9"/>
  <c r="BA31" i="9" s="1"/>
  <c r="Y7" i="9"/>
  <c r="U7" i="9"/>
  <c r="Q7" i="9"/>
  <c r="AB7" i="9"/>
  <c r="X7" i="9"/>
  <c r="P7" i="9"/>
  <c r="W7" i="9"/>
  <c r="T7" i="9"/>
  <c r="O7" i="9"/>
  <c r="Z7" i="9"/>
  <c r="V7" i="9"/>
  <c r="R7" i="9"/>
  <c r="N7" i="9"/>
  <c r="AA7" i="9"/>
  <c r="S7" i="9"/>
  <c r="BB17" i="9"/>
  <c r="AC17" i="9"/>
  <c r="Z89" i="9"/>
  <c r="V89" i="9"/>
  <c r="R89" i="9"/>
  <c r="N89" i="9"/>
  <c r="X89" i="9"/>
  <c r="S89" i="9"/>
  <c r="AB89" i="9"/>
  <c r="W89" i="9"/>
  <c r="Q89" i="9"/>
  <c r="Y89" i="9"/>
  <c r="T89" i="9"/>
  <c r="O89" i="9"/>
  <c r="P89" i="9"/>
  <c r="U89" i="9"/>
  <c r="AA89" i="9"/>
  <c r="AS86" i="9"/>
  <c r="Y70" i="9"/>
  <c r="U70" i="9"/>
  <c r="Q70" i="9"/>
  <c r="Z70" i="9"/>
  <c r="V70" i="9"/>
  <c r="R70" i="9"/>
  <c r="N70" i="9"/>
  <c r="AB70" i="9"/>
  <c r="T70" i="9"/>
  <c r="X70" i="9"/>
  <c r="AA70" i="9"/>
  <c r="S70" i="9"/>
  <c r="W70" i="9"/>
  <c r="O70" i="9"/>
  <c r="P70" i="9"/>
  <c r="AS66" i="9"/>
  <c r="BM66" i="9" s="1"/>
  <c r="AG56" i="9"/>
  <c r="BF56" i="9"/>
  <c r="AR41" i="9"/>
  <c r="BL41" i="9" s="1"/>
  <c r="AV39" i="9"/>
  <c r="AU17" i="9"/>
  <c r="BO17" i="9" s="1"/>
  <c r="BE17" i="9"/>
  <c r="AF17" i="9"/>
  <c r="BD38" i="9"/>
  <c r="BB38" i="9"/>
  <c r="BC38" i="9"/>
  <c r="AS74" i="9"/>
  <c r="AT71" i="9"/>
  <c r="BN71" i="9" s="1"/>
  <c r="BP71" i="9"/>
  <c r="BL63" i="9"/>
  <c r="BD56" i="9"/>
  <c r="AE56" i="9"/>
  <c r="AG43" i="9"/>
  <c r="BF43" i="9"/>
  <c r="AT41" i="9"/>
  <c r="BN41" i="9" s="1"/>
  <c r="AS33" i="9"/>
  <c r="AX33" i="9" s="1"/>
  <c r="AS17" i="9"/>
  <c r="BM17" i="9" s="1"/>
  <c r="AT17" i="9"/>
  <c r="AY17" i="9" s="1"/>
  <c r="K23" i="8"/>
  <c r="M23" i="8" s="1"/>
  <c r="L23" i="8"/>
  <c r="K53" i="8"/>
  <c r="M53" i="8" s="1"/>
  <c r="L53" i="8"/>
  <c r="K83" i="8"/>
  <c r="L83" i="8"/>
  <c r="M83" i="8"/>
  <c r="K94" i="8"/>
  <c r="M94" i="8" s="1"/>
  <c r="L94" i="8"/>
  <c r="K24" i="8"/>
  <c r="M24" i="8" s="1"/>
  <c r="L24" i="8"/>
  <c r="K25" i="8"/>
  <c r="L25" i="8"/>
  <c r="M25" i="8"/>
  <c r="K84" i="8"/>
  <c r="M84" i="8" s="1"/>
  <c r="L84" i="8"/>
  <c r="K26" i="8"/>
  <c r="M26" i="8" s="1"/>
  <c r="L26" i="8"/>
  <c r="K71" i="8"/>
  <c r="M71" i="8" s="1"/>
  <c r="L71" i="8"/>
  <c r="K95" i="8"/>
  <c r="M95" i="8" s="1"/>
  <c r="L95" i="8"/>
  <c r="K96" i="8"/>
  <c r="L96" i="8"/>
  <c r="M96" i="8"/>
  <c r="K27" i="8"/>
  <c r="M27" i="8" s="1"/>
  <c r="L27" i="8"/>
  <c r="K28" i="8"/>
  <c r="M28" i="8" s="1"/>
  <c r="L28" i="8"/>
  <c r="K54" i="8"/>
  <c r="L54" i="8"/>
  <c r="M54" i="8"/>
  <c r="K55" i="8"/>
  <c r="M55" i="8" s="1"/>
  <c r="L55" i="8"/>
  <c r="K29" i="8"/>
  <c r="M29" i="8" s="1"/>
  <c r="L29" i="8"/>
  <c r="K30" i="8"/>
  <c r="M30" i="8" s="1"/>
  <c r="L30" i="8"/>
  <c r="K31" i="8"/>
  <c r="M31" i="8" s="1"/>
  <c r="L31" i="8"/>
  <c r="K32" i="8"/>
  <c r="L32" i="8"/>
  <c r="M32" i="8"/>
  <c r="K72" i="8"/>
  <c r="M72" i="8" s="1"/>
  <c r="L72" i="8"/>
  <c r="K97" i="8"/>
  <c r="M97" i="8" s="1"/>
  <c r="L97" i="8"/>
  <c r="K98" i="8"/>
  <c r="L98" i="8"/>
  <c r="M98" i="8"/>
  <c r="K73" i="8"/>
  <c r="M73" i="8" s="1"/>
  <c r="L73" i="8"/>
  <c r="K99" i="8"/>
  <c r="M99" i="8" s="1"/>
  <c r="L99" i="8"/>
  <c r="K33" i="8"/>
  <c r="M33" i="8" s="1"/>
  <c r="L33" i="8"/>
  <c r="K34" i="8"/>
  <c r="M34" i="8" s="1"/>
  <c r="L34" i="8"/>
  <c r="K35" i="8"/>
  <c r="L35" i="8"/>
  <c r="M35" i="8"/>
  <c r="K36" i="8"/>
  <c r="M36" i="8" s="1"/>
  <c r="L36" i="8"/>
  <c r="K100" i="8"/>
  <c r="M100" i="8" s="1"/>
  <c r="L100" i="8"/>
  <c r="K101" i="8"/>
  <c r="L101" i="8"/>
  <c r="M101" i="8"/>
  <c r="K74" i="8"/>
  <c r="M74" i="8" s="1"/>
  <c r="L74" i="8"/>
  <c r="K102" i="8"/>
  <c r="M102" i="8" s="1"/>
  <c r="L102" i="8"/>
  <c r="K37" i="8"/>
  <c r="M37" i="8" s="1"/>
  <c r="L37" i="8"/>
  <c r="K38" i="8"/>
  <c r="M38" i="8" s="1"/>
  <c r="L38" i="8"/>
  <c r="K39" i="8"/>
  <c r="L39" i="8"/>
  <c r="M39" i="8"/>
  <c r="K40" i="8"/>
  <c r="M40" i="8" s="1"/>
  <c r="L40" i="8"/>
  <c r="K56" i="8"/>
  <c r="M56" i="8" s="1"/>
  <c r="L56" i="8"/>
  <c r="K57" i="8"/>
  <c r="L57" i="8"/>
  <c r="M57" i="8"/>
  <c r="K58" i="8"/>
  <c r="M58" i="8" s="1"/>
  <c r="L58" i="8"/>
  <c r="K59" i="8"/>
  <c r="M59" i="8" s="1"/>
  <c r="L59" i="8"/>
  <c r="K10" i="8"/>
  <c r="L10" i="8"/>
  <c r="M10" i="8"/>
  <c r="K44" i="8"/>
  <c r="M44" i="8" s="1"/>
  <c r="L44" i="8"/>
  <c r="K64" i="8"/>
  <c r="M64" i="8" s="1"/>
  <c r="L64" i="8"/>
  <c r="K88" i="8"/>
  <c r="M88" i="8" s="1"/>
  <c r="L88" i="8"/>
  <c r="K89" i="8"/>
  <c r="M89" i="8" s="1"/>
  <c r="L89" i="8"/>
  <c r="K45" i="8"/>
  <c r="M45" i="8" s="1"/>
  <c r="L45" i="8"/>
  <c r="K65" i="8"/>
  <c r="M65" i="8" s="1"/>
  <c r="L65" i="8"/>
  <c r="K90" i="8"/>
  <c r="L90" i="8"/>
  <c r="M90" i="8"/>
  <c r="K80" i="8"/>
  <c r="L80" i="8"/>
  <c r="M80" i="8"/>
  <c r="K66" i="8"/>
  <c r="M66" i="8" s="1"/>
  <c r="L66" i="8"/>
  <c r="K11" i="8"/>
  <c r="M11" i="8" s="1"/>
  <c r="L11" i="8"/>
  <c r="K12" i="8"/>
  <c r="M12" i="8" s="1"/>
  <c r="L12" i="8"/>
  <c r="K13" i="8"/>
  <c r="M13" i="8" s="1"/>
  <c r="L13" i="8"/>
  <c r="K14" i="8"/>
  <c r="M14" i="8" s="1"/>
  <c r="L14" i="8"/>
  <c r="K15" i="8"/>
  <c r="M15" i="8" s="1"/>
  <c r="L15" i="8"/>
  <c r="K46" i="8"/>
  <c r="L46" i="8"/>
  <c r="M46" i="8"/>
  <c r="K16" i="8"/>
  <c r="L16" i="8"/>
  <c r="M16" i="8"/>
  <c r="K47" i="8"/>
  <c r="M47" i="8" s="1"/>
  <c r="L47" i="8"/>
  <c r="K17" i="8"/>
  <c r="M17" i="8" s="1"/>
  <c r="L17" i="8"/>
  <c r="K18" i="8"/>
  <c r="M18" i="8" s="1"/>
  <c r="L18" i="8"/>
  <c r="K19" i="8"/>
  <c r="M19" i="8" s="1"/>
  <c r="L19" i="8"/>
  <c r="K67" i="8"/>
  <c r="M67" i="8" s="1"/>
  <c r="L67" i="8"/>
  <c r="K20" i="8"/>
  <c r="M20" i="8" s="1"/>
  <c r="L20" i="8"/>
  <c r="K81" i="8"/>
  <c r="L81" i="8"/>
  <c r="M81" i="8"/>
  <c r="K48" i="8"/>
  <c r="L48" i="8"/>
  <c r="M48" i="8"/>
  <c r="K49" i="8"/>
  <c r="M49" i="8" s="1"/>
  <c r="L49" i="8"/>
  <c r="K50" i="8"/>
  <c r="M50" i="8" s="1"/>
  <c r="L50" i="8"/>
  <c r="K91" i="8"/>
  <c r="M91" i="8" s="1"/>
  <c r="L91" i="8"/>
  <c r="K68" i="8"/>
  <c r="M68" i="8" s="1"/>
  <c r="L68" i="8"/>
  <c r="K51" i="8"/>
  <c r="M51" i="8" s="1"/>
  <c r="L51" i="8"/>
  <c r="K92" i="8"/>
  <c r="M92" i="8" s="1"/>
  <c r="L92" i="8"/>
  <c r="K21" i="8"/>
  <c r="L21" i="8"/>
  <c r="M21" i="8"/>
  <c r="K93" i="8"/>
  <c r="L93" i="8"/>
  <c r="M93" i="8"/>
  <c r="K69" i="8"/>
  <c r="M69" i="8" s="1"/>
  <c r="L69" i="8"/>
  <c r="K52" i="8"/>
  <c r="M52" i="8" s="1"/>
  <c r="L52" i="8"/>
  <c r="K22" i="8"/>
  <c r="M22" i="8" s="1"/>
  <c r="L22" i="8"/>
  <c r="K70" i="8"/>
  <c r="M70" i="8" s="1"/>
  <c r="L70" i="8"/>
  <c r="K82" i="8"/>
  <c r="M82" i="8" s="1"/>
  <c r="L82" i="8"/>
  <c r="K79" i="8"/>
  <c r="M79" i="8" s="1"/>
  <c r="L79" i="8"/>
  <c r="K7" i="8"/>
  <c r="M7" i="8" s="1"/>
  <c r="L7" i="8"/>
  <c r="K43" i="8"/>
  <c r="M43" i="8" s="1"/>
  <c r="L43" i="8"/>
  <c r="K8" i="8"/>
  <c r="M8" i="8" s="1"/>
  <c r="L8" i="8"/>
  <c r="K9" i="8"/>
  <c r="M9" i="8" s="1"/>
  <c r="L9" i="8"/>
  <c r="K87" i="8"/>
  <c r="M87" i="8" s="1"/>
  <c r="L87" i="8"/>
  <c r="K6" i="8"/>
  <c r="M6" i="8" s="1"/>
  <c r="L6" i="8"/>
  <c r="K78" i="8"/>
  <c r="M78" i="8" s="1"/>
  <c r="L78" i="8"/>
  <c r="K62" i="8"/>
  <c r="L62" i="8"/>
  <c r="M62" i="8"/>
  <c r="K63" i="8"/>
  <c r="L63" i="8"/>
  <c r="M63" i="8"/>
  <c r="L77" i="8"/>
  <c r="K77" i="8"/>
  <c r="M77" i="8" s="1"/>
  <c r="AE13" i="9" l="1"/>
  <c r="AD81" i="9"/>
  <c r="AV17" i="9"/>
  <c r="BP17" i="9" s="1"/>
  <c r="AC66" i="9"/>
  <c r="BG66" i="9" s="1"/>
  <c r="AF23" i="9"/>
  <c r="BO71" i="9"/>
  <c r="AC18" i="9"/>
  <c r="BG18" i="9" s="1"/>
  <c r="BL81" i="9"/>
  <c r="BM83" i="9"/>
  <c r="AT13" i="9"/>
  <c r="BN13" i="9" s="1"/>
  <c r="AE48" i="9"/>
  <c r="BI48" i="9" s="1"/>
  <c r="AG61" i="9"/>
  <c r="AX81" i="9"/>
  <c r="AS81" i="9"/>
  <c r="BM81" i="9" s="1"/>
  <c r="AG90" i="9"/>
  <c r="AE66" i="9"/>
  <c r="BM23" i="9"/>
  <c r="AR11" i="9"/>
  <c r="AW11" i="9" s="1"/>
  <c r="AF18" i="9"/>
  <c r="BJ18" i="9" s="1"/>
  <c r="BD33" i="9"/>
  <c r="AC33" i="9"/>
  <c r="AG13" i="9"/>
  <c r="BL93" i="9"/>
  <c r="AE29" i="9"/>
  <c r="AE86" i="9"/>
  <c r="BO86" i="9"/>
  <c r="AG50" i="9"/>
  <c r="AC23" i="9"/>
  <c r="AG29" i="9"/>
  <c r="AD95" i="9"/>
  <c r="AT61" i="9"/>
  <c r="AY61" i="9" s="1"/>
  <c r="BI61" i="9" s="1"/>
  <c r="BP68" i="9"/>
  <c r="AG14" i="9"/>
  <c r="BK14" i="9" s="1"/>
  <c r="BC81" i="9"/>
  <c r="AG35" i="9"/>
  <c r="BK35" i="9" s="1"/>
  <c r="BB31" i="9"/>
  <c r="AG97" i="9"/>
  <c r="BP81" i="9"/>
  <c r="BE81" i="9"/>
  <c r="AS13" i="9"/>
  <c r="AX13" i="9" s="1"/>
  <c r="AV61" i="9"/>
  <c r="BP61" i="9" s="1"/>
  <c r="AF48" i="9"/>
  <c r="BJ48" i="9" s="1"/>
  <c r="AF39" i="9"/>
  <c r="AC13" i="9"/>
  <c r="AC86" i="9"/>
  <c r="BL33" i="9"/>
  <c r="AX54" i="9"/>
  <c r="BH54" i="9" s="1"/>
  <c r="AE53" i="9"/>
  <c r="BI53" i="9" s="1"/>
  <c r="AE95" i="9"/>
  <c r="AC29" i="9"/>
  <c r="AE74" i="9"/>
  <c r="AF33" i="9"/>
  <c r="BO24" i="9"/>
  <c r="AZ48" i="9"/>
  <c r="BA67" i="9"/>
  <c r="AD38" i="9"/>
  <c r="BM24" i="9"/>
  <c r="AF31" i="9"/>
  <c r="AD93" i="9"/>
  <c r="AF61" i="9"/>
  <c r="BJ61" i="9" s="1"/>
  <c r="AC68" i="9"/>
  <c r="AC61" i="9"/>
  <c r="BM97" i="9"/>
  <c r="AD97" i="9"/>
  <c r="BN87" i="9"/>
  <c r="AF14" i="9"/>
  <c r="AF95" i="9"/>
  <c r="AE63" i="9"/>
  <c r="BB18" i="9"/>
  <c r="AV53" i="9"/>
  <c r="BP53" i="9" s="1"/>
  <c r="AY13" i="9"/>
  <c r="AG54" i="9"/>
  <c r="BN81" i="9"/>
  <c r="BF90" i="9"/>
  <c r="AD31" i="9"/>
  <c r="BH31" i="9" s="1"/>
  <c r="BD86" i="9"/>
  <c r="AD47" i="9"/>
  <c r="BH47" i="9" s="1"/>
  <c r="BO81" i="9"/>
  <c r="BP93" i="9"/>
  <c r="AD46" i="9"/>
  <c r="AC91" i="9"/>
  <c r="BG91" i="9" s="1"/>
  <c r="AD25" i="9"/>
  <c r="BH25" i="9" s="1"/>
  <c r="AE31" i="9"/>
  <c r="BP29" i="9"/>
  <c r="AD68" i="9"/>
  <c r="BH68" i="9" s="1"/>
  <c r="AG33" i="9"/>
  <c r="BO36" i="9"/>
  <c r="AD29" i="9"/>
  <c r="AS38" i="9"/>
  <c r="BM38" i="9" s="1"/>
  <c r="AC48" i="9"/>
  <c r="BJ71" i="9"/>
  <c r="AD91" i="9"/>
  <c r="AG11" i="9"/>
  <c r="BO35" i="9"/>
  <c r="AF11" i="9"/>
  <c r="AE35" i="9"/>
  <c r="AC46" i="9"/>
  <c r="BP31" i="9"/>
  <c r="AC47" i="9"/>
  <c r="AE24" i="9"/>
  <c r="BI24" i="9" s="1"/>
  <c r="AD61" i="9"/>
  <c r="AD66" i="9"/>
  <c r="BN18" i="9"/>
  <c r="AE87" i="9"/>
  <c r="BB44" i="9"/>
  <c r="AD33" i="9"/>
  <c r="BH33" i="9" s="1"/>
  <c r="BP23" i="9"/>
  <c r="AG47" i="9"/>
  <c r="AE93" i="9"/>
  <c r="AC35" i="9"/>
  <c r="AF47" i="9"/>
  <c r="BJ47" i="9" s="1"/>
  <c r="BN14" i="9"/>
  <c r="AG18" i="9"/>
  <c r="BA95" i="9"/>
  <c r="BK95" i="9" s="1"/>
  <c r="AW84" i="9"/>
  <c r="BG84" i="9" s="1"/>
  <c r="AX84" i="9"/>
  <c r="BH84" i="9" s="1"/>
  <c r="AC97" i="9"/>
  <c r="BG97" i="9" s="1"/>
  <c r="AC87" i="9"/>
  <c r="BN97" i="9"/>
  <c r="AR72" i="9"/>
  <c r="BL72" i="9" s="1"/>
  <c r="AW72" i="9"/>
  <c r="BG72" i="9" s="1"/>
  <c r="BF72" i="9"/>
  <c r="AG72" i="9"/>
  <c r="BM67" i="9"/>
  <c r="AW56" i="9"/>
  <c r="BG56" i="9" s="1"/>
  <c r="BL56" i="9"/>
  <c r="BL54" i="9"/>
  <c r="AW54" i="9"/>
  <c r="AV88" i="9"/>
  <c r="BP88" i="9" s="1"/>
  <c r="BE25" i="9"/>
  <c r="AF25" i="9"/>
  <c r="BP46" i="9"/>
  <c r="BA79" i="9"/>
  <c r="BL38" i="9"/>
  <c r="AW38" i="9"/>
  <c r="BG38" i="9" s="1"/>
  <c r="BP97" i="9"/>
  <c r="BA97" i="9"/>
  <c r="BL53" i="9"/>
  <c r="AW53" i="9"/>
  <c r="BG53" i="9" s="1"/>
  <c r="AY86" i="9"/>
  <c r="BI86" i="9" s="1"/>
  <c r="BN86" i="9"/>
  <c r="AZ63" i="9"/>
  <c r="BO63" i="9"/>
  <c r="BO14" i="9"/>
  <c r="AZ14" i="9"/>
  <c r="AX61" i="9"/>
  <c r="BM61" i="9"/>
  <c r="BF66" i="9"/>
  <c r="AG66" i="9"/>
  <c r="BE24" i="9"/>
  <c r="AF24" i="9"/>
  <c r="BH91" i="9"/>
  <c r="BP86" i="9"/>
  <c r="AS48" i="9"/>
  <c r="BM48" i="9" s="1"/>
  <c r="AU68" i="9"/>
  <c r="BO68" i="9" s="1"/>
  <c r="BO46" i="9"/>
  <c r="AU29" i="9"/>
  <c r="BO29" i="9" s="1"/>
  <c r="AE97" i="9"/>
  <c r="BA18" i="9"/>
  <c r="AD48" i="9"/>
  <c r="BB61" i="9"/>
  <c r="AE14" i="9"/>
  <c r="BO31" i="9"/>
  <c r="AG24" i="9"/>
  <c r="AF66" i="9"/>
  <c r="BJ66" i="9" s="1"/>
  <c r="AC83" i="9"/>
  <c r="AD72" i="9"/>
  <c r="BO61" i="9"/>
  <c r="BP91" i="9"/>
  <c r="AC90" i="9"/>
  <c r="AE68" i="9"/>
  <c r="BI68" i="9" s="1"/>
  <c r="AE54" i="9"/>
  <c r="BP25" i="9"/>
  <c r="AD50" i="9"/>
  <c r="AW18" i="9"/>
  <c r="AS93" i="9"/>
  <c r="AX93" i="9" s="1"/>
  <c r="BC66" i="9"/>
  <c r="AT25" i="9"/>
  <c r="AY25" i="9" s="1"/>
  <c r="AV47" i="9"/>
  <c r="BN79" i="9"/>
  <c r="AG44" i="9"/>
  <c r="BK44" i="9" s="1"/>
  <c r="AD67" i="9"/>
  <c r="AD18" i="9"/>
  <c r="BB66" i="9"/>
  <c r="AG25" i="9"/>
  <c r="BK25" i="9" s="1"/>
  <c r="AE25" i="9"/>
  <c r="AF87" i="9"/>
  <c r="AG46" i="9"/>
  <c r="AE18" i="9"/>
  <c r="AC63" i="9"/>
  <c r="BG63" i="9" s="1"/>
  <c r="BM74" i="9"/>
  <c r="BL66" i="9"/>
  <c r="AF86" i="9"/>
  <c r="AD24" i="9"/>
  <c r="AF97" i="9"/>
  <c r="AD23" i="9"/>
  <c r="BH23" i="9" s="1"/>
  <c r="AU11" i="9"/>
  <c r="AZ11" i="9" s="1"/>
  <c r="BD93" i="9"/>
  <c r="AE46" i="9"/>
  <c r="BI46" i="9" s="1"/>
  <c r="AY97" i="9"/>
  <c r="AF68" i="9"/>
  <c r="BH43" i="9"/>
  <c r="BC91" i="9"/>
  <c r="BI43" i="9"/>
  <c r="AG23" i="9"/>
  <c r="AG87" i="9"/>
  <c r="AG83" i="9"/>
  <c r="BM91" i="9"/>
  <c r="AC67" i="9"/>
  <c r="BG67" i="9" s="1"/>
  <c r="AF35" i="9"/>
  <c r="BJ35" i="9" s="1"/>
  <c r="AD88" i="9"/>
  <c r="BM50" i="9"/>
  <c r="AD86" i="9"/>
  <c r="AE50" i="9"/>
  <c r="BI50" i="9" s="1"/>
  <c r="AC50" i="9"/>
  <c r="AF46" i="9"/>
  <c r="AF63" i="9"/>
  <c r="BO90" i="9"/>
  <c r="AZ90" i="9"/>
  <c r="BO84" i="9"/>
  <c r="AY41" i="9"/>
  <c r="BI41" i="9" s="1"/>
  <c r="AC14" i="9"/>
  <c r="BP43" i="9"/>
  <c r="BN88" i="9"/>
  <c r="BE23" i="9"/>
  <c r="AY87" i="9"/>
  <c r="BI87" i="9" s="1"/>
  <c r="BP74" i="9"/>
  <c r="AS88" i="9"/>
  <c r="AD79" i="9"/>
  <c r="AE91" i="9"/>
  <c r="AX17" i="9"/>
  <c r="BH17" i="9" s="1"/>
  <c r="AV83" i="9"/>
  <c r="BP83" i="9" s="1"/>
  <c r="AU33" i="9"/>
  <c r="BO33" i="9" s="1"/>
  <c r="BA33" i="9"/>
  <c r="BK33" i="9" s="1"/>
  <c r="BL47" i="9"/>
  <c r="AU50" i="9"/>
  <c r="BO50" i="9" s="1"/>
  <c r="BL61" i="9"/>
  <c r="AW48" i="9"/>
  <c r="BG48" i="9" s="1"/>
  <c r="BB46" i="9"/>
  <c r="BE35" i="9"/>
  <c r="AW83" i="9"/>
  <c r="BC86" i="9"/>
  <c r="AT54" i="9"/>
  <c r="AF50" i="9"/>
  <c r="AX67" i="9"/>
  <c r="BM35" i="9"/>
  <c r="BN93" i="9"/>
  <c r="AU25" i="9"/>
  <c r="BO25" i="9" s="1"/>
  <c r="BF46" i="9"/>
  <c r="BP87" i="9"/>
  <c r="AG86" i="9"/>
  <c r="BK86" i="9" s="1"/>
  <c r="BN50" i="9"/>
  <c r="AV11" i="9"/>
  <c r="BP11" i="9" s="1"/>
  <c r="BP67" i="9"/>
  <c r="BM87" i="9"/>
  <c r="AY33" i="9"/>
  <c r="BI33" i="9" s="1"/>
  <c r="AR79" i="9"/>
  <c r="AW79" i="9" s="1"/>
  <c r="AF83" i="9"/>
  <c r="AX50" i="9"/>
  <c r="BP14" i="9"/>
  <c r="BO43" i="9"/>
  <c r="AF74" i="9"/>
  <c r="BJ74" i="9" s="1"/>
  <c r="BG31" i="9"/>
  <c r="BA84" i="9"/>
  <c r="BK84" i="9" s="1"/>
  <c r="AW47" i="9"/>
  <c r="BG47" i="9" s="1"/>
  <c r="BL88" i="9"/>
  <c r="BM29" i="9"/>
  <c r="AR90" i="9"/>
  <c r="BL90" i="9" s="1"/>
  <c r="AW71" i="9"/>
  <c r="BG71" i="9" s="1"/>
  <c r="AT74" i="9"/>
  <c r="AY74" i="9" s="1"/>
  <c r="BN66" i="9"/>
  <c r="BA68" i="9"/>
  <c r="BK68" i="9" s="1"/>
  <c r="AY56" i="9"/>
  <c r="BI56" i="9" s="1"/>
  <c r="AX83" i="9"/>
  <c r="AC72" i="9"/>
  <c r="BL50" i="9"/>
  <c r="AS72" i="9"/>
  <c r="BM72" i="9" s="1"/>
  <c r="AE79" i="9"/>
  <c r="AY79" i="9"/>
  <c r="BJ14" i="9"/>
  <c r="BL31" i="9"/>
  <c r="BO39" i="9"/>
  <c r="BL46" i="9"/>
  <c r="AF90" i="9"/>
  <c r="BA50" i="9"/>
  <c r="AC93" i="9"/>
  <c r="BG93" i="9" s="1"/>
  <c r="BN39" i="9"/>
  <c r="BA41" i="9"/>
  <c r="BK41" i="9" s="1"/>
  <c r="BO91" i="9"/>
  <c r="BM86" i="9"/>
  <c r="AX86" i="9"/>
  <c r="BH86" i="9" s="1"/>
  <c r="BN91" i="9"/>
  <c r="AY91" i="9"/>
  <c r="AW90" i="9"/>
  <c r="BG90" i="9" s="1"/>
  <c r="AZ23" i="9"/>
  <c r="BJ23" i="9" s="1"/>
  <c r="BO23" i="9"/>
  <c r="AW23" i="9"/>
  <c r="BG23" i="9" s="1"/>
  <c r="BL23" i="9"/>
  <c r="BF88" i="9"/>
  <c r="AG88" i="9"/>
  <c r="BL86" i="9"/>
  <c r="AW86" i="9"/>
  <c r="BM56" i="9"/>
  <c r="AX56" i="9"/>
  <c r="BH56" i="9" s="1"/>
  <c r="BO44" i="9"/>
  <c r="AS90" i="9"/>
  <c r="AX90" i="9" s="1"/>
  <c r="AD90" i="9"/>
  <c r="AT90" i="9"/>
  <c r="BN90" i="9" s="1"/>
  <c r="AU79" i="9"/>
  <c r="BO79" i="9" s="1"/>
  <c r="BF91" i="9"/>
  <c r="AG91" i="9"/>
  <c r="BK91" i="9" s="1"/>
  <c r="BL74" i="9"/>
  <c r="AW74" i="9"/>
  <c r="BO83" i="9"/>
  <c r="AZ83" i="9"/>
  <c r="BJ95" i="9"/>
  <c r="AW35" i="9"/>
  <c r="BN29" i="9"/>
  <c r="AY29" i="9"/>
  <c r="BI29" i="9" s="1"/>
  <c r="BL87" i="9"/>
  <c r="BN68" i="9"/>
  <c r="BG46" i="9"/>
  <c r="BM95" i="9"/>
  <c r="AX95" i="9"/>
  <c r="BL14" i="9"/>
  <c r="AW14" i="9"/>
  <c r="BG14" i="9" s="1"/>
  <c r="BM47" i="9"/>
  <c r="BO97" i="9"/>
  <c r="AZ97" i="9"/>
  <c r="BP13" i="9"/>
  <c r="BA13" i="9"/>
  <c r="BP48" i="9"/>
  <c r="BA48" i="9"/>
  <c r="BB91" i="9"/>
  <c r="AE90" i="9"/>
  <c r="AC39" i="9"/>
  <c r="AW39" i="9"/>
  <c r="BE44" i="9"/>
  <c r="AF44" i="9"/>
  <c r="BJ44" i="9" s="1"/>
  <c r="AY84" i="9"/>
  <c r="BI84" i="9" s="1"/>
  <c r="BN84" i="9"/>
  <c r="AD39" i="9"/>
  <c r="AS39" i="9"/>
  <c r="BM39" i="9" s="1"/>
  <c r="AG39" i="9"/>
  <c r="BF39" i="9"/>
  <c r="BF93" i="9"/>
  <c r="AG93" i="9"/>
  <c r="AZ46" i="9"/>
  <c r="BM36" i="9"/>
  <c r="AX36" i="9"/>
  <c r="BH36" i="9" s="1"/>
  <c r="BM44" i="9"/>
  <c r="AX44" i="9"/>
  <c r="BH44" i="9" s="1"/>
  <c r="BP35" i="9"/>
  <c r="BA35" i="9"/>
  <c r="AY63" i="9"/>
  <c r="BN63" i="9"/>
  <c r="BD47" i="9"/>
  <c r="AE47" i="9"/>
  <c r="BL36" i="9"/>
  <c r="AW36" i="9"/>
  <c r="BL24" i="9"/>
  <c r="BP66" i="9"/>
  <c r="BA66" i="9"/>
  <c r="BA54" i="9"/>
  <c r="BP54" i="9"/>
  <c r="AW67" i="9"/>
  <c r="BL67" i="9"/>
  <c r="AC25" i="9"/>
  <c r="AR25" i="9"/>
  <c r="BL25" i="9" s="1"/>
  <c r="BM46" i="9"/>
  <c r="AU93" i="9"/>
  <c r="AZ93" i="9" s="1"/>
  <c r="AF93" i="9"/>
  <c r="AU72" i="9"/>
  <c r="BO72" i="9" s="1"/>
  <c r="BC83" i="9"/>
  <c r="AD83" i="9"/>
  <c r="AE67" i="9"/>
  <c r="BI67" i="9" s="1"/>
  <c r="BP39" i="9"/>
  <c r="AF72" i="9"/>
  <c r="AX11" i="9"/>
  <c r="BH11" i="9" s="1"/>
  <c r="BA29" i="9"/>
  <c r="BK29" i="9" s="1"/>
  <c r="BO87" i="9"/>
  <c r="BM25" i="9"/>
  <c r="AZ24" i="9"/>
  <c r="BJ24" i="9" s="1"/>
  <c r="BN47" i="9"/>
  <c r="AG67" i="9"/>
  <c r="AZ88" i="9"/>
  <c r="BJ88" i="9" s="1"/>
  <c r="BN24" i="9"/>
  <c r="BO54" i="9"/>
  <c r="AY39" i="9"/>
  <c r="BO95" i="9"/>
  <c r="BD39" i="9"/>
  <c r="AE39" i="9"/>
  <c r="AS79" i="9"/>
  <c r="BM79" i="9" s="1"/>
  <c r="BO74" i="9"/>
  <c r="BJ39" i="9"/>
  <c r="BN72" i="9"/>
  <c r="BB74" i="9"/>
  <c r="AC74" i="9"/>
  <c r="BF79" i="9"/>
  <c r="AG79" i="9"/>
  <c r="BN53" i="9"/>
  <c r="AY35" i="9"/>
  <c r="BI35" i="9" s="1"/>
  <c r="BG87" i="9"/>
  <c r="BN46" i="9"/>
  <c r="AW29" i="9"/>
  <c r="BG29" i="9" s="1"/>
  <c r="AZ91" i="9"/>
  <c r="AD87" i="9"/>
  <c r="BH87" i="9" s="1"/>
  <c r="BC87" i="9"/>
  <c r="AC79" i="9"/>
  <c r="BB79" i="9"/>
  <c r="AF91" i="9"/>
  <c r="AT83" i="9"/>
  <c r="BN83" i="9" s="1"/>
  <c r="BB70" i="9"/>
  <c r="AC70" i="9"/>
  <c r="AS89" i="9"/>
  <c r="AX89" i="9" s="1"/>
  <c r="BG17" i="9"/>
  <c r="BC7" i="9"/>
  <c r="AD7" i="9"/>
  <c r="BB45" i="9"/>
  <c r="AC45" i="9"/>
  <c r="AS45" i="9"/>
  <c r="AX45" i="9" s="1"/>
  <c r="AR12" i="9"/>
  <c r="AW12" i="9" s="1"/>
  <c r="AV82" i="9"/>
  <c r="BA82" i="9" s="1"/>
  <c r="AV57" i="9"/>
  <c r="BA57" i="9" s="1"/>
  <c r="BK90" i="9"/>
  <c r="BD77" i="9"/>
  <c r="AE77" i="9"/>
  <c r="AV52" i="9"/>
  <c r="BA52" i="9" s="1"/>
  <c r="AV21" i="9"/>
  <c r="BA21" i="9" s="1"/>
  <c r="AG58" i="9"/>
  <c r="BF58" i="9"/>
  <c r="AC85" i="9"/>
  <c r="BB85" i="9"/>
  <c r="BD16" i="9"/>
  <c r="AE16" i="9"/>
  <c r="AU19" i="9"/>
  <c r="AZ19" i="9" s="1"/>
  <c r="AR32" i="9"/>
  <c r="AW32" i="9" s="1"/>
  <c r="AU20" i="9"/>
  <c r="AZ20" i="9" s="1"/>
  <c r="BB75" i="9"/>
  <c r="AC75" i="9"/>
  <c r="BD75" i="9"/>
  <c r="AE75" i="9"/>
  <c r="BD42" i="9"/>
  <c r="AE42" i="9"/>
  <c r="BC55" i="9"/>
  <c r="AD55" i="9"/>
  <c r="BH13" i="9"/>
  <c r="AU59" i="9"/>
  <c r="AZ59" i="9" s="1"/>
  <c r="BC40" i="9"/>
  <c r="AD40" i="9"/>
  <c r="BG95" i="9"/>
  <c r="BF69" i="9"/>
  <c r="AG69" i="9"/>
  <c r="BM14" i="9"/>
  <c r="AS76" i="9"/>
  <c r="AX76" i="9" s="1"/>
  <c r="BB96" i="9"/>
  <c r="AC96" i="9"/>
  <c r="AC30" i="9"/>
  <c r="BB30" i="9"/>
  <c r="AU98" i="9"/>
  <c r="AZ98" i="9" s="1"/>
  <c r="AV49" i="9"/>
  <c r="BA49" i="9" s="1"/>
  <c r="BF65" i="9"/>
  <c r="AG65" i="9"/>
  <c r="BB10" i="9"/>
  <c r="AC10" i="9"/>
  <c r="BK43" i="9"/>
  <c r="AY71" i="9"/>
  <c r="BI71" i="9" s="1"/>
  <c r="AX74" i="9"/>
  <c r="BH74" i="9" s="1"/>
  <c r="BA39" i="9"/>
  <c r="AW41" i="9"/>
  <c r="BG41" i="9" s="1"/>
  <c r="AR70" i="9"/>
  <c r="AW70" i="9" s="1"/>
  <c r="BC89" i="9"/>
  <c r="AD89" i="9"/>
  <c r="AV89" i="9"/>
  <c r="BA89" i="9" s="1"/>
  <c r="AC89" i="9"/>
  <c r="BB89" i="9"/>
  <c r="AY14" i="9"/>
  <c r="BI14" i="9" s="1"/>
  <c r="BD7" i="9"/>
  <c r="AE7" i="9"/>
  <c r="AT7" i="9"/>
  <c r="AY7" i="9" s="1"/>
  <c r="BK36" i="9"/>
  <c r="BL95" i="9"/>
  <c r="BG24" i="9"/>
  <c r="AU45" i="9"/>
  <c r="BO45" i="9" s="1"/>
  <c r="BC45" i="9"/>
  <c r="AD45" i="9"/>
  <c r="BD45" i="9"/>
  <c r="AE45" i="9"/>
  <c r="BA46" i="9"/>
  <c r="BB60" i="9"/>
  <c r="AC60" i="9"/>
  <c r="AS60" i="9"/>
  <c r="AX60" i="9" s="1"/>
  <c r="BG54" i="9"/>
  <c r="BA72" i="9"/>
  <c r="BF12" i="9"/>
  <c r="AG12" i="9"/>
  <c r="BC12" i="9"/>
  <c r="AD12" i="9"/>
  <c r="BD12" i="9"/>
  <c r="AE12" i="9"/>
  <c r="BO67" i="9"/>
  <c r="BA61" i="9"/>
  <c r="AZ13" i="9"/>
  <c r="BJ13" i="9" s="1"/>
  <c r="BF82" i="9"/>
  <c r="AG82" i="9"/>
  <c r="AE82" i="9"/>
  <c r="BD82" i="9"/>
  <c r="AZ87" i="9"/>
  <c r="BC57" i="9"/>
  <c r="AD57" i="9"/>
  <c r="BF57" i="9"/>
  <c r="AG57" i="9"/>
  <c r="AS57" i="9"/>
  <c r="AX57" i="9" s="1"/>
  <c r="AT57" i="9"/>
  <c r="AY57" i="9" s="1"/>
  <c r="BN23" i="9"/>
  <c r="BO53" i="9"/>
  <c r="AX71" i="9"/>
  <c r="AR77" i="9"/>
  <c r="AW77" i="9" s="1"/>
  <c r="BA38" i="9"/>
  <c r="BK38" i="9" s="1"/>
  <c r="BO66" i="9"/>
  <c r="BF52" i="9"/>
  <c r="AG52" i="9"/>
  <c r="AD52" i="9"/>
  <c r="BC52" i="9"/>
  <c r="BD52" i="9"/>
  <c r="AE52" i="9"/>
  <c r="AT52" i="9"/>
  <c r="AY52" i="9" s="1"/>
  <c r="BL91" i="9"/>
  <c r="BO47" i="9"/>
  <c r="AS21" i="9"/>
  <c r="BM21" i="9" s="1"/>
  <c r="AF21" i="9"/>
  <c r="BE21" i="9"/>
  <c r="AG21" i="9"/>
  <c r="BF21" i="9"/>
  <c r="AR58" i="9"/>
  <c r="AW58" i="9" s="1"/>
  <c r="BB58" i="9"/>
  <c r="AC58" i="9"/>
  <c r="BP44" i="9"/>
  <c r="BL17" i="9"/>
  <c r="BH35" i="9"/>
  <c r="AX63" i="9"/>
  <c r="AR85" i="9"/>
  <c r="BL85" i="9" s="1"/>
  <c r="AS94" i="9"/>
  <c r="AX94" i="9" s="1"/>
  <c r="BE94" i="9"/>
  <c r="AF94" i="9"/>
  <c r="BN38" i="9"/>
  <c r="AZ41" i="9"/>
  <c r="BJ41" i="9" s="1"/>
  <c r="AZ86" i="9"/>
  <c r="BB16" i="9"/>
  <c r="AC16" i="9"/>
  <c r="AR16" i="9"/>
  <c r="BL16" i="9" s="1"/>
  <c r="AV16" i="9"/>
  <c r="BA16" i="9" s="1"/>
  <c r="AT16" i="9"/>
  <c r="AY16" i="9" s="1"/>
  <c r="BF19" i="9"/>
  <c r="AG19" i="9"/>
  <c r="BO19" i="9"/>
  <c r="AS19" i="9"/>
  <c r="BM19" i="9" s="1"/>
  <c r="AU32" i="9"/>
  <c r="AZ32" i="9" s="1"/>
  <c r="BC32" i="9"/>
  <c r="AD32" i="9"/>
  <c r="AR20" i="9"/>
  <c r="AW20" i="9" s="1"/>
  <c r="BF20" i="9"/>
  <c r="AG20" i="9"/>
  <c r="AS20" i="9"/>
  <c r="AX20" i="9" s="1"/>
  <c r="AT20" i="9"/>
  <c r="AY20" i="9" s="1"/>
  <c r="AU75" i="9"/>
  <c r="BO75" i="9" s="1"/>
  <c r="AD42" i="9"/>
  <c r="BC42" i="9"/>
  <c r="BB42" i="9"/>
  <c r="AC42" i="9"/>
  <c r="AW50" i="9"/>
  <c r="BB55" i="9"/>
  <c r="AC55" i="9"/>
  <c r="AX72" i="9"/>
  <c r="AE64" i="9"/>
  <c r="BD64" i="9"/>
  <c r="AU64" i="9"/>
  <c r="BO64" i="9" s="1"/>
  <c r="AV40" i="9"/>
  <c r="BA40" i="9" s="1"/>
  <c r="BN17" i="9"/>
  <c r="BP36" i="9"/>
  <c r="BF28" i="9"/>
  <c r="AG28" i="9"/>
  <c r="AS28" i="9"/>
  <c r="BM28" i="9" s="1"/>
  <c r="AS69" i="9"/>
  <c r="BM69" i="9" s="1"/>
  <c r="AR69" i="9"/>
  <c r="AW69" i="9" s="1"/>
  <c r="AF69" i="9"/>
  <c r="BE69" i="9"/>
  <c r="AT34" i="9"/>
  <c r="AY34" i="9" s="1"/>
  <c r="AU34" i="9"/>
  <c r="BO34" i="9" s="1"/>
  <c r="BE37" i="9"/>
  <c r="AF37" i="9"/>
  <c r="AD37" i="9"/>
  <c r="BC37" i="9"/>
  <c r="BC76" i="9"/>
  <c r="AD76" i="9"/>
  <c r="BB76" i="9"/>
  <c r="AC76" i="9"/>
  <c r="BD76" i="9"/>
  <c r="AE76" i="9"/>
  <c r="BE76" i="9"/>
  <c r="AF76" i="9"/>
  <c r="BB15" i="9"/>
  <c r="AC15" i="9"/>
  <c r="AY31" i="9"/>
  <c r="AW33" i="9"/>
  <c r="BG33" i="9" s="1"/>
  <c r="BC96" i="9"/>
  <c r="AD96" i="9"/>
  <c r="BN95" i="9"/>
  <c r="AE92" i="9"/>
  <c r="BD92" i="9"/>
  <c r="AT92" i="9"/>
  <c r="AY92" i="9" s="1"/>
  <c r="BD30" i="9"/>
  <c r="AE30" i="9"/>
  <c r="AT30" i="9"/>
  <c r="BN30" i="9" s="1"/>
  <c r="AY72" i="9"/>
  <c r="BI72" i="9" s="1"/>
  <c r="BF98" i="9"/>
  <c r="AG98" i="9"/>
  <c r="AS98" i="9"/>
  <c r="BM98" i="9" s="1"/>
  <c r="AT98" i="9"/>
  <c r="AY98" i="9" s="1"/>
  <c r="AR49" i="9"/>
  <c r="AW49" i="9" s="1"/>
  <c r="AU49" i="9"/>
  <c r="AZ49" i="9" s="1"/>
  <c r="BD65" i="9"/>
  <c r="AE65" i="9"/>
  <c r="AR65" i="9"/>
  <c r="AW65" i="9" s="1"/>
  <c r="BE65" i="9"/>
  <c r="AF65" i="9"/>
  <c r="AU10" i="9"/>
  <c r="AZ10" i="9" s="1"/>
  <c r="AT10" i="9"/>
  <c r="AY10" i="9" s="1"/>
  <c r="AV10" i="9"/>
  <c r="BA10" i="9" s="1"/>
  <c r="BL44" i="9"/>
  <c r="AU22" i="9"/>
  <c r="AZ22" i="9" s="1"/>
  <c r="BO22" i="9"/>
  <c r="BB62" i="9"/>
  <c r="AC62" i="9"/>
  <c r="AS62" i="9"/>
  <c r="BM62" i="9" s="1"/>
  <c r="AW68" i="9"/>
  <c r="BG68" i="9" s="1"/>
  <c r="BM33" i="9"/>
  <c r="BI95" i="9"/>
  <c r="BA24" i="9"/>
  <c r="BB78" i="9"/>
  <c r="AC78" i="9"/>
  <c r="AT78" i="9"/>
  <c r="AY78" i="9" s="1"/>
  <c r="AV73" i="9"/>
  <c r="BA73" i="9" s="1"/>
  <c r="BD73" i="9"/>
  <c r="AE73" i="9"/>
  <c r="BB73" i="9"/>
  <c r="AC73" i="9"/>
  <c r="AF73" i="9"/>
  <c r="BE73" i="9"/>
  <c r="AW13" i="9"/>
  <c r="BM13" i="9"/>
  <c r="BC51" i="9"/>
  <c r="AD51" i="9"/>
  <c r="AT80" i="9"/>
  <c r="AY80" i="9" s="1"/>
  <c r="AU80" i="9"/>
  <c r="AZ80" i="9" s="1"/>
  <c r="AV80" i="9"/>
  <c r="BA80" i="9" s="1"/>
  <c r="BD70" i="9"/>
  <c r="AE70" i="9"/>
  <c r="AR45" i="9"/>
  <c r="AW45" i="9" s="1"/>
  <c r="AR60" i="9"/>
  <c r="AW60" i="9" s="1"/>
  <c r="BE12" i="9"/>
  <c r="AF12" i="9"/>
  <c r="AD82" i="9"/>
  <c r="BC82" i="9"/>
  <c r="BE77" i="9"/>
  <c r="AF77" i="9"/>
  <c r="AS52" i="9"/>
  <c r="AX52" i="9" s="1"/>
  <c r="AU21" i="9"/>
  <c r="AZ21" i="9" s="1"/>
  <c r="BE85" i="9"/>
  <c r="AF85" i="9"/>
  <c r="BB94" i="9"/>
  <c r="AC94" i="9"/>
  <c r="AS16" i="9"/>
  <c r="AX16" i="9" s="1"/>
  <c r="AV32" i="9"/>
  <c r="BA32" i="9" s="1"/>
  <c r="AV42" i="9"/>
  <c r="BP42" i="9" s="1"/>
  <c r="BD59" i="9"/>
  <c r="AE59" i="9"/>
  <c r="BC64" i="9"/>
  <c r="AD64" i="9"/>
  <c r="AV37" i="9"/>
  <c r="BA37" i="9" s="1"/>
  <c r="BF15" i="9"/>
  <c r="AG15" i="9"/>
  <c r="BB92" i="9"/>
  <c r="AC92" i="9"/>
  <c r="AU92" i="9"/>
  <c r="AZ92" i="9" s="1"/>
  <c r="AD22" i="9"/>
  <c r="BC22" i="9"/>
  <c r="AR62" i="9"/>
  <c r="AW62" i="9" s="1"/>
  <c r="BF73" i="9"/>
  <c r="AG73" i="9"/>
  <c r="AU51" i="9"/>
  <c r="AZ51" i="9" s="1"/>
  <c r="AE80" i="9"/>
  <c r="BD80" i="9"/>
  <c r="BI38" i="9"/>
  <c r="AT89" i="9"/>
  <c r="AY89" i="9" s="1"/>
  <c r="AU89" i="9"/>
  <c r="BO89" i="9" s="1"/>
  <c r="AU60" i="9"/>
  <c r="AZ60" i="9" s="1"/>
  <c r="AV12" i="9"/>
  <c r="BA12" i="9" s="1"/>
  <c r="AW88" i="9"/>
  <c r="BG88" i="9" s="1"/>
  <c r="AT82" i="9"/>
  <c r="AY82" i="9" s="1"/>
  <c r="BP18" i="9"/>
  <c r="BP90" i="9"/>
  <c r="BF77" i="9"/>
  <c r="AG77" i="9"/>
  <c r="AT77" i="9"/>
  <c r="AY77" i="9" s="1"/>
  <c r="AY66" i="9"/>
  <c r="BP21" i="9"/>
  <c r="AS58" i="9"/>
  <c r="AX58" i="9" s="1"/>
  <c r="AV58" i="9"/>
  <c r="BP58" i="9" s="1"/>
  <c r="AU58" i="9"/>
  <c r="BO58" i="9" s="1"/>
  <c r="BG61" i="9"/>
  <c r="BC85" i="9"/>
  <c r="AD85" i="9"/>
  <c r="AG85" i="9"/>
  <c r="BF85" i="9"/>
  <c r="AS85" i="9"/>
  <c r="AX85" i="9" s="1"/>
  <c r="AT85" i="9"/>
  <c r="AY85" i="9" s="1"/>
  <c r="AU94" i="9"/>
  <c r="BO94" i="9" s="1"/>
  <c r="BF94" i="9"/>
  <c r="AG94" i="9"/>
  <c r="AR94" i="9"/>
  <c r="AW94" i="9" s="1"/>
  <c r="AU16" i="9"/>
  <c r="AZ16" i="9" s="1"/>
  <c r="AV19" i="9"/>
  <c r="BA19" i="9" s="1"/>
  <c r="AF19" i="9"/>
  <c r="BE19" i="9"/>
  <c r="BB32" i="9"/>
  <c r="AC32" i="9"/>
  <c r="AE32" i="9"/>
  <c r="BD32" i="9"/>
  <c r="AT32" i="9"/>
  <c r="AY32" i="9" s="1"/>
  <c r="BC20" i="9"/>
  <c r="AD20" i="9"/>
  <c r="BF75" i="9"/>
  <c r="AG75" i="9"/>
  <c r="BE75" i="9"/>
  <c r="AF75" i="9"/>
  <c r="AR75" i="9"/>
  <c r="AW75" i="9" s="1"/>
  <c r="AS75" i="9"/>
  <c r="BM75" i="9" s="1"/>
  <c r="AR42" i="9"/>
  <c r="BL42" i="9" s="1"/>
  <c r="BE42" i="9"/>
  <c r="AF42" i="9"/>
  <c r="AS42" i="9"/>
  <c r="BM42" i="9" s="1"/>
  <c r="AF55" i="9"/>
  <c r="BE55" i="9"/>
  <c r="AR55" i="9"/>
  <c r="AW55" i="9" s="1"/>
  <c r="AS55" i="9"/>
  <c r="BM55" i="9" s="1"/>
  <c r="BC59" i="9"/>
  <c r="AD59" i="9"/>
  <c r="BF59" i="9"/>
  <c r="AG59" i="9"/>
  <c r="BB59" i="9"/>
  <c r="AC59" i="9"/>
  <c r="AT59" i="9"/>
  <c r="AY59" i="9" s="1"/>
  <c r="AS64" i="9"/>
  <c r="BM64" i="9" s="1"/>
  <c r="AV64" i="9"/>
  <c r="BA64" i="9" s="1"/>
  <c r="BB64" i="9"/>
  <c r="AC64" i="9"/>
  <c r="AF64" i="9"/>
  <c r="BE64" i="9"/>
  <c r="BB40" i="9"/>
  <c r="AC40" i="9"/>
  <c r="AE40" i="9"/>
  <c r="BD40" i="9"/>
  <c r="AS40" i="9"/>
  <c r="AX40" i="9" s="1"/>
  <c r="AF40" i="9"/>
  <c r="BE40" i="9"/>
  <c r="AR28" i="9"/>
  <c r="BL28" i="9" s="1"/>
  <c r="BB28" i="9"/>
  <c r="AC28" i="9"/>
  <c r="AV28" i="9"/>
  <c r="BA28" i="9" s="1"/>
  <c r="BE28" i="9"/>
  <c r="AF28" i="9"/>
  <c r="BJ53" i="9"/>
  <c r="BD69" i="9"/>
  <c r="AE69" i="9"/>
  <c r="AV69" i="9"/>
  <c r="BA69" i="9" s="1"/>
  <c r="BF34" i="9"/>
  <c r="AG34" i="9"/>
  <c r="AR34" i="9"/>
  <c r="AW34" i="9" s="1"/>
  <c r="AD34" i="9"/>
  <c r="BC34" i="9"/>
  <c r="AS34" i="9"/>
  <c r="BM34" i="9" s="1"/>
  <c r="BD37" i="9"/>
  <c r="AE37" i="9"/>
  <c r="BP63" i="9"/>
  <c r="BH71" i="9"/>
  <c r="AV76" i="9"/>
  <c r="BA76" i="9" s="1"/>
  <c r="AU76" i="9"/>
  <c r="AZ76" i="9" s="1"/>
  <c r="BM76" i="9"/>
  <c r="AR15" i="9"/>
  <c r="AW15" i="9" s="1"/>
  <c r="BC15" i="9"/>
  <c r="AD15" i="9"/>
  <c r="AU15" i="9"/>
  <c r="BO15" i="9" s="1"/>
  <c r="BE15" i="9"/>
  <c r="AF15" i="9"/>
  <c r="AX41" i="9"/>
  <c r="BH41" i="9" s="1"/>
  <c r="AR96" i="9"/>
  <c r="AW96" i="9" s="1"/>
  <c r="BF96" i="9"/>
  <c r="AG96" i="9"/>
  <c r="AS96" i="9"/>
  <c r="BM96" i="9" s="1"/>
  <c r="AT96" i="9"/>
  <c r="AY96" i="9" s="1"/>
  <c r="BF92" i="9"/>
  <c r="AG92" i="9"/>
  <c r="AS92" i="9"/>
  <c r="BM92" i="9" s="1"/>
  <c r="BO92" i="9"/>
  <c r="BE30" i="9"/>
  <c r="AF30" i="9"/>
  <c r="AS30" i="9"/>
  <c r="AX30" i="9" s="1"/>
  <c r="AR30" i="9"/>
  <c r="AW30" i="9" s="1"/>
  <c r="BF30" i="9"/>
  <c r="AG30" i="9"/>
  <c r="BL97" i="9"/>
  <c r="AV98" i="9"/>
  <c r="BA98" i="9" s="1"/>
  <c r="AZ81" i="9"/>
  <c r="BJ81" i="9" s="1"/>
  <c r="BG11" i="9"/>
  <c r="BC49" i="9"/>
  <c r="AD49" i="9"/>
  <c r="BB49" i="9"/>
  <c r="AC49" i="9"/>
  <c r="BD49" i="9"/>
  <c r="AE49" i="9"/>
  <c r="BE49" i="9"/>
  <c r="AF49" i="9"/>
  <c r="BC65" i="9"/>
  <c r="AD65" i="9"/>
  <c r="BB65" i="9"/>
  <c r="AC65" i="9"/>
  <c r="AU65" i="9"/>
  <c r="AZ65" i="9" s="1"/>
  <c r="BF10" i="9"/>
  <c r="AG10" i="9"/>
  <c r="BC10" i="9"/>
  <c r="AD10" i="9"/>
  <c r="BD10" i="9"/>
  <c r="AE10" i="9"/>
  <c r="BF22" i="9"/>
  <c r="AG22" i="9"/>
  <c r="BE22" i="9"/>
  <c r="AF22" i="9"/>
  <c r="AR22" i="9"/>
  <c r="AW22" i="9" s="1"/>
  <c r="AS22" i="9"/>
  <c r="BM22" i="9" s="1"/>
  <c r="BF62" i="9"/>
  <c r="AG62" i="9"/>
  <c r="AU62" i="9"/>
  <c r="AZ62" i="9" s="1"/>
  <c r="BE62" i="9"/>
  <c r="AF62" i="9"/>
  <c r="BH14" i="9"/>
  <c r="AS78" i="9"/>
  <c r="AX78" i="9" s="1"/>
  <c r="AF78" i="9"/>
  <c r="BE78" i="9"/>
  <c r="AU78" i="9"/>
  <c r="AZ78" i="9" s="1"/>
  <c r="AS73" i="9"/>
  <c r="BM73" i="9" s="1"/>
  <c r="AR73" i="9"/>
  <c r="AW73" i="9" s="1"/>
  <c r="AU73" i="9"/>
  <c r="AZ73" i="9" s="1"/>
  <c r="BH81" i="9"/>
  <c r="AR51" i="9"/>
  <c r="BL51" i="9" s="1"/>
  <c r="AS51" i="9"/>
  <c r="AX51" i="9" s="1"/>
  <c r="BF51" i="9"/>
  <c r="AG51" i="9"/>
  <c r="AT51" i="9"/>
  <c r="AY51" i="9" s="1"/>
  <c r="AS80" i="9"/>
  <c r="BM80" i="9" s="1"/>
  <c r="BB80" i="9"/>
  <c r="AC80" i="9"/>
  <c r="BC80" i="9"/>
  <c r="AD80" i="9"/>
  <c r="AX18" i="9"/>
  <c r="BE70" i="9"/>
  <c r="AF70" i="9"/>
  <c r="AG89" i="9"/>
  <c r="BF89" i="9"/>
  <c r="BB7" i="9"/>
  <c r="AC7" i="9"/>
  <c r="BJ36" i="9"/>
  <c r="BE45" i="9"/>
  <c r="AF45" i="9"/>
  <c r="AE60" i="9"/>
  <c r="BD60" i="9"/>
  <c r="AS12" i="9"/>
  <c r="BM12" i="9" s="1"/>
  <c r="AU82" i="9"/>
  <c r="AZ82" i="9" s="1"/>
  <c r="AS82" i="9"/>
  <c r="BM82" i="9" s="1"/>
  <c r="AU57" i="9"/>
  <c r="BO57" i="9" s="1"/>
  <c r="BM57" i="9"/>
  <c r="BB77" i="9"/>
  <c r="AC77" i="9"/>
  <c r="AU52" i="9"/>
  <c r="AZ52" i="9" s="1"/>
  <c r="BC21" i="9"/>
  <c r="AD21" i="9"/>
  <c r="BD21" i="9"/>
  <c r="AE21" i="9"/>
  <c r="AF58" i="9"/>
  <c r="BE58" i="9"/>
  <c r="AV85" i="9"/>
  <c r="BA85" i="9" s="1"/>
  <c r="BD85" i="9"/>
  <c r="AE85" i="9"/>
  <c r="BD94" i="9"/>
  <c r="AE94" i="9"/>
  <c r="AT94" i="9"/>
  <c r="BN94" i="9" s="1"/>
  <c r="BF16" i="9"/>
  <c r="AG16" i="9"/>
  <c r="AE19" i="9"/>
  <c r="BD19" i="9"/>
  <c r="BE32" i="9"/>
  <c r="AF32" i="9"/>
  <c r="AD75" i="9"/>
  <c r="BC75" i="9"/>
  <c r="AU42" i="9"/>
  <c r="AZ42" i="9" s="1"/>
  <c r="BF55" i="9"/>
  <c r="AG55" i="9"/>
  <c r="BD55" i="9"/>
  <c r="AE55" i="9"/>
  <c r="BO59" i="9"/>
  <c r="BE59" i="9"/>
  <c r="AF59" i="9"/>
  <c r="BH29" i="9"/>
  <c r="AE28" i="9"/>
  <c r="BD28" i="9"/>
  <c r="BC69" i="9"/>
  <c r="AD69" i="9"/>
  <c r="AT69" i="9"/>
  <c r="BN69" i="9" s="1"/>
  <c r="BI17" i="9"/>
  <c r="BD34" i="9"/>
  <c r="AE34" i="9"/>
  <c r="AT37" i="9"/>
  <c r="BN37" i="9" s="1"/>
  <c r="AR37" i="9"/>
  <c r="BL37" i="9" s="1"/>
  <c r="AR76" i="9"/>
  <c r="AW76" i="9" s="1"/>
  <c r="BF76" i="9"/>
  <c r="AG76" i="9"/>
  <c r="AT76" i="9"/>
  <c r="BN76" i="9" s="1"/>
  <c r="AS15" i="9"/>
  <c r="AV96" i="9"/>
  <c r="BP96" i="9" s="1"/>
  <c r="AE96" i="9"/>
  <c r="BD96" i="9"/>
  <c r="BE96" i="9"/>
  <c r="AF96" i="9"/>
  <c r="BC92" i="9"/>
  <c r="AD92" i="9"/>
  <c r="BC30" i="9"/>
  <c r="AD30" i="9"/>
  <c r="AR98" i="9"/>
  <c r="BL98" i="9" s="1"/>
  <c r="AT65" i="9"/>
  <c r="AY65" i="9" s="1"/>
  <c r="BD22" i="9"/>
  <c r="AE22" i="9"/>
  <c r="AE62" i="9"/>
  <c r="BD62" i="9"/>
  <c r="BJ54" i="9"/>
  <c r="AR78" i="9"/>
  <c r="BL78" i="9" s="1"/>
  <c r="AG78" i="9"/>
  <c r="BF78" i="9"/>
  <c r="BC73" i="9"/>
  <c r="AD73" i="9"/>
  <c r="AT73" i="9"/>
  <c r="AY73" i="9" s="1"/>
  <c r="BB51" i="9"/>
  <c r="AC51" i="9"/>
  <c r="BE51" i="9"/>
  <c r="AF51" i="9"/>
  <c r="BC70" i="9"/>
  <c r="AD70" i="9"/>
  <c r="BF70" i="9"/>
  <c r="AG70" i="9"/>
  <c r="AT70" i="9"/>
  <c r="BN70" i="9" s="1"/>
  <c r="BM89" i="9"/>
  <c r="AR89" i="9"/>
  <c r="AW89" i="9" s="1"/>
  <c r="BM31" i="9"/>
  <c r="BF7" i="9"/>
  <c r="AG7" i="9"/>
  <c r="AS7" i="9"/>
  <c r="BM7" i="9" s="1"/>
  <c r="BJ67" i="9"/>
  <c r="AT45" i="9"/>
  <c r="BN45" i="9" s="1"/>
  <c r="AV45" i="9"/>
  <c r="BP45" i="9" s="1"/>
  <c r="BF60" i="9"/>
  <c r="AG60" i="9"/>
  <c r="BE60" i="9"/>
  <c r="AF60" i="9"/>
  <c r="AU12" i="9"/>
  <c r="BO12" i="9" s="1"/>
  <c r="AT12" i="9"/>
  <c r="AY12" i="9" s="1"/>
  <c r="AW81" i="9"/>
  <c r="BG81" i="9" s="1"/>
  <c r="AY11" i="9"/>
  <c r="BI11" i="9" s="1"/>
  <c r="BI13" i="9"/>
  <c r="BE82" i="9"/>
  <c r="AF82" i="9"/>
  <c r="AC82" i="9"/>
  <c r="BB82" i="9"/>
  <c r="AV77" i="9"/>
  <c r="BP77" i="9" s="1"/>
  <c r="AS77" i="9"/>
  <c r="BM77" i="9" s="1"/>
  <c r="BO52" i="9"/>
  <c r="AT21" i="9"/>
  <c r="AY21" i="9" s="1"/>
  <c r="BD58" i="9"/>
  <c r="AE58" i="9"/>
  <c r="AZ17" i="9"/>
  <c r="BJ17" i="9" s="1"/>
  <c r="AX66" i="9"/>
  <c r="AV70" i="9"/>
  <c r="BP70" i="9" s="1"/>
  <c r="AS70" i="9"/>
  <c r="AX70" i="9" s="1"/>
  <c r="AU70" i="9"/>
  <c r="BO70" i="9" s="1"/>
  <c r="BD89" i="9"/>
  <c r="AE89" i="9"/>
  <c r="BE89" i="9"/>
  <c r="AF89" i="9"/>
  <c r="AR7" i="9"/>
  <c r="AW7" i="9" s="1"/>
  <c r="AU7" i="9"/>
  <c r="BO7" i="9" s="1"/>
  <c r="AV7" i="9"/>
  <c r="BP7" i="9" s="1"/>
  <c r="BE7" i="9"/>
  <c r="AF7" i="9"/>
  <c r="BK63" i="9"/>
  <c r="BA93" i="9"/>
  <c r="BF45" i="9"/>
  <c r="AG45" i="9"/>
  <c r="BM45" i="9"/>
  <c r="AV60" i="9"/>
  <c r="BP60" i="9" s="1"/>
  <c r="AD60" i="9"/>
  <c r="BC60" i="9"/>
  <c r="AT60" i="9"/>
  <c r="BN60" i="9" s="1"/>
  <c r="AX97" i="9"/>
  <c r="AC12" i="9"/>
  <c r="BB12" i="9"/>
  <c r="AY44" i="9"/>
  <c r="BI44" i="9" s="1"/>
  <c r="BL18" i="9"/>
  <c r="BI88" i="9"/>
  <c r="BO82" i="9"/>
  <c r="AR82" i="9"/>
  <c r="BL82" i="9" s="1"/>
  <c r="AR57" i="9"/>
  <c r="AW57" i="9" s="1"/>
  <c r="BB57" i="9"/>
  <c r="AC57" i="9"/>
  <c r="AE57" i="9"/>
  <c r="BD57" i="9"/>
  <c r="BE57" i="9"/>
  <c r="AF57" i="9"/>
  <c r="BO11" i="9"/>
  <c r="AW43" i="9"/>
  <c r="BG43" i="9" s="1"/>
  <c r="BH63" i="9"/>
  <c r="BC77" i="9"/>
  <c r="AD77" i="9"/>
  <c r="AU77" i="9"/>
  <c r="BO77" i="9" s="1"/>
  <c r="AZ38" i="9"/>
  <c r="BJ38" i="9" s="1"/>
  <c r="BG83" i="9"/>
  <c r="AR52" i="9"/>
  <c r="BL52" i="9" s="1"/>
  <c r="BB52" i="9"/>
  <c r="AC52" i="9"/>
  <c r="AF52" i="9"/>
  <c r="BE52" i="9"/>
  <c r="BH95" i="9"/>
  <c r="AY47" i="9"/>
  <c r="AR21" i="9"/>
  <c r="BL21" i="9" s="1"/>
  <c r="BB21" i="9"/>
  <c r="AC21" i="9"/>
  <c r="BC58" i="9"/>
  <c r="AD58" i="9"/>
  <c r="AT58" i="9"/>
  <c r="BN58" i="9" s="1"/>
  <c r="AX53" i="9"/>
  <c r="BH53" i="9" s="1"/>
  <c r="AU85" i="9"/>
  <c r="BO85" i="9" s="1"/>
  <c r="AD94" i="9"/>
  <c r="BC94" i="9"/>
  <c r="AV94" i="9"/>
  <c r="BA94" i="9" s="1"/>
  <c r="BL94" i="9"/>
  <c r="AZ31" i="9"/>
  <c r="BA56" i="9"/>
  <c r="BK56" i="9" s="1"/>
  <c r="BK31" i="9"/>
  <c r="BC16" i="9"/>
  <c r="AD16" i="9"/>
  <c r="BE16" i="9"/>
  <c r="AF16" i="9"/>
  <c r="BB19" i="9"/>
  <c r="AC19" i="9"/>
  <c r="BC19" i="9"/>
  <c r="AD19" i="9"/>
  <c r="AR19" i="9"/>
  <c r="AW19" i="9" s="1"/>
  <c r="AT19" i="9"/>
  <c r="BN19" i="9" s="1"/>
  <c r="BF32" i="9"/>
  <c r="AG32" i="9"/>
  <c r="AS32" i="9"/>
  <c r="AX32" i="9" s="1"/>
  <c r="BK71" i="9"/>
  <c r="AV20" i="9"/>
  <c r="BA20" i="9" s="1"/>
  <c r="BB20" i="9"/>
  <c r="AC20" i="9"/>
  <c r="AE20" i="9"/>
  <c r="BD20" i="9"/>
  <c r="BE20" i="9"/>
  <c r="AF20" i="9"/>
  <c r="AT75" i="9"/>
  <c r="BN75" i="9" s="1"/>
  <c r="AV75" i="9"/>
  <c r="BA75" i="9" s="1"/>
  <c r="BG36" i="9"/>
  <c r="BF42" i="9"/>
  <c r="AG42" i="9"/>
  <c r="AT42" i="9"/>
  <c r="BN42" i="9" s="1"/>
  <c r="AU55" i="9"/>
  <c r="BO55" i="9" s="1"/>
  <c r="AT55" i="9"/>
  <c r="BN55" i="9" s="1"/>
  <c r="AV55" i="9"/>
  <c r="BP55" i="9" s="1"/>
  <c r="BL11" i="9"/>
  <c r="AS59" i="9"/>
  <c r="AX59" i="9" s="1"/>
  <c r="AV59" i="9"/>
  <c r="BA59" i="9" s="1"/>
  <c r="AR59" i="9"/>
  <c r="AW59" i="9" s="1"/>
  <c r="AR64" i="9"/>
  <c r="AW64" i="9" s="1"/>
  <c r="BF64" i="9"/>
  <c r="AG64" i="9"/>
  <c r="AT64" i="9"/>
  <c r="BN64" i="9" s="1"/>
  <c r="AR40" i="9"/>
  <c r="BL40" i="9" s="1"/>
  <c r="AU40" i="9"/>
  <c r="AZ40" i="9" s="1"/>
  <c r="BF40" i="9"/>
  <c r="AG40" i="9"/>
  <c r="AT40" i="9"/>
  <c r="BN40" i="9" s="1"/>
  <c r="BG44" i="9"/>
  <c r="AU28" i="9"/>
  <c r="BO28" i="9" s="1"/>
  <c r="AD28" i="9"/>
  <c r="BC28" i="9"/>
  <c r="AT28" i="9"/>
  <c r="BN28" i="9" s="1"/>
  <c r="BB69" i="9"/>
  <c r="AC69" i="9"/>
  <c r="AU69" i="9"/>
  <c r="BO69" i="9" s="1"/>
  <c r="BK48" i="9"/>
  <c r="BE34" i="9"/>
  <c r="AF34" i="9"/>
  <c r="BB34" i="9"/>
  <c r="AC34" i="9"/>
  <c r="AV34" i="9"/>
  <c r="BP34" i="9" s="1"/>
  <c r="BL34" i="9"/>
  <c r="BB37" i="9"/>
  <c r="AC37" i="9"/>
  <c r="AU37" i="9"/>
  <c r="AZ37" i="9" s="1"/>
  <c r="BF37" i="9"/>
  <c r="AG37" i="9"/>
  <c r="AS37" i="9"/>
  <c r="BM37" i="9" s="1"/>
  <c r="BP76" i="9"/>
  <c r="BD15" i="9"/>
  <c r="AE15" i="9"/>
  <c r="AV15" i="9"/>
  <c r="BA15" i="9" s="1"/>
  <c r="AT15" i="9"/>
  <c r="BK74" i="9"/>
  <c r="AY93" i="9"/>
  <c r="AU96" i="9"/>
  <c r="BO96" i="9" s="1"/>
  <c r="AR92" i="9"/>
  <c r="BL92" i="9" s="1"/>
  <c r="AV92" i="9"/>
  <c r="BA92" i="9" s="1"/>
  <c r="BN92" i="9"/>
  <c r="AF92" i="9"/>
  <c r="BE92" i="9"/>
  <c r="AX24" i="9"/>
  <c r="AV30" i="9"/>
  <c r="BP30" i="9" s="1"/>
  <c r="AU30" i="9"/>
  <c r="BO30" i="9" s="1"/>
  <c r="BC98" i="9"/>
  <c r="AD98" i="9"/>
  <c r="BB98" i="9"/>
  <c r="AC98" i="9"/>
  <c r="BD98" i="9"/>
  <c r="AE98" i="9"/>
  <c r="BE98" i="9"/>
  <c r="AF98" i="9"/>
  <c r="BI81" i="9"/>
  <c r="BF49" i="9"/>
  <c r="AG49" i="9"/>
  <c r="AS49" i="9"/>
  <c r="BM49" i="9" s="1"/>
  <c r="AT49" i="9"/>
  <c r="BN49" i="9" s="1"/>
  <c r="AV65" i="9"/>
  <c r="BP65" i="9" s="1"/>
  <c r="AS65" i="9"/>
  <c r="BM65" i="9" s="1"/>
  <c r="BE10" i="9"/>
  <c r="AF10" i="9"/>
  <c r="AR10" i="9"/>
  <c r="AW10" i="9" s="1"/>
  <c r="AS10" i="9"/>
  <c r="BI23" i="9"/>
  <c r="BB22" i="9"/>
  <c r="AC22" i="9"/>
  <c r="AT22" i="9"/>
  <c r="BN22" i="9" s="1"/>
  <c r="AV22" i="9"/>
  <c r="BM18" i="9"/>
  <c r="BO18" i="9"/>
  <c r="AV62" i="9"/>
  <c r="BA62" i="9" s="1"/>
  <c r="BO62" i="9"/>
  <c r="AD62" i="9"/>
  <c r="BC62" i="9"/>
  <c r="AT62" i="9"/>
  <c r="BN62" i="9" s="1"/>
  <c r="BJ43" i="9"/>
  <c r="BH46" i="9"/>
  <c r="BC78" i="9"/>
  <c r="AD78" i="9"/>
  <c r="BD78" i="9"/>
  <c r="AE78" i="9"/>
  <c r="AV78" i="9"/>
  <c r="BP78" i="9" s="1"/>
  <c r="BN11" i="9"/>
  <c r="BA23" i="9"/>
  <c r="BK23" i="9" s="1"/>
  <c r="BD51" i="9"/>
  <c r="AE51" i="9"/>
  <c r="AV51" i="9"/>
  <c r="BA51" i="9" s="1"/>
  <c r="BE80" i="9"/>
  <c r="AF80" i="9"/>
  <c r="BF80" i="9"/>
  <c r="AG80" i="9"/>
  <c r="AR80" i="9"/>
  <c r="BL80" i="9" s="1"/>
  <c r="BI18" i="9"/>
  <c r="BA87" i="9"/>
  <c r="X71" i="8"/>
  <c r="Y71" i="8"/>
  <c r="Z71" i="8"/>
  <c r="AA71" i="8"/>
  <c r="AB71" i="8"/>
  <c r="T71" i="8"/>
  <c r="U71" i="8"/>
  <c r="V71" i="8"/>
  <c r="W71" i="8"/>
  <c r="S71" i="8"/>
  <c r="AK6" i="8"/>
  <c r="AK62" i="8"/>
  <c r="AK63" i="8"/>
  <c r="AK79" i="8"/>
  <c r="AK7" i="8"/>
  <c r="AK43" i="8"/>
  <c r="AK8" i="8"/>
  <c r="AK9" i="8"/>
  <c r="AK87" i="8"/>
  <c r="AK10" i="8"/>
  <c r="AK44" i="8"/>
  <c r="AK64" i="8"/>
  <c r="AK88" i="8"/>
  <c r="AK89" i="8"/>
  <c r="AK45" i="8"/>
  <c r="AK65" i="8"/>
  <c r="AK90" i="8"/>
  <c r="AK80" i="8"/>
  <c r="AK66" i="8"/>
  <c r="AK11" i="8"/>
  <c r="AK12" i="8"/>
  <c r="AK13" i="8"/>
  <c r="AK14" i="8"/>
  <c r="AK15" i="8"/>
  <c r="AK46" i="8"/>
  <c r="AK16" i="8"/>
  <c r="AK47" i="8"/>
  <c r="AK17" i="8"/>
  <c r="AK18" i="8"/>
  <c r="AK19" i="8"/>
  <c r="AK67" i="8"/>
  <c r="AK20" i="8"/>
  <c r="AK81" i="8"/>
  <c r="AK48" i="8"/>
  <c r="AK49" i="8"/>
  <c r="AK50" i="8"/>
  <c r="AK91" i="8"/>
  <c r="AK68" i="8"/>
  <c r="AK51" i="8"/>
  <c r="AK92" i="8"/>
  <c r="AK21" i="8"/>
  <c r="AK93" i="8"/>
  <c r="AK69" i="8"/>
  <c r="AK52" i="8"/>
  <c r="AK22" i="8"/>
  <c r="AK70" i="8"/>
  <c r="AK82" i="8"/>
  <c r="AK23" i="8"/>
  <c r="AK53" i="8"/>
  <c r="AK83" i="8"/>
  <c r="AK94" i="8"/>
  <c r="AK24" i="8"/>
  <c r="AK25" i="8"/>
  <c r="AK84" i="8"/>
  <c r="AK26" i="8"/>
  <c r="AK71" i="8"/>
  <c r="AK95" i="8"/>
  <c r="AK96" i="8"/>
  <c r="AK27" i="8"/>
  <c r="AK28" i="8"/>
  <c r="AK54" i="8"/>
  <c r="AK55" i="8"/>
  <c r="AK29" i="8"/>
  <c r="AK30" i="8"/>
  <c r="AK31" i="8"/>
  <c r="AK32" i="8"/>
  <c r="AK72" i="8"/>
  <c r="AK97" i="8"/>
  <c r="AK98" i="8"/>
  <c r="AK73" i="8"/>
  <c r="AK99" i="8"/>
  <c r="AK33" i="8"/>
  <c r="AK34" i="8"/>
  <c r="AK35" i="8"/>
  <c r="AK36" i="8"/>
  <c r="AK100" i="8"/>
  <c r="AK101" i="8"/>
  <c r="AK74" i="8"/>
  <c r="AK102" i="8"/>
  <c r="AK37" i="8"/>
  <c r="AK38" i="8"/>
  <c r="AK39" i="8"/>
  <c r="AK40" i="8"/>
  <c r="AK56" i="8"/>
  <c r="AK57" i="8"/>
  <c r="AK58" i="8"/>
  <c r="AK59" i="8"/>
  <c r="AJ6" i="8"/>
  <c r="AJ62" i="8"/>
  <c r="AJ63" i="8"/>
  <c r="AJ79" i="8"/>
  <c r="AJ7" i="8"/>
  <c r="AJ43" i="8"/>
  <c r="AJ8" i="8"/>
  <c r="AJ9" i="8"/>
  <c r="AJ87" i="8"/>
  <c r="AJ10" i="8"/>
  <c r="AJ44" i="8"/>
  <c r="AJ64" i="8"/>
  <c r="AJ88" i="8"/>
  <c r="AJ89" i="8"/>
  <c r="AJ45" i="8"/>
  <c r="AJ65" i="8"/>
  <c r="AJ90" i="8"/>
  <c r="AJ80" i="8"/>
  <c r="AJ66" i="8"/>
  <c r="AJ11" i="8"/>
  <c r="AJ12" i="8"/>
  <c r="AJ13" i="8"/>
  <c r="AJ14" i="8"/>
  <c r="AJ15" i="8"/>
  <c r="AJ46" i="8"/>
  <c r="AJ16" i="8"/>
  <c r="AJ47" i="8"/>
  <c r="AJ17" i="8"/>
  <c r="AJ18" i="8"/>
  <c r="AJ19" i="8"/>
  <c r="AJ67" i="8"/>
  <c r="AJ20" i="8"/>
  <c r="AJ81" i="8"/>
  <c r="AJ48" i="8"/>
  <c r="AJ49" i="8"/>
  <c r="AJ50" i="8"/>
  <c r="AJ91" i="8"/>
  <c r="AJ68" i="8"/>
  <c r="AJ51" i="8"/>
  <c r="AJ92" i="8"/>
  <c r="AJ21" i="8"/>
  <c r="AJ93" i="8"/>
  <c r="AJ69" i="8"/>
  <c r="AJ52" i="8"/>
  <c r="AJ22" i="8"/>
  <c r="AJ70" i="8"/>
  <c r="AJ82" i="8"/>
  <c r="AJ23" i="8"/>
  <c r="AJ53" i="8"/>
  <c r="AJ83" i="8"/>
  <c r="AJ94" i="8"/>
  <c r="AJ24" i="8"/>
  <c r="AJ25" i="8"/>
  <c r="AJ84" i="8"/>
  <c r="AJ26" i="8"/>
  <c r="AJ71" i="8"/>
  <c r="AJ95" i="8"/>
  <c r="AJ96" i="8"/>
  <c r="AJ27" i="8"/>
  <c r="AJ28" i="8"/>
  <c r="AJ54" i="8"/>
  <c r="AJ55" i="8"/>
  <c r="AJ29" i="8"/>
  <c r="AJ30" i="8"/>
  <c r="AJ31" i="8"/>
  <c r="AJ32" i="8"/>
  <c r="AJ72" i="8"/>
  <c r="AJ97" i="8"/>
  <c r="AJ98" i="8"/>
  <c r="AJ73" i="8"/>
  <c r="AJ99" i="8"/>
  <c r="AJ33" i="8"/>
  <c r="AJ34" i="8"/>
  <c r="AJ35" i="8"/>
  <c r="AJ36" i="8"/>
  <c r="AJ100" i="8"/>
  <c r="AJ101" i="8"/>
  <c r="AJ74" i="8"/>
  <c r="AJ102" i="8"/>
  <c r="AJ37" i="8"/>
  <c r="AJ38" i="8"/>
  <c r="AJ39" i="8"/>
  <c r="AJ40" i="8"/>
  <c r="AJ56" i="8"/>
  <c r="AJ57" i="8"/>
  <c r="AJ58" i="8"/>
  <c r="AJ59" i="8"/>
  <c r="AI6" i="8"/>
  <c r="AI62" i="8"/>
  <c r="AI63" i="8"/>
  <c r="AI79" i="8"/>
  <c r="AI7" i="8"/>
  <c r="AI43" i="8"/>
  <c r="AI8" i="8"/>
  <c r="AI9" i="8"/>
  <c r="AI87" i="8"/>
  <c r="AI10" i="8"/>
  <c r="AI44" i="8"/>
  <c r="AI64" i="8"/>
  <c r="AI88" i="8"/>
  <c r="AI89" i="8"/>
  <c r="AI45" i="8"/>
  <c r="AI65" i="8"/>
  <c r="AI90" i="8"/>
  <c r="AI80" i="8"/>
  <c r="AI66" i="8"/>
  <c r="AI11" i="8"/>
  <c r="AI12" i="8"/>
  <c r="AI13" i="8"/>
  <c r="AI14" i="8"/>
  <c r="AI15" i="8"/>
  <c r="AI46" i="8"/>
  <c r="AI16" i="8"/>
  <c r="AI47" i="8"/>
  <c r="AI17" i="8"/>
  <c r="AI18" i="8"/>
  <c r="AI19" i="8"/>
  <c r="AI67" i="8"/>
  <c r="AI20" i="8"/>
  <c r="AI81" i="8"/>
  <c r="AI48" i="8"/>
  <c r="AI49" i="8"/>
  <c r="AI50" i="8"/>
  <c r="AI91" i="8"/>
  <c r="AI68" i="8"/>
  <c r="AI51" i="8"/>
  <c r="AI92" i="8"/>
  <c r="AI21" i="8"/>
  <c r="AI93" i="8"/>
  <c r="AI69" i="8"/>
  <c r="AI52" i="8"/>
  <c r="AI22" i="8"/>
  <c r="AI70" i="8"/>
  <c r="AI82" i="8"/>
  <c r="AI23" i="8"/>
  <c r="AI53" i="8"/>
  <c r="AI83" i="8"/>
  <c r="AI94" i="8"/>
  <c r="AI24" i="8"/>
  <c r="AI25" i="8"/>
  <c r="AI84" i="8"/>
  <c r="AI26" i="8"/>
  <c r="AI71" i="8"/>
  <c r="AI95" i="8"/>
  <c r="AI96" i="8"/>
  <c r="AI27" i="8"/>
  <c r="AI28" i="8"/>
  <c r="AI54" i="8"/>
  <c r="AI55" i="8"/>
  <c r="AI29" i="8"/>
  <c r="AI30" i="8"/>
  <c r="AI31" i="8"/>
  <c r="AI32" i="8"/>
  <c r="AI72" i="8"/>
  <c r="AI97" i="8"/>
  <c r="AI98" i="8"/>
  <c r="AI73" i="8"/>
  <c r="AI99" i="8"/>
  <c r="AI33" i="8"/>
  <c r="AI34" i="8"/>
  <c r="AI35" i="8"/>
  <c r="AI36" i="8"/>
  <c r="AI100" i="8"/>
  <c r="AI101" i="8"/>
  <c r="AI74" i="8"/>
  <c r="AI102" i="8"/>
  <c r="AI37" i="8"/>
  <c r="AI38" i="8"/>
  <c r="AI39" i="8"/>
  <c r="AI40" i="8"/>
  <c r="AI56" i="8"/>
  <c r="AI57" i="8"/>
  <c r="AI58" i="8"/>
  <c r="AI59" i="8"/>
  <c r="Q71" i="8"/>
  <c r="AF71" i="8" s="1"/>
  <c r="P71" i="8"/>
  <c r="AE71" i="8" s="1"/>
  <c r="O71" i="8"/>
  <c r="AD71" i="8" s="1"/>
  <c r="BH72" i="9" l="1"/>
  <c r="BA53" i="9"/>
  <c r="BK53" i="9" s="1"/>
  <c r="AX38" i="9"/>
  <c r="BO49" i="9"/>
  <c r="BM30" i="9"/>
  <c r="BI93" i="9"/>
  <c r="AY40" i="9"/>
  <c r="BI40" i="9" s="1"/>
  <c r="BN32" i="9"/>
  <c r="BK67" i="9"/>
  <c r="BA83" i="9"/>
  <c r="BN61" i="9"/>
  <c r="BI74" i="9"/>
  <c r="BH50" i="9"/>
  <c r="BI97" i="9"/>
  <c r="AX48" i="9"/>
  <c r="BI63" i="9"/>
  <c r="BK97" i="9"/>
  <c r="BI66" i="9"/>
  <c r="BA17" i="9"/>
  <c r="BK17" i="9" s="1"/>
  <c r="BP73" i="9"/>
  <c r="BH24" i="9"/>
  <c r="BJ31" i="9"/>
  <c r="BL89" i="9"/>
  <c r="AZ57" i="9"/>
  <c r="BJ57" i="9" s="1"/>
  <c r="AX12" i="9"/>
  <c r="BJ86" i="9"/>
  <c r="BK61" i="9"/>
  <c r="BK13" i="9"/>
  <c r="BK50" i="9"/>
  <c r="BJ97" i="9"/>
  <c r="BK24" i="9"/>
  <c r="BH93" i="9"/>
  <c r="BK72" i="9"/>
  <c r="AZ77" i="9"/>
  <c r="BJ77" i="9" s="1"/>
  <c r="BH97" i="9"/>
  <c r="AY45" i="9"/>
  <c r="BI45" i="9" s="1"/>
  <c r="BL73" i="9"/>
  <c r="BP10" i="9"/>
  <c r="BM93" i="9"/>
  <c r="AZ58" i="9"/>
  <c r="BA11" i="9"/>
  <c r="AX79" i="9"/>
  <c r="BL79" i="9"/>
  <c r="BJ46" i="9"/>
  <c r="BG35" i="9"/>
  <c r="BJ63" i="9"/>
  <c r="BH38" i="9"/>
  <c r="AW25" i="9"/>
  <c r="BG25" i="9" s="1"/>
  <c r="BK54" i="9"/>
  <c r="BJ11" i="9"/>
  <c r="BH48" i="9"/>
  <c r="AW40" i="9"/>
  <c r="BG40" i="9" s="1"/>
  <c r="BH66" i="9"/>
  <c r="BL70" i="9"/>
  <c r="BL58" i="9"/>
  <c r="BG13" i="9"/>
  <c r="BI31" i="9"/>
  <c r="BK46" i="9"/>
  <c r="BH83" i="9"/>
  <c r="BG86" i="9"/>
  <c r="AZ29" i="9"/>
  <c r="BJ29" i="9" s="1"/>
  <c r="BH61" i="9"/>
  <c r="AY64" i="9"/>
  <c r="BI64" i="9" s="1"/>
  <c r="AY55" i="9"/>
  <c r="BI55" i="9" s="1"/>
  <c r="BL32" i="9"/>
  <c r="AW52" i="9"/>
  <c r="BG52" i="9" s="1"/>
  <c r="BP19" i="9"/>
  <c r="BO10" i="9"/>
  <c r="BK11" i="9"/>
  <c r="BN74" i="9"/>
  <c r="BH67" i="9"/>
  <c r="BI25" i="9"/>
  <c r="BK18" i="9"/>
  <c r="AZ68" i="9"/>
  <c r="BJ68" i="9" s="1"/>
  <c r="BO60" i="9"/>
  <c r="BN57" i="9"/>
  <c r="BO65" i="9"/>
  <c r="BH79" i="9"/>
  <c r="BO93" i="9"/>
  <c r="BJ90" i="9"/>
  <c r="BM51" i="9"/>
  <c r="AX37" i="9"/>
  <c r="BH37" i="9" s="1"/>
  <c r="BN82" i="9"/>
  <c r="BP94" i="9"/>
  <c r="BP37" i="9"/>
  <c r="AY90" i="9"/>
  <c r="BI90" i="9" s="1"/>
  <c r="BI79" i="9"/>
  <c r="BA88" i="9"/>
  <c r="BK88" i="9" s="1"/>
  <c r="BP47" i="9"/>
  <c r="BA47" i="9"/>
  <c r="BK47" i="9" s="1"/>
  <c r="BP69" i="9"/>
  <c r="BM78" i="9"/>
  <c r="BH18" i="9"/>
  <c r="BK39" i="9"/>
  <c r="AZ25" i="9"/>
  <c r="BJ25" i="9" s="1"/>
  <c r="AY62" i="9"/>
  <c r="BI62" i="9" s="1"/>
  <c r="AZ96" i="9"/>
  <c r="BJ96" i="9" s="1"/>
  <c r="AX42" i="9"/>
  <c r="BH42" i="9" s="1"/>
  <c r="BG50" i="9"/>
  <c r="BJ87" i="9"/>
  <c r="BI39" i="9"/>
  <c r="BK66" i="9"/>
  <c r="BH90" i="9"/>
  <c r="BI91" i="9"/>
  <c r="BN25" i="9"/>
  <c r="AY58" i="9"/>
  <c r="BI58" i="9" s="1"/>
  <c r="BG39" i="9"/>
  <c r="BK87" i="9"/>
  <c r="BA78" i="9"/>
  <c r="BK78" i="9" s="1"/>
  <c r="BO21" i="9"/>
  <c r="BN89" i="9"/>
  <c r="BP49" i="9"/>
  <c r="BM58" i="9"/>
  <c r="BN20" i="9"/>
  <c r="BN52" i="9"/>
  <c r="BP51" i="9"/>
  <c r="AX19" i="9"/>
  <c r="BH19" i="9" s="1"/>
  <c r="BK79" i="9"/>
  <c r="BK83" i="9"/>
  <c r="BK93" i="9"/>
  <c r="BJ83" i="9"/>
  <c r="AY54" i="9"/>
  <c r="BI54" i="9" s="1"/>
  <c r="BN54" i="9"/>
  <c r="BN10" i="9"/>
  <c r="BP82" i="9"/>
  <c r="BP12" i="9"/>
  <c r="BL20" i="9"/>
  <c r="BJ58" i="9"/>
  <c r="BL62" i="9"/>
  <c r="AZ33" i="9"/>
  <c r="BJ33" i="9" s="1"/>
  <c r="AX28" i="9"/>
  <c r="BH28" i="9" s="1"/>
  <c r="AZ75" i="9"/>
  <c r="BJ75" i="9" s="1"/>
  <c r="BA30" i="9"/>
  <c r="BK30" i="9" s="1"/>
  <c r="BO76" i="9"/>
  <c r="BO42" i="9"/>
  <c r="BL75" i="9"/>
  <c r="BO16" i="9"/>
  <c r="BN51" i="9"/>
  <c r="AW98" i="9"/>
  <c r="BG98" i="9" s="1"/>
  <c r="BA96" i="9"/>
  <c r="BO20" i="9"/>
  <c r="AX75" i="9"/>
  <c r="BH75" i="9" s="1"/>
  <c r="BM94" i="9"/>
  <c r="AX39" i="9"/>
  <c r="BH39" i="9" s="1"/>
  <c r="BN80" i="9"/>
  <c r="BL65" i="9"/>
  <c r="BN34" i="9"/>
  <c r="BM20" i="9"/>
  <c r="BP28" i="9"/>
  <c r="BP32" i="9"/>
  <c r="BG79" i="9"/>
  <c r="BM90" i="9"/>
  <c r="AZ72" i="9"/>
  <c r="BJ72" i="9" s="1"/>
  <c r="AZ69" i="9"/>
  <c r="BJ69" i="9" s="1"/>
  <c r="BL60" i="9"/>
  <c r="BL30" i="9"/>
  <c r="BM88" i="9"/>
  <c r="AX88" i="9"/>
  <c r="BH88" i="9" s="1"/>
  <c r="BL22" i="9"/>
  <c r="BA65" i="9"/>
  <c r="BK65" i="9" s="1"/>
  <c r="AY49" i="9"/>
  <c r="BI49" i="9" s="1"/>
  <c r="BM32" i="9"/>
  <c r="BI47" i="9"/>
  <c r="BL69" i="9"/>
  <c r="BP16" i="9"/>
  <c r="BO98" i="9"/>
  <c r="AZ50" i="9"/>
  <c r="BJ50" i="9" s="1"/>
  <c r="BI51" i="9"/>
  <c r="BJ52" i="9"/>
  <c r="BH52" i="9"/>
  <c r="BM52" i="9"/>
  <c r="BP64" i="9"/>
  <c r="BM85" i="9"/>
  <c r="AW82" i="9"/>
  <c r="BG82" i="9" s="1"/>
  <c r="BA7" i="9"/>
  <c r="AZ12" i="9"/>
  <c r="BJ12" i="9" s="1"/>
  <c r="BA45" i="9"/>
  <c r="BK45" i="9" s="1"/>
  <c r="AW51" i="9"/>
  <c r="BG51" i="9" s="1"/>
  <c r="AX92" i="9"/>
  <c r="BH92" i="9" s="1"/>
  <c r="BO32" i="9"/>
  <c r="BA58" i="9"/>
  <c r="BK58" i="9" s="1"/>
  <c r="BP89" i="9"/>
  <c r="BP92" i="9"/>
  <c r="AX69" i="9"/>
  <c r="BH69" i="9" s="1"/>
  <c r="AZ45" i="9"/>
  <c r="BJ45" i="9" s="1"/>
  <c r="BP80" i="9"/>
  <c r="BO51" i="9"/>
  <c r="AX65" i="9"/>
  <c r="BH65" i="9" s="1"/>
  <c r="AX49" i="9"/>
  <c r="BH49" i="9" s="1"/>
  <c r="AW92" i="9"/>
  <c r="BG92" i="9" s="1"/>
  <c r="BA34" i="9"/>
  <c r="BK34" i="9" s="1"/>
  <c r="AZ28" i="9"/>
  <c r="BJ28" i="9" s="1"/>
  <c r="BK64" i="9"/>
  <c r="BL55" i="9"/>
  <c r="BG20" i="9"/>
  <c r="AZ85" i="9"/>
  <c r="BJ85" i="9" s="1"/>
  <c r="AW21" i="9"/>
  <c r="BG21" i="9" s="1"/>
  <c r="AY60" i="9"/>
  <c r="BI60" i="9" s="1"/>
  <c r="BJ60" i="9"/>
  <c r="AY76" i="9"/>
  <c r="BI76" i="9" s="1"/>
  <c r="BJ59" i="9"/>
  <c r="AX34" i="9"/>
  <c r="BH34" i="9" s="1"/>
  <c r="BH20" i="9"/>
  <c r="AZ89" i="9"/>
  <c r="BJ89" i="9" s="1"/>
  <c r="BN96" i="9"/>
  <c r="AZ34" i="9"/>
  <c r="BJ34" i="9" s="1"/>
  <c r="BP85" i="9"/>
  <c r="BG58" i="9"/>
  <c r="BJ91" i="9"/>
  <c r="BG74" i="9"/>
  <c r="AZ79" i="9"/>
  <c r="BJ79" i="9" s="1"/>
  <c r="BG12" i="9"/>
  <c r="BI89" i="9"/>
  <c r="BK89" i="9"/>
  <c r="BK10" i="9"/>
  <c r="BK82" i="9"/>
  <c r="BA55" i="9"/>
  <c r="AZ55" i="9"/>
  <c r="BJ55" i="9" s="1"/>
  <c r="BI57" i="9"/>
  <c r="BA60" i="9"/>
  <c r="BK60" i="9" s="1"/>
  <c r="AX73" i="9"/>
  <c r="BN98" i="9"/>
  <c r="BL45" i="9"/>
  <c r="BK73" i="9"/>
  <c r="BA42" i="9"/>
  <c r="BK42" i="9" s="1"/>
  <c r="AX62" i="9"/>
  <c r="BH62" i="9" s="1"/>
  <c r="AW85" i="9"/>
  <c r="BG85" i="9" s="1"/>
  <c r="BK21" i="9"/>
  <c r="AX21" i="9"/>
  <c r="AW80" i="9"/>
  <c r="BG80" i="9" s="1"/>
  <c r="BN78" i="9"/>
  <c r="BP52" i="9"/>
  <c r="BA77" i="9"/>
  <c r="BK77" i="9" s="1"/>
  <c r="BL12" i="9"/>
  <c r="AW37" i="9"/>
  <c r="BG37" i="9" s="1"/>
  <c r="BP40" i="9"/>
  <c r="BM16" i="9"/>
  <c r="AW28" i="9"/>
  <c r="BG28" i="9" s="1"/>
  <c r="BG32" i="9"/>
  <c r="AZ94" i="9"/>
  <c r="BJ94" i="9" s="1"/>
  <c r="BP59" i="9"/>
  <c r="BH45" i="9"/>
  <c r="AY83" i="9"/>
  <c r="BI83" i="9" s="1"/>
  <c r="BJ93" i="9"/>
  <c r="BK80" i="9"/>
  <c r="BH60" i="9"/>
  <c r="BK7" i="9"/>
  <c r="BG7" i="9"/>
  <c r="BG59" i="9"/>
  <c r="BO73" i="9"/>
  <c r="AY22" i="9"/>
  <c r="BI22" i="9" s="1"/>
  <c r="BJ10" i="9"/>
  <c r="BJ98" i="9"/>
  <c r="AZ30" i="9"/>
  <c r="BJ92" i="9"/>
  <c r="BL96" i="9"/>
  <c r="BK37" i="9"/>
  <c r="AY28" i="9"/>
  <c r="BI28" i="9" s="1"/>
  <c r="BM59" i="9"/>
  <c r="AY75" i="9"/>
  <c r="BI75" i="9" s="1"/>
  <c r="AY19" i="9"/>
  <c r="BI19" i="9" s="1"/>
  <c r="BJ16" i="9"/>
  <c r="BN16" i="9"/>
  <c r="BL77" i="9"/>
  <c r="BG57" i="9"/>
  <c r="AZ70" i="9"/>
  <c r="BJ70" i="9" s="1"/>
  <c r="BA70" i="9"/>
  <c r="BK70" i="9" s="1"/>
  <c r="BN21" i="9"/>
  <c r="BP57" i="9"/>
  <c r="AY70" i="9"/>
  <c r="BI70" i="9" s="1"/>
  <c r="BH70" i="9"/>
  <c r="BI34" i="9"/>
  <c r="BL64" i="9"/>
  <c r="BJ32" i="9"/>
  <c r="AY94" i="9"/>
  <c r="BI94" i="9" s="1"/>
  <c r="BI85" i="9"/>
  <c r="AX82" i="9"/>
  <c r="BH82" i="9" s="1"/>
  <c r="BN12" i="9"/>
  <c r="AX80" i="9"/>
  <c r="BH80" i="9" s="1"/>
  <c r="BK51" i="9"/>
  <c r="AX22" i="9"/>
  <c r="BH22" i="9" s="1"/>
  <c r="BJ22" i="9"/>
  <c r="BP98" i="9"/>
  <c r="BO37" i="9"/>
  <c r="BJ40" i="9"/>
  <c r="AX55" i="9"/>
  <c r="BH55" i="9" s="1"/>
  <c r="BI32" i="9"/>
  <c r="BH85" i="9"/>
  <c r="BO80" i="9"/>
  <c r="BI80" i="9"/>
  <c r="BI59" i="9"/>
  <c r="BL19" i="9"/>
  <c r="BI73" i="9"/>
  <c r="BP62" i="9"/>
  <c r="BP22" i="9"/>
  <c r="BI92" i="9"/>
  <c r="BL15" i="9"/>
  <c r="BO40" i="9"/>
  <c r="BL59" i="9"/>
  <c r="BP75" i="9"/>
  <c r="AW16" i="9"/>
  <c r="BN77" i="9"/>
  <c r="BH57" i="9"/>
  <c r="BI12" i="9"/>
  <c r="BK12" i="9"/>
  <c r="BM60" i="9"/>
  <c r="BG89" i="9"/>
  <c r="BG30" i="9"/>
  <c r="BP15" i="9"/>
  <c r="BI77" i="9"/>
  <c r="BG45" i="9"/>
  <c r="BG70" i="9"/>
  <c r="BH58" i="9"/>
  <c r="BK92" i="9"/>
  <c r="BL76" i="9"/>
  <c r="BJ19" i="9"/>
  <c r="BJ73" i="9"/>
  <c r="BJ65" i="9"/>
  <c r="BM40" i="9"/>
  <c r="BG19" i="9"/>
  <c r="AX77" i="9"/>
  <c r="BH77" i="9" s="1"/>
  <c r="BJ51" i="9"/>
  <c r="BH73" i="9"/>
  <c r="BM10" i="9"/>
  <c r="BH30" i="9"/>
  <c r="BK16" i="9"/>
  <c r="BJ78" i="9"/>
  <c r="BJ62" i="9"/>
  <c r="BI10" i="9"/>
  <c r="AX96" i="9"/>
  <c r="BH96" i="9" s="1"/>
  <c r="AX64" i="9"/>
  <c r="BH64" i="9" s="1"/>
  <c r="AW42" i="9"/>
  <c r="BK94" i="9"/>
  <c r="BO78" i="9"/>
  <c r="BK15" i="9"/>
  <c r="BL57" i="9"/>
  <c r="BH51" i="9"/>
  <c r="BG73" i="9"/>
  <c r="BG62" i="9"/>
  <c r="BL10" i="9"/>
  <c r="BI65" i="9"/>
  <c r="BL49" i="9"/>
  <c r="AX98" i="9"/>
  <c r="BH98" i="9" s="1"/>
  <c r="AY30" i="9"/>
  <c r="BM15" i="9"/>
  <c r="BJ37" i="9"/>
  <c r="BK28" i="9"/>
  <c r="BN59" i="9"/>
  <c r="BG55" i="9"/>
  <c r="BH32" i="9"/>
  <c r="BK19" i="9"/>
  <c r="BG16" i="9"/>
  <c r="BN85" i="9"/>
  <c r="BJ21" i="9"/>
  <c r="BI52" i="9"/>
  <c r="BK52" i="9"/>
  <c r="BK57" i="9"/>
  <c r="BI82" i="9"/>
  <c r="BH12" i="9"/>
  <c r="BG96" i="9"/>
  <c r="BI78" i="9"/>
  <c r="BG34" i="9"/>
  <c r="BG64" i="9"/>
  <c r="BH59" i="9"/>
  <c r="BP20" i="9"/>
  <c r="BH76" i="9"/>
  <c r="BK20" i="9"/>
  <c r="BG10" i="9"/>
  <c r="BG22" i="9"/>
  <c r="BK49" i="9"/>
  <c r="BI98" i="9"/>
  <c r="BG69" i="9"/>
  <c r="BI20" i="9"/>
  <c r="BK32" i="9"/>
  <c r="BH16" i="9"/>
  <c r="BH94" i="9"/>
  <c r="BJ80" i="9"/>
  <c r="BN73" i="9"/>
  <c r="BH78" i="9"/>
  <c r="BA22" i="9"/>
  <c r="AX10" i="9"/>
  <c r="BN65" i="9"/>
  <c r="AY15" i="9"/>
  <c r="BN15" i="9"/>
  <c r="BK40" i="9"/>
  <c r="AY42" i="9"/>
  <c r="BJ20" i="9"/>
  <c r="AZ7" i="9"/>
  <c r="BM70" i="9"/>
  <c r="BJ82" i="9"/>
  <c r="AX7" i="9"/>
  <c r="AW78" i="9"/>
  <c r="BG78" i="9" s="1"/>
  <c r="BI96" i="9"/>
  <c r="AX15" i="9"/>
  <c r="BH15" i="9" s="1"/>
  <c r="BK76" i="9"/>
  <c r="AY37" i="9"/>
  <c r="BI37" i="9" s="1"/>
  <c r="AY69" i="9"/>
  <c r="BI69" i="9" s="1"/>
  <c r="BK55" i="9"/>
  <c r="BI21" i="9"/>
  <c r="BG77" i="9"/>
  <c r="BL7" i="9"/>
  <c r="BK62" i="9"/>
  <c r="BG65" i="9"/>
  <c r="BJ49" i="9"/>
  <c r="BG49" i="9"/>
  <c r="BK96" i="9"/>
  <c r="AZ15" i="9"/>
  <c r="BK59" i="9"/>
  <c r="BJ42" i="9"/>
  <c r="BK75" i="9"/>
  <c r="BK85" i="9"/>
  <c r="BG94" i="9"/>
  <c r="BK98" i="9"/>
  <c r="BI30" i="9"/>
  <c r="BG15" i="9"/>
  <c r="BJ76" i="9"/>
  <c r="BG76" i="9"/>
  <c r="AZ64" i="9"/>
  <c r="BJ64" i="9" s="1"/>
  <c r="BG60" i="9"/>
  <c r="BI7" i="9"/>
  <c r="BN7" i="9"/>
  <c r="BH89" i="9"/>
  <c r="BK69" i="9"/>
  <c r="BH40" i="9"/>
  <c r="BI42" i="9"/>
  <c r="BG75" i="9"/>
  <c r="BI16" i="9"/>
  <c r="AH79" i="8"/>
  <c r="AL79" i="8"/>
  <c r="AH7" i="8"/>
  <c r="AL7" i="8"/>
  <c r="AH43" i="8"/>
  <c r="AL43" i="8"/>
  <c r="AH8" i="8"/>
  <c r="AL8" i="8"/>
  <c r="AH9" i="8"/>
  <c r="AL9" i="8"/>
  <c r="AH87" i="8"/>
  <c r="AL87" i="8"/>
  <c r="AH10" i="8"/>
  <c r="AL10" i="8"/>
  <c r="AH44" i="8"/>
  <c r="AL44" i="8"/>
  <c r="AH64" i="8"/>
  <c r="AL64" i="8"/>
  <c r="AH88" i="8"/>
  <c r="AL88" i="8"/>
  <c r="AH89" i="8"/>
  <c r="AL89" i="8"/>
  <c r="AH45" i="8"/>
  <c r="AL45" i="8"/>
  <c r="AH65" i="8"/>
  <c r="AL65" i="8"/>
  <c r="AH90" i="8"/>
  <c r="AL90" i="8"/>
  <c r="AH80" i="8"/>
  <c r="AL80" i="8"/>
  <c r="AH66" i="8"/>
  <c r="AL66" i="8"/>
  <c r="AH11" i="8"/>
  <c r="AL11" i="8"/>
  <c r="AH12" i="8"/>
  <c r="AL12" i="8"/>
  <c r="AH13" i="8"/>
  <c r="AL13" i="8"/>
  <c r="AH14" i="8"/>
  <c r="AL14" i="8"/>
  <c r="AH15" i="8"/>
  <c r="AL15" i="8"/>
  <c r="AH46" i="8"/>
  <c r="AL46" i="8"/>
  <c r="AH16" i="8"/>
  <c r="AL16" i="8"/>
  <c r="AH47" i="8"/>
  <c r="AL47" i="8"/>
  <c r="AH17" i="8"/>
  <c r="AL17" i="8"/>
  <c r="AH18" i="8"/>
  <c r="AL18" i="8"/>
  <c r="AH19" i="8"/>
  <c r="AL19" i="8"/>
  <c r="AH67" i="8"/>
  <c r="AL67" i="8"/>
  <c r="AH20" i="8"/>
  <c r="AL20" i="8"/>
  <c r="AH81" i="8"/>
  <c r="AL81" i="8"/>
  <c r="AH48" i="8"/>
  <c r="AL48" i="8"/>
  <c r="AH49" i="8"/>
  <c r="AL49" i="8"/>
  <c r="AH50" i="8"/>
  <c r="AL50" i="8"/>
  <c r="AH91" i="8"/>
  <c r="AL91" i="8"/>
  <c r="AH68" i="8"/>
  <c r="AL68" i="8"/>
  <c r="AH51" i="8"/>
  <c r="AL51" i="8"/>
  <c r="AH92" i="8"/>
  <c r="AL92" i="8"/>
  <c r="AH21" i="8"/>
  <c r="AL21" i="8"/>
  <c r="AH93" i="8"/>
  <c r="AL93" i="8"/>
  <c r="AH69" i="8"/>
  <c r="AL69" i="8"/>
  <c r="AH52" i="8"/>
  <c r="AL52" i="8"/>
  <c r="AH22" i="8"/>
  <c r="AL22" i="8"/>
  <c r="AH70" i="8"/>
  <c r="AL70" i="8"/>
  <c r="AH82" i="8"/>
  <c r="AL82" i="8"/>
  <c r="AH23" i="8"/>
  <c r="AL23" i="8"/>
  <c r="AH53" i="8"/>
  <c r="AL53" i="8"/>
  <c r="AH83" i="8"/>
  <c r="AL83" i="8"/>
  <c r="AH94" i="8"/>
  <c r="AL94" i="8"/>
  <c r="AH24" i="8"/>
  <c r="AL24" i="8"/>
  <c r="AH25" i="8"/>
  <c r="AL25" i="8"/>
  <c r="AH84" i="8"/>
  <c r="AL84" i="8"/>
  <c r="AH26" i="8"/>
  <c r="AL26" i="8"/>
  <c r="AH71" i="8"/>
  <c r="AL71" i="8"/>
  <c r="AH95" i="8"/>
  <c r="AL95" i="8"/>
  <c r="AH96" i="8"/>
  <c r="AL96" i="8"/>
  <c r="AH27" i="8"/>
  <c r="AL27" i="8"/>
  <c r="AH28" i="8"/>
  <c r="AL28" i="8"/>
  <c r="AH54" i="8"/>
  <c r="AL54" i="8"/>
  <c r="AH55" i="8"/>
  <c r="AL55" i="8"/>
  <c r="AH29" i="8"/>
  <c r="AL29" i="8"/>
  <c r="AH30" i="8"/>
  <c r="AL30" i="8"/>
  <c r="AH31" i="8"/>
  <c r="AL31" i="8"/>
  <c r="AH32" i="8"/>
  <c r="AL32" i="8"/>
  <c r="AH72" i="8"/>
  <c r="AL72" i="8"/>
  <c r="AH97" i="8"/>
  <c r="AL97" i="8"/>
  <c r="AH98" i="8"/>
  <c r="AL98" i="8"/>
  <c r="AH73" i="8"/>
  <c r="AL73" i="8"/>
  <c r="AH99" i="8"/>
  <c r="AL99" i="8"/>
  <c r="AH33" i="8"/>
  <c r="AL33" i="8"/>
  <c r="AH34" i="8"/>
  <c r="AL34" i="8"/>
  <c r="AH35" i="8"/>
  <c r="AL35" i="8"/>
  <c r="AH36" i="8"/>
  <c r="AL36" i="8"/>
  <c r="AH100" i="8"/>
  <c r="AL100" i="8"/>
  <c r="AH101" i="8"/>
  <c r="AL101" i="8"/>
  <c r="AH74" i="8"/>
  <c r="AL74" i="8"/>
  <c r="AH102" i="8"/>
  <c r="AL102" i="8"/>
  <c r="AH37" i="8"/>
  <c r="AL37" i="8"/>
  <c r="AH38" i="8"/>
  <c r="AL38" i="8"/>
  <c r="AH39" i="8"/>
  <c r="AL39" i="8"/>
  <c r="AH40" i="8"/>
  <c r="AL40" i="8"/>
  <c r="AH56" i="8"/>
  <c r="AL56" i="8"/>
  <c r="AH57" i="8"/>
  <c r="AL57" i="8"/>
  <c r="AH58" i="8"/>
  <c r="AL58" i="8"/>
  <c r="AH59" i="8"/>
  <c r="AL59" i="8"/>
  <c r="I10" i="8"/>
  <c r="I44" i="8"/>
  <c r="I64" i="8"/>
  <c r="I88" i="8"/>
  <c r="I89" i="8"/>
  <c r="I45" i="8"/>
  <c r="I65" i="8"/>
  <c r="I90" i="8"/>
  <c r="I80" i="8"/>
  <c r="I66" i="8"/>
  <c r="I11" i="8"/>
  <c r="I12" i="8"/>
  <c r="I13" i="8"/>
  <c r="I14" i="8"/>
  <c r="I15" i="8"/>
  <c r="I46" i="8"/>
  <c r="I16" i="8"/>
  <c r="I47" i="8"/>
  <c r="I17" i="8"/>
  <c r="I18" i="8"/>
  <c r="I19" i="8"/>
  <c r="I67" i="8"/>
  <c r="I20" i="8"/>
  <c r="I81" i="8"/>
  <c r="I48" i="8"/>
  <c r="I49" i="8"/>
  <c r="I50" i="8"/>
  <c r="I91" i="8"/>
  <c r="I68" i="8"/>
  <c r="I51" i="8"/>
  <c r="I92" i="8"/>
  <c r="I21" i="8"/>
  <c r="I93" i="8"/>
  <c r="I69" i="8"/>
  <c r="I52" i="8"/>
  <c r="I22" i="8"/>
  <c r="I70" i="8"/>
  <c r="I82" i="8"/>
  <c r="I23" i="8"/>
  <c r="I53" i="8"/>
  <c r="I83" i="8"/>
  <c r="I94" i="8"/>
  <c r="I24" i="8"/>
  <c r="I25" i="8"/>
  <c r="I84" i="8"/>
  <c r="I26" i="8"/>
  <c r="I71" i="8"/>
  <c r="I95" i="8"/>
  <c r="I96" i="8"/>
  <c r="I27" i="8"/>
  <c r="I28" i="8"/>
  <c r="I54" i="8"/>
  <c r="I55" i="8"/>
  <c r="I29" i="8"/>
  <c r="I30" i="8"/>
  <c r="I31" i="8"/>
  <c r="I32" i="8"/>
  <c r="I72" i="8"/>
  <c r="I97" i="8"/>
  <c r="I98" i="8"/>
  <c r="I73" i="8"/>
  <c r="I99" i="8"/>
  <c r="I33" i="8"/>
  <c r="I34" i="8"/>
  <c r="I35" i="8"/>
  <c r="I36" i="8"/>
  <c r="I100" i="8"/>
  <c r="I101" i="8"/>
  <c r="I74" i="8"/>
  <c r="I102" i="8"/>
  <c r="I37" i="8"/>
  <c r="I38" i="8"/>
  <c r="I39" i="8"/>
  <c r="I40" i="8"/>
  <c r="I56" i="8"/>
  <c r="I57" i="8"/>
  <c r="I58" i="8"/>
  <c r="I59" i="8"/>
  <c r="I6" i="8"/>
  <c r="I78" i="8"/>
  <c r="I62" i="8"/>
  <c r="I63" i="8"/>
  <c r="I79" i="8"/>
  <c r="I7" i="8"/>
  <c r="I43" i="8"/>
  <c r="I8" i="8"/>
  <c r="I9" i="8"/>
  <c r="I87" i="8"/>
  <c r="AH6" i="8"/>
  <c r="AL6" i="8"/>
  <c r="AH62" i="8"/>
  <c r="AL62" i="8"/>
  <c r="AH63" i="8"/>
  <c r="AL63" i="8"/>
  <c r="N57" i="8"/>
  <c r="AT71" i="8"/>
  <c r="N31" i="8"/>
  <c r="R31" i="8"/>
  <c r="R97" i="8"/>
  <c r="N98" i="8"/>
  <c r="N21" i="8"/>
  <c r="R21" i="8"/>
  <c r="R10" i="8"/>
  <c r="R62" i="8"/>
  <c r="N62" i="8"/>
  <c r="R95" i="8"/>
  <c r="N54" i="8"/>
  <c r="R55" i="8"/>
  <c r="BK22" i="9" l="1"/>
  <c r="BH21" i="9"/>
  <c r="BI15" i="9"/>
  <c r="BJ15" i="9"/>
  <c r="BJ30" i="9"/>
  <c r="BG42" i="9"/>
  <c r="BJ7" i="9"/>
  <c r="BH7" i="9"/>
  <c r="BH10" i="9"/>
  <c r="Z82" i="8"/>
  <c r="T82" i="8"/>
  <c r="S82" i="8"/>
  <c r="AR82" i="8" s="1"/>
  <c r="BL82" i="8" s="1"/>
  <c r="AA82" i="8"/>
  <c r="U82" i="8"/>
  <c r="P82" i="8"/>
  <c r="X82" i="8"/>
  <c r="AB82" i="8"/>
  <c r="V82" i="8"/>
  <c r="Y82" i="8"/>
  <c r="W82" i="8"/>
  <c r="AV82" i="8" s="1"/>
  <c r="BA82" i="8" s="1"/>
  <c r="Q82" i="8"/>
  <c r="BE82" i="8" s="1"/>
  <c r="O82" i="8"/>
  <c r="AA58" i="8"/>
  <c r="V58" i="8"/>
  <c r="S58" i="8"/>
  <c r="AR58" i="8" s="1"/>
  <c r="AW58" i="8" s="1"/>
  <c r="X58" i="8"/>
  <c r="AB58" i="8"/>
  <c r="W58" i="8"/>
  <c r="AV58" i="8" s="1"/>
  <c r="Y58" i="8"/>
  <c r="T58" i="8"/>
  <c r="AS58" i="8" s="1"/>
  <c r="O58" i="8"/>
  <c r="Z58" i="8"/>
  <c r="U58" i="8"/>
  <c r="P58" i="8"/>
  <c r="Q58" i="8"/>
  <c r="Z56" i="8"/>
  <c r="T56" i="8"/>
  <c r="AB56" i="8"/>
  <c r="V56" i="8"/>
  <c r="AU56" i="8" s="1"/>
  <c r="W56" i="8"/>
  <c r="AV56" i="8" s="1"/>
  <c r="BP56" i="8" s="1"/>
  <c r="Q56" i="8"/>
  <c r="O56" i="8"/>
  <c r="AA56" i="8"/>
  <c r="U56" i="8"/>
  <c r="AT56" i="8" s="1"/>
  <c r="X56" i="8"/>
  <c r="S56" i="8"/>
  <c r="Y56" i="8"/>
  <c r="P56" i="8"/>
  <c r="AE56" i="8" s="1"/>
  <c r="X59" i="8"/>
  <c r="AB59" i="8"/>
  <c r="W59" i="8"/>
  <c r="P59" i="8"/>
  <c r="Y59" i="8"/>
  <c r="T59" i="8"/>
  <c r="S59" i="8"/>
  <c r="O59" i="8"/>
  <c r="Z59" i="8"/>
  <c r="U59" i="8"/>
  <c r="AA59" i="8"/>
  <c r="V59" i="8"/>
  <c r="Q59" i="8"/>
  <c r="BB57" i="8"/>
  <c r="AA57" i="8"/>
  <c r="T57" i="8"/>
  <c r="P57" i="8"/>
  <c r="BD57" i="8" s="1"/>
  <c r="AB57" i="8"/>
  <c r="V57" i="8"/>
  <c r="AU57" i="8" s="1"/>
  <c r="AZ57" i="8" s="1"/>
  <c r="Q57" i="8"/>
  <c r="Z57" i="8"/>
  <c r="W57" i="8"/>
  <c r="S57" i="8"/>
  <c r="X57" i="8"/>
  <c r="AC57" i="8" s="1"/>
  <c r="U57" i="8"/>
  <c r="Y57" i="8"/>
  <c r="O57" i="8"/>
  <c r="AA39" i="8"/>
  <c r="V39" i="8"/>
  <c r="S39" i="8"/>
  <c r="Q39" i="8"/>
  <c r="X39" i="8"/>
  <c r="W39" i="8"/>
  <c r="AV39" i="8" s="1"/>
  <c r="BA39" i="8" s="1"/>
  <c r="Y39" i="8"/>
  <c r="Z39" i="8"/>
  <c r="U39" i="8"/>
  <c r="P39" i="8"/>
  <c r="AE39" i="8" s="1"/>
  <c r="AB39" i="8"/>
  <c r="T39" i="8"/>
  <c r="AS39" i="8" s="1"/>
  <c r="O39" i="8"/>
  <c r="Y40" i="8"/>
  <c r="T40" i="8"/>
  <c r="AS40" i="8" s="1"/>
  <c r="AX40" i="8" s="1"/>
  <c r="Q40" i="8"/>
  <c r="P40" i="8"/>
  <c r="O40" i="8"/>
  <c r="BC40" i="8" s="1"/>
  <c r="Z40" i="8"/>
  <c r="U40" i="8"/>
  <c r="AA40" i="8"/>
  <c r="V40" i="8"/>
  <c r="X40" i="8"/>
  <c r="AB40" i="8"/>
  <c r="W40" i="8"/>
  <c r="S40" i="8"/>
  <c r="Y101" i="8"/>
  <c r="V101" i="8"/>
  <c r="S101" i="8"/>
  <c r="AR101" i="8" s="1"/>
  <c r="AW101" i="8" s="1"/>
  <c r="O101" i="8"/>
  <c r="Z101" i="8"/>
  <c r="W101" i="8"/>
  <c r="AV101" i="8" s="1"/>
  <c r="BA101" i="8" s="1"/>
  <c r="AA101" i="8"/>
  <c r="T101" i="8"/>
  <c r="Q101" i="8"/>
  <c r="X101" i="8"/>
  <c r="AB101" i="8"/>
  <c r="U101" i="8"/>
  <c r="P101" i="8"/>
  <c r="AA38" i="8"/>
  <c r="T38" i="8"/>
  <c r="AS38" i="8" s="1"/>
  <c r="P38" i="8"/>
  <c r="BD38" i="8" s="1"/>
  <c r="X38" i="8"/>
  <c r="AB38" i="8"/>
  <c r="U38" i="8"/>
  <c r="Y38" i="8"/>
  <c r="BM38" i="8" s="1"/>
  <c r="V38" i="8"/>
  <c r="Q38" i="8"/>
  <c r="O38" i="8"/>
  <c r="Z38" i="8"/>
  <c r="W38" i="8"/>
  <c r="S38" i="8"/>
  <c r="Z37" i="8"/>
  <c r="V37" i="8"/>
  <c r="AU37" i="8" s="1"/>
  <c r="P37" i="8"/>
  <c r="AA37" i="8"/>
  <c r="W37" i="8"/>
  <c r="AV37" i="8" s="1"/>
  <c r="BA37" i="8" s="1"/>
  <c r="S37" i="8"/>
  <c r="AR37" i="8" s="1"/>
  <c r="BL37" i="8" s="1"/>
  <c r="Q37" i="8"/>
  <c r="X37" i="8"/>
  <c r="AB37" i="8"/>
  <c r="T37" i="8"/>
  <c r="AS37" i="8" s="1"/>
  <c r="AX37" i="8" s="1"/>
  <c r="Y37" i="8"/>
  <c r="U37" i="8"/>
  <c r="AT37" i="8" s="1"/>
  <c r="AY37" i="8" s="1"/>
  <c r="O37" i="8"/>
  <c r="BC37" i="8" s="1"/>
  <c r="Y74" i="8"/>
  <c r="T74" i="8"/>
  <c r="AS74" i="8" s="1"/>
  <c r="AX74" i="8" s="1"/>
  <c r="Q74" i="8"/>
  <c r="P74" i="8"/>
  <c r="O74" i="8"/>
  <c r="AB74" i="8"/>
  <c r="W74" i="8"/>
  <c r="S74" i="8"/>
  <c r="AR74" i="8" s="1"/>
  <c r="AW74" i="8" s="1"/>
  <c r="Z74" i="8"/>
  <c r="U74" i="8"/>
  <c r="AA74" i="8"/>
  <c r="V74" i="8"/>
  <c r="X74" i="8"/>
  <c r="Y100" i="8"/>
  <c r="V100" i="8"/>
  <c r="S100" i="8"/>
  <c r="AR100" i="8" s="1"/>
  <c r="AA100" i="8"/>
  <c r="T100" i="8"/>
  <c r="Q100" i="8"/>
  <c r="X100" i="8"/>
  <c r="BL100" i="8" s="1"/>
  <c r="AB100" i="8"/>
  <c r="U100" i="8"/>
  <c r="P100" i="8"/>
  <c r="O100" i="8"/>
  <c r="BC100" i="8" s="1"/>
  <c r="Z100" i="8"/>
  <c r="W100" i="8"/>
  <c r="X73" i="8"/>
  <c r="AB73" i="8"/>
  <c r="Y73" i="8"/>
  <c r="U73" i="8"/>
  <c r="Q73" i="8"/>
  <c r="O73" i="8"/>
  <c r="Z73" i="8"/>
  <c r="V73" i="8"/>
  <c r="S73" i="8"/>
  <c r="AA73" i="8"/>
  <c r="W73" i="8"/>
  <c r="AV73" i="8" s="1"/>
  <c r="BA73" i="8" s="1"/>
  <c r="P73" i="8"/>
  <c r="T73" i="8"/>
  <c r="AA102" i="8"/>
  <c r="V102" i="8"/>
  <c r="S102" i="8"/>
  <c r="Q102" i="8"/>
  <c r="X102" i="8"/>
  <c r="AB102" i="8"/>
  <c r="W102" i="8"/>
  <c r="Y102" i="8"/>
  <c r="T102" i="8"/>
  <c r="AS102" i="8" s="1"/>
  <c r="AX102" i="8" s="1"/>
  <c r="O102" i="8"/>
  <c r="AD102" i="8" s="1"/>
  <c r="Z102" i="8"/>
  <c r="U102" i="8"/>
  <c r="P102" i="8"/>
  <c r="BD102" i="8" s="1"/>
  <c r="Y99" i="8"/>
  <c r="T99" i="8"/>
  <c r="Q99" i="8"/>
  <c r="P99" i="8"/>
  <c r="O99" i="8"/>
  <c r="BC99" i="8" s="1"/>
  <c r="Z99" i="8"/>
  <c r="U99" i="8"/>
  <c r="AA99" i="8"/>
  <c r="V99" i="8"/>
  <c r="X99" i="8"/>
  <c r="AB99" i="8"/>
  <c r="W99" i="8"/>
  <c r="S99" i="8"/>
  <c r="AR99" i="8" s="1"/>
  <c r="AW99" i="8" s="1"/>
  <c r="AA35" i="8"/>
  <c r="V35" i="8"/>
  <c r="Q35" i="8"/>
  <c r="BE35" i="8" s="1"/>
  <c r="X35" i="8"/>
  <c r="AB35" i="8"/>
  <c r="W35" i="8"/>
  <c r="P35" i="8"/>
  <c r="Y35" i="8"/>
  <c r="T35" i="8"/>
  <c r="S35" i="8"/>
  <c r="O35" i="8"/>
  <c r="Z35" i="8"/>
  <c r="U35" i="8"/>
  <c r="Z34" i="8"/>
  <c r="T34" i="8"/>
  <c r="S34" i="8"/>
  <c r="AR34" i="8" s="1"/>
  <c r="AA34" i="8"/>
  <c r="U34" i="8"/>
  <c r="AT34" i="8" s="1"/>
  <c r="P34" i="8"/>
  <c r="AE34" i="8" s="1"/>
  <c r="X34" i="8"/>
  <c r="AB34" i="8"/>
  <c r="V34" i="8"/>
  <c r="Y34" i="8"/>
  <c r="W34" i="8"/>
  <c r="AV34" i="8" s="1"/>
  <c r="Q34" i="8"/>
  <c r="AF34" i="8" s="1"/>
  <c r="O34" i="8"/>
  <c r="AA36" i="8"/>
  <c r="V36" i="8"/>
  <c r="S36" i="8"/>
  <c r="Q36" i="8"/>
  <c r="X36" i="8"/>
  <c r="AB36" i="8"/>
  <c r="W36" i="8"/>
  <c r="Y36" i="8"/>
  <c r="T36" i="8"/>
  <c r="AS36" i="8" s="1"/>
  <c r="AX36" i="8" s="1"/>
  <c r="O36" i="8"/>
  <c r="AD36" i="8" s="1"/>
  <c r="Z36" i="8"/>
  <c r="U36" i="8"/>
  <c r="P36" i="8"/>
  <c r="BD36" i="8" s="1"/>
  <c r="BB31" i="8"/>
  <c r="BF31" i="8"/>
  <c r="Z31" i="8"/>
  <c r="T31" i="8"/>
  <c r="AA31" i="8"/>
  <c r="BO31" i="8" s="1"/>
  <c r="U31" i="8"/>
  <c r="O31" i="8"/>
  <c r="X31" i="8"/>
  <c r="AB31" i="8"/>
  <c r="V31" i="8"/>
  <c r="AU31" i="8" s="1"/>
  <c r="S31" i="8"/>
  <c r="Y31" i="8"/>
  <c r="W31" i="8"/>
  <c r="AV31" i="8" s="1"/>
  <c r="BA31" i="8" s="1"/>
  <c r="Q31" i="8"/>
  <c r="P31" i="8"/>
  <c r="Z33" i="8"/>
  <c r="BN33" i="8" s="1"/>
  <c r="V33" i="8"/>
  <c r="AU33" i="8" s="1"/>
  <c r="BO33" i="8" s="1"/>
  <c r="AA33" i="8"/>
  <c r="W33" i="8"/>
  <c r="Q33" i="8"/>
  <c r="BE33" i="8" s="1"/>
  <c r="X33" i="8"/>
  <c r="AB33" i="8"/>
  <c r="T33" i="8"/>
  <c r="AS33" i="8" s="1"/>
  <c r="P33" i="8"/>
  <c r="BD33" i="8" s="1"/>
  <c r="Y33" i="8"/>
  <c r="BM33" i="8" s="1"/>
  <c r="U33" i="8"/>
  <c r="AT33" i="8" s="1"/>
  <c r="S33" i="8"/>
  <c r="O33" i="8"/>
  <c r="BC33" i="8" s="1"/>
  <c r="AA72" i="8"/>
  <c r="T72" i="8"/>
  <c r="AS72" i="8" s="1"/>
  <c r="P72" i="8"/>
  <c r="X72" i="8"/>
  <c r="AB72" i="8"/>
  <c r="U72" i="8"/>
  <c r="AT72" i="8" s="1"/>
  <c r="Y72" i="8"/>
  <c r="V72" i="8"/>
  <c r="AU72" i="8" s="1"/>
  <c r="AZ72" i="8" s="1"/>
  <c r="Q72" i="8"/>
  <c r="O72" i="8"/>
  <c r="AD72" i="8" s="1"/>
  <c r="Z72" i="8"/>
  <c r="W72" i="8"/>
  <c r="AV72" i="8" s="1"/>
  <c r="S72" i="8"/>
  <c r="AR72" i="8" s="1"/>
  <c r="AW72" i="8" s="1"/>
  <c r="X24" i="8"/>
  <c r="AB24" i="8"/>
  <c r="V24" i="8"/>
  <c r="AU24" i="8" s="1"/>
  <c r="BO24" i="8" s="1"/>
  <c r="T24" i="8"/>
  <c r="AS24" i="8" s="1"/>
  <c r="P24" i="8"/>
  <c r="Q24" i="8"/>
  <c r="Y24" i="8"/>
  <c r="W24" i="8"/>
  <c r="AV24" i="8" s="1"/>
  <c r="BA24" i="8" s="1"/>
  <c r="O24" i="8"/>
  <c r="Z24" i="8"/>
  <c r="AA24" i="8"/>
  <c r="U24" i="8"/>
  <c r="AT24" i="8" s="1"/>
  <c r="S24" i="8"/>
  <c r="BB21" i="8"/>
  <c r="BF21" i="8"/>
  <c r="X21" i="8"/>
  <c r="AC21" i="8" s="1"/>
  <c r="AB21" i="8"/>
  <c r="T21" i="8"/>
  <c r="S21" i="8"/>
  <c r="Y21" i="8"/>
  <c r="U21" i="8"/>
  <c r="Q21" i="8"/>
  <c r="O21" i="8"/>
  <c r="BC21" i="8" s="1"/>
  <c r="Z21" i="8"/>
  <c r="V21" i="8"/>
  <c r="AU21" i="8" s="1"/>
  <c r="AA21" i="8"/>
  <c r="W21" i="8"/>
  <c r="AG21" i="8" s="1"/>
  <c r="P21" i="8"/>
  <c r="AE21" i="8" s="1"/>
  <c r="BF55" i="8"/>
  <c r="AA55" i="8"/>
  <c r="V55" i="8"/>
  <c r="AU55" i="8" s="1"/>
  <c r="AZ55" i="8" s="1"/>
  <c r="Q55" i="8"/>
  <c r="BE55" i="8" s="1"/>
  <c r="X55" i="8"/>
  <c r="AB55" i="8"/>
  <c r="W55" i="8"/>
  <c r="AG55" i="8" s="1"/>
  <c r="P55" i="8"/>
  <c r="Y55" i="8"/>
  <c r="T55" i="8"/>
  <c r="S55" i="8"/>
  <c r="AR55" i="8" s="1"/>
  <c r="O55" i="8"/>
  <c r="BC55" i="8" s="1"/>
  <c r="Z55" i="8"/>
  <c r="U55" i="8"/>
  <c r="AT55" i="8" s="1"/>
  <c r="AY55" i="8" s="1"/>
  <c r="X32" i="8"/>
  <c r="AB32" i="8"/>
  <c r="T32" i="8"/>
  <c r="Z32" i="8"/>
  <c r="V32" i="8"/>
  <c r="AU32" i="8" s="1"/>
  <c r="AZ32" i="8" s="1"/>
  <c r="W32" i="8"/>
  <c r="AV32" i="8" s="1"/>
  <c r="Y32" i="8"/>
  <c r="U32" i="8"/>
  <c r="AT32" i="8" s="1"/>
  <c r="AY32" i="8" s="1"/>
  <c r="Q32" i="8"/>
  <c r="BE32" i="8" s="1"/>
  <c r="O32" i="8"/>
  <c r="AD32" i="8" s="1"/>
  <c r="S32" i="8"/>
  <c r="AA32" i="8"/>
  <c r="P32" i="8"/>
  <c r="BB54" i="8"/>
  <c r="Y54" i="8"/>
  <c r="V54" i="8"/>
  <c r="AU54" i="8" s="1"/>
  <c r="O54" i="8"/>
  <c r="AD54" i="8" s="1"/>
  <c r="AB54" i="8"/>
  <c r="U54" i="8"/>
  <c r="AT54" i="8" s="1"/>
  <c r="AY54" i="8" s="1"/>
  <c r="Z54" i="8"/>
  <c r="W54" i="8"/>
  <c r="AV54" i="8" s="1"/>
  <c r="BA54" i="8" s="1"/>
  <c r="P54" i="8"/>
  <c r="BD54" i="8" s="1"/>
  <c r="AA54" i="8"/>
  <c r="T54" i="8"/>
  <c r="S54" i="8"/>
  <c r="AC54" i="8" s="1"/>
  <c r="Q54" i="8"/>
  <c r="X54" i="8"/>
  <c r="R54" i="8"/>
  <c r="BB98" i="8"/>
  <c r="AA98" i="8"/>
  <c r="BO98" i="8" s="1"/>
  <c r="T98" i="8"/>
  <c r="X98" i="8"/>
  <c r="AB98" i="8"/>
  <c r="U98" i="8"/>
  <c r="S98" i="8"/>
  <c r="AC98" i="8" s="1"/>
  <c r="Y98" i="8"/>
  <c r="V98" i="8"/>
  <c r="AU98" i="8" s="1"/>
  <c r="Q98" i="8"/>
  <c r="P98" i="8"/>
  <c r="O98" i="8"/>
  <c r="Z98" i="8"/>
  <c r="W98" i="8"/>
  <c r="AV98" i="8" s="1"/>
  <c r="BA98" i="8" s="1"/>
  <c r="Y30" i="8"/>
  <c r="V30" i="8"/>
  <c r="S30" i="8"/>
  <c r="AR30" i="8" s="1"/>
  <c r="AW30" i="8" s="1"/>
  <c r="O30" i="8"/>
  <c r="Z30" i="8"/>
  <c r="W30" i="8"/>
  <c r="AA30" i="8"/>
  <c r="T30" i="8"/>
  <c r="AS30" i="8" s="1"/>
  <c r="Q30" i="8"/>
  <c r="X30" i="8"/>
  <c r="AB30" i="8"/>
  <c r="U30" i="8"/>
  <c r="AT30" i="8" s="1"/>
  <c r="BN30" i="8" s="1"/>
  <c r="P30" i="8"/>
  <c r="BF97" i="8"/>
  <c r="X97" i="8"/>
  <c r="AB97" i="8"/>
  <c r="T97" i="8"/>
  <c r="S97" i="8"/>
  <c r="W97" i="8"/>
  <c r="P97" i="8"/>
  <c r="BD97" i="8" s="1"/>
  <c r="Y97" i="8"/>
  <c r="U97" i="8"/>
  <c r="AT97" i="8" s="1"/>
  <c r="Q97" i="8"/>
  <c r="O97" i="8"/>
  <c r="AD97" i="8" s="1"/>
  <c r="Z97" i="8"/>
  <c r="V97" i="8"/>
  <c r="AU97" i="8" s="1"/>
  <c r="AZ97" i="8" s="1"/>
  <c r="AA97" i="8"/>
  <c r="N97" i="8"/>
  <c r="Y27" i="8"/>
  <c r="V27" i="8"/>
  <c r="AU27" i="8" s="1"/>
  <c r="AZ27" i="8" s="1"/>
  <c r="O27" i="8"/>
  <c r="BC27" i="8" s="1"/>
  <c r="Z27" i="8"/>
  <c r="W27" i="8"/>
  <c r="P27" i="8"/>
  <c r="AA27" i="8"/>
  <c r="T27" i="8"/>
  <c r="AS27" i="8" s="1"/>
  <c r="BM27" i="8" s="1"/>
  <c r="S27" i="8"/>
  <c r="Q27" i="8"/>
  <c r="X27" i="8"/>
  <c r="AB27" i="8"/>
  <c r="U27" i="8"/>
  <c r="AA70" i="8"/>
  <c r="T70" i="8"/>
  <c r="X70" i="8"/>
  <c r="AB70" i="8"/>
  <c r="U70" i="8"/>
  <c r="S70" i="8"/>
  <c r="AR70" i="8" s="1"/>
  <c r="AW70" i="8" s="1"/>
  <c r="Y70" i="8"/>
  <c r="V70" i="8"/>
  <c r="Q70" i="8"/>
  <c r="BE70" i="8" s="1"/>
  <c r="P70" i="8"/>
  <c r="BD70" i="8" s="1"/>
  <c r="O70" i="8"/>
  <c r="BC70" i="8" s="1"/>
  <c r="Z70" i="8"/>
  <c r="W70" i="8"/>
  <c r="AV70" i="8" s="1"/>
  <c r="BA70" i="8" s="1"/>
  <c r="BF95" i="8"/>
  <c r="Z95" i="8"/>
  <c r="V95" i="8"/>
  <c r="AU95" i="8" s="1"/>
  <c r="AZ95" i="8" s="1"/>
  <c r="AA95" i="8"/>
  <c r="W95" i="8"/>
  <c r="AV95" i="8" s="1"/>
  <c r="BA95" i="8" s="1"/>
  <c r="Q95" i="8"/>
  <c r="X95" i="8"/>
  <c r="AB95" i="8"/>
  <c r="T95" i="8"/>
  <c r="P95" i="8"/>
  <c r="Y95" i="8"/>
  <c r="U95" i="8"/>
  <c r="S95" i="8"/>
  <c r="AR95" i="8" s="1"/>
  <c r="AW95" i="8" s="1"/>
  <c r="O95" i="8"/>
  <c r="AD95" i="8" s="1"/>
  <c r="N95" i="8"/>
  <c r="Z25" i="8"/>
  <c r="T25" i="8"/>
  <c r="AS25" i="8" s="1"/>
  <c r="AX25" i="8" s="1"/>
  <c r="S25" i="8"/>
  <c r="AR25" i="8" s="1"/>
  <c r="BL25" i="8" s="1"/>
  <c r="AB25" i="8"/>
  <c r="O25" i="8"/>
  <c r="AA25" i="8"/>
  <c r="U25" i="8"/>
  <c r="AT25" i="8" s="1"/>
  <c r="AY25" i="8" s="1"/>
  <c r="P25" i="8"/>
  <c r="X25" i="8"/>
  <c r="V25" i="8"/>
  <c r="AU25" i="8" s="1"/>
  <c r="BO25" i="8" s="1"/>
  <c r="Y25" i="8"/>
  <c r="BM25" i="8" s="1"/>
  <c r="W25" i="8"/>
  <c r="Q25" i="8"/>
  <c r="AA29" i="8"/>
  <c r="V29" i="8"/>
  <c r="S29" i="8"/>
  <c r="Q29" i="8"/>
  <c r="X29" i="8"/>
  <c r="AB29" i="8"/>
  <c r="W29" i="8"/>
  <c r="Y29" i="8"/>
  <c r="T29" i="8"/>
  <c r="AS29" i="8" s="1"/>
  <c r="O29" i="8"/>
  <c r="AD29" i="8" s="1"/>
  <c r="Z29" i="8"/>
  <c r="U29" i="8"/>
  <c r="P29" i="8"/>
  <c r="BD29" i="8" s="1"/>
  <c r="X28" i="8"/>
  <c r="AB28" i="8"/>
  <c r="T28" i="8"/>
  <c r="S28" i="8"/>
  <c r="AR28" i="8" s="1"/>
  <c r="AW28" i="8" s="1"/>
  <c r="Y28" i="8"/>
  <c r="U28" i="8"/>
  <c r="AT28" i="8" s="1"/>
  <c r="Q28" i="8"/>
  <c r="O28" i="8"/>
  <c r="BC28" i="8" s="1"/>
  <c r="Z28" i="8"/>
  <c r="V28" i="8"/>
  <c r="AU28" i="8" s="1"/>
  <c r="AZ28" i="8" s="1"/>
  <c r="AA28" i="8"/>
  <c r="W28" i="8"/>
  <c r="AV28" i="8" s="1"/>
  <c r="BA28" i="8" s="1"/>
  <c r="P28" i="8"/>
  <c r="BD28" i="8" s="1"/>
  <c r="AA68" i="8"/>
  <c r="V68" i="8"/>
  <c r="Q68" i="8"/>
  <c r="AB68" i="8"/>
  <c r="W68" i="8"/>
  <c r="AV68" i="8" s="1"/>
  <c r="P68" i="8"/>
  <c r="Y68" i="8"/>
  <c r="S68" i="8"/>
  <c r="AR68" i="8" s="1"/>
  <c r="Z68" i="8"/>
  <c r="U68" i="8"/>
  <c r="AT68" i="8" s="1"/>
  <c r="AY68" i="8" s="1"/>
  <c r="X68" i="8"/>
  <c r="T68" i="8"/>
  <c r="AS68" i="8" s="1"/>
  <c r="BM68" i="8" s="1"/>
  <c r="O68" i="8"/>
  <c r="N68" i="8"/>
  <c r="R68" i="8"/>
  <c r="Z96" i="8"/>
  <c r="T96" i="8"/>
  <c r="S96" i="8"/>
  <c r="AA96" i="8"/>
  <c r="U96" i="8"/>
  <c r="AT96" i="8" s="1"/>
  <c r="AY96" i="8" s="1"/>
  <c r="P96" i="8"/>
  <c r="X96" i="8"/>
  <c r="AB96" i="8"/>
  <c r="V96" i="8"/>
  <c r="AU96" i="8" s="1"/>
  <c r="AZ96" i="8" s="1"/>
  <c r="Y96" i="8"/>
  <c r="W96" i="8"/>
  <c r="Q96" i="8"/>
  <c r="BE96" i="8" s="1"/>
  <c r="O96" i="8"/>
  <c r="BC96" i="8" s="1"/>
  <c r="R96" i="8"/>
  <c r="AA26" i="8"/>
  <c r="V26" i="8"/>
  <c r="AU26" i="8" s="1"/>
  <c r="AZ26" i="8" s="1"/>
  <c r="S26" i="8"/>
  <c r="AR26" i="8" s="1"/>
  <c r="BL26" i="8" s="1"/>
  <c r="Q26" i="8"/>
  <c r="X26" i="8"/>
  <c r="AB26" i="8"/>
  <c r="W26" i="8"/>
  <c r="AV26" i="8" s="1"/>
  <c r="BA26" i="8" s="1"/>
  <c r="Y26" i="8"/>
  <c r="T26" i="8"/>
  <c r="O26" i="8"/>
  <c r="AD26" i="8" s="1"/>
  <c r="Z26" i="8"/>
  <c r="U26" i="8"/>
  <c r="P26" i="8"/>
  <c r="AA51" i="8"/>
  <c r="T51" i="8"/>
  <c r="AS51" i="8" s="1"/>
  <c r="BM51" i="8" s="1"/>
  <c r="X51" i="8"/>
  <c r="AB51" i="8"/>
  <c r="U51" i="8"/>
  <c r="AT51" i="8" s="1"/>
  <c r="AY51" i="8" s="1"/>
  <c r="S51" i="8"/>
  <c r="AR51" i="8" s="1"/>
  <c r="AW51" i="8" s="1"/>
  <c r="Y51" i="8"/>
  <c r="V51" i="8"/>
  <c r="AU51" i="8" s="1"/>
  <c r="AZ51" i="8" s="1"/>
  <c r="Q51" i="8"/>
  <c r="P51" i="8"/>
  <c r="BD51" i="8" s="1"/>
  <c r="O51" i="8"/>
  <c r="Z51" i="8"/>
  <c r="W51" i="8"/>
  <c r="N51" i="8"/>
  <c r="Z94" i="8"/>
  <c r="V94" i="8"/>
  <c r="AA94" i="8"/>
  <c r="W94" i="8"/>
  <c r="AV94" i="8" s="1"/>
  <c r="BA94" i="8" s="1"/>
  <c r="Q94" i="8"/>
  <c r="X94" i="8"/>
  <c r="AB94" i="8"/>
  <c r="T94" i="8"/>
  <c r="AS94" i="8" s="1"/>
  <c r="P94" i="8"/>
  <c r="Y94" i="8"/>
  <c r="U94" i="8"/>
  <c r="AT94" i="8" s="1"/>
  <c r="AY94" i="8" s="1"/>
  <c r="S94" i="8"/>
  <c r="AR94" i="8" s="1"/>
  <c r="AW94" i="8" s="1"/>
  <c r="O94" i="8"/>
  <c r="Z84" i="8"/>
  <c r="T84" i="8"/>
  <c r="S84" i="8"/>
  <c r="AR84" i="8" s="1"/>
  <c r="AW84" i="8" s="1"/>
  <c r="AA84" i="8"/>
  <c r="U84" i="8"/>
  <c r="AT84" i="8" s="1"/>
  <c r="AY84" i="8" s="1"/>
  <c r="P84" i="8"/>
  <c r="AE84" i="8" s="1"/>
  <c r="BI84" i="8" s="1"/>
  <c r="X84" i="8"/>
  <c r="AB84" i="8"/>
  <c r="V84" i="8"/>
  <c r="Y84" i="8"/>
  <c r="W84" i="8"/>
  <c r="Q84" i="8"/>
  <c r="AF84" i="8" s="1"/>
  <c r="O84" i="8"/>
  <c r="R84" i="8"/>
  <c r="N53" i="8"/>
  <c r="X53" i="8"/>
  <c r="AB53" i="8"/>
  <c r="V53" i="8"/>
  <c r="AU53" i="8" s="1"/>
  <c r="BO53" i="8" s="1"/>
  <c r="Y53" i="8"/>
  <c r="W53" i="8"/>
  <c r="O53" i="8"/>
  <c r="Z53" i="8"/>
  <c r="T53" i="8"/>
  <c r="AS53" i="8" s="1"/>
  <c r="AX53" i="8" s="1"/>
  <c r="P53" i="8"/>
  <c r="AA53" i="8"/>
  <c r="U53" i="8"/>
  <c r="AT53" i="8" s="1"/>
  <c r="AY53" i="8" s="1"/>
  <c r="S53" i="8"/>
  <c r="Q53" i="8"/>
  <c r="AA23" i="8"/>
  <c r="T23" i="8"/>
  <c r="AS23" i="8" s="1"/>
  <c r="AX23" i="8" s="1"/>
  <c r="X23" i="8"/>
  <c r="AB23" i="8"/>
  <c r="U23" i="8"/>
  <c r="S23" i="8"/>
  <c r="AR23" i="8" s="1"/>
  <c r="AW23" i="8" s="1"/>
  <c r="Y23" i="8"/>
  <c r="V23" i="8"/>
  <c r="Q23" i="8"/>
  <c r="P23" i="8"/>
  <c r="BD23" i="8" s="1"/>
  <c r="O23" i="8"/>
  <c r="BC23" i="8" s="1"/>
  <c r="Z23" i="8"/>
  <c r="W23" i="8"/>
  <c r="X52" i="8"/>
  <c r="AB52" i="8"/>
  <c r="V52" i="8"/>
  <c r="AU52" i="8" s="1"/>
  <c r="AZ52" i="8" s="1"/>
  <c r="P52" i="8"/>
  <c r="Y52" i="8"/>
  <c r="W52" i="8"/>
  <c r="S52" i="8"/>
  <c r="O52" i="8"/>
  <c r="Z52" i="8"/>
  <c r="T52" i="8"/>
  <c r="AS52" i="8" s="1"/>
  <c r="AA52" i="8"/>
  <c r="U52" i="8"/>
  <c r="AT52" i="8" s="1"/>
  <c r="Q52" i="8"/>
  <c r="AF52" i="8" s="1"/>
  <c r="Z22" i="8"/>
  <c r="T22" i="8"/>
  <c r="S22" i="8"/>
  <c r="P22" i="8"/>
  <c r="X22" i="8"/>
  <c r="AB22" i="8"/>
  <c r="V22" i="8"/>
  <c r="AU22" i="8" s="1"/>
  <c r="Y22" i="8"/>
  <c r="W22" i="8"/>
  <c r="AV22" i="8" s="1"/>
  <c r="Q22" i="8"/>
  <c r="O22" i="8"/>
  <c r="AA22" i="8"/>
  <c r="U22" i="8"/>
  <c r="AT22" i="8" s="1"/>
  <c r="BN22" i="8" s="1"/>
  <c r="N22" i="8"/>
  <c r="R22" i="8"/>
  <c r="Z69" i="8"/>
  <c r="V69" i="8"/>
  <c r="AU69" i="8" s="1"/>
  <c r="AZ69" i="8" s="1"/>
  <c r="P69" i="8"/>
  <c r="AB69" i="8"/>
  <c r="Y69" i="8"/>
  <c r="O69" i="8"/>
  <c r="AA69" i="8"/>
  <c r="W69" i="8"/>
  <c r="S69" i="8"/>
  <c r="Q69" i="8"/>
  <c r="X69" i="8"/>
  <c r="T69" i="8"/>
  <c r="U69" i="8"/>
  <c r="AT69" i="8" s="1"/>
  <c r="AY69" i="8" s="1"/>
  <c r="X20" i="8"/>
  <c r="AB20" i="8"/>
  <c r="T20" i="8"/>
  <c r="AS20" i="8" s="1"/>
  <c r="S20" i="8"/>
  <c r="Y20" i="8"/>
  <c r="U20" i="8"/>
  <c r="AT20" i="8" s="1"/>
  <c r="AY20" i="8" s="1"/>
  <c r="P20" i="8"/>
  <c r="Z20" i="8"/>
  <c r="V20" i="8"/>
  <c r="AU20" i="8" s="1"/>
  <c r="AA20" i="8"/>
  <c r="W20" i="8"/>
  <c r="Q20" i="8"/>
  <c r="BE20" i="8" s="1"/>
  <c r="O20" i="8"/>
  <c r="BC20" i="8" s="1"/>
  <c r="X92" i="8"/>
  <c r="AB92" i="8"/>
  <c r="V92" i="8"/>
  <c r="AU92" i="8" s="1"/>
  <c r="AZ92" i="8" s="1"/>
  <c r="P92" i="8"/>
  <c r="BD92" i="8" s="1"/>
  <c r="U92" i="8"/>
  <c r="AT92" i="8" s="1"/>
  <c r="Q92" i="8"/>
  <c r="Y92" i="8"/>
  <c r="W92" i="8"/>
  <c r="AV92" i="8" s="1"/>
  <c r="BA92" i="8" s="1"/>
  <c r="S92" i="8"/>
  <c r="O92" i="8"/>
  <c r="Z92" i="8"/>
  <c r="T92" i="8"/>
  <c r="AS92" i="8" s="1"/>
  <c r="AA92" i="8"/>
  <c r="Y93" i="8"/>
  <c r="T93" i="8"/>
  <c r="AS93" i="8" s="1"/>
  <c r="Q93" i="8"/>
  <c r="BE93" i="8" s="1"/>
  <c r="O93" i="8"/>
  <c r="BC93" i="8" s="1"/>
  <c r="P93" i="8"/>
  <c r="X93" i="8"/>
  <c r="W93" i="8"/>
  <c r="AV93" i="8" s="1"/>
  <c r="BA93" i="8" s="1"/>
  <c r="Z93" i="8"/>
  <c r="BN93" i="8" s="1"/>
  <c r="U93" i="8"/>
  <c r="AT93" i="8" s="1"/>
  <c r="AY93" i="8" s="1"/>
  <c r="S93" i="8"/>
  <c r="AR93" i="8" s="1"/>
  <c r="AW93" i="8" s="1"/>
  <c r="AA93" i="8"/>
  <c r="V93" i="8"/>
  <c r="AB93" i="8"/>
  <c r="R93" i="8"/>
  <c r="Y67" i="8"/>
  <c r="V67" i="8"/>
  <c r="O67" i="8"/>
  <c r="AB67" i="8"/>
  <c r="U67" i="8"/>
  <c r="Z67" i="8"/>
  <c r="W67" i="8"/>
  <c r="AV67" i="8" s="1"/>
  <c r="P67" i="8"/>
  <c r="AA67" i="8"/>
  <c r="T67" i="8"/>
  <c r="AS67" i="8" s="1"/>
  <c r="AX67" i="8" s="1"/>
  <c r="S67" i="8"/>
  <c r="Q67" i="8"/>
  <c r="X67" i="8"/>
  <c r="N48" i="8"/>
  <c r="Z48" i="8"/>
  <c r="T48" i="8"/>
  <c r="AS48" i="8" s="1"/>
  <c r="AA48" i="8"/>
  <c r="U48" i="8"/>
  <c r="AT48" i="8" s="1"/>
  <c r="AY48" i="8" s="1"/>
  <c r="O48" i="8"/>
  <c r="X48" i="8"/>
  <c r="BL48" i="8" s="1"/>
  <c r="AB48" i="8"/>
  <c r="V48" i="8"/>
  <c r="S48" i="8"/>
  <c r="AR48" i="8" s="1"/>
  <c r="Y48" i="8"/>
  <c r="W48" i="8"/>
  <c r="AV48" i="8" s="1"/>
  <c r="BA48" i="8" s="1"/>
  <c r="Q48" i="8"/>
  <c r="P48" i="8"/>
  <c r="X91" i="8"/>
  <c r="AB91" i="8"/>
  <c r="V91" i="8"/>
  <c r="AU91" i="8" s="1"/>
  <c r="P91" i="8"/>
  <c r="Y91" i="8"/>
  <c r="W91" i="8"/>
  <c r="S91" i="8"/>
  <c r="AR91" i="8" s="1"/>
  <c r="O91" i="8"/>
  <c r="Z91" i="8"/>
  <c r="T91" i="8"/>
  <c r="AA91" i="8"/>
  <c r="U91" i="8"/>
  <c r="AT91" i="8" s="1"/>
  <c r="AY91" i="8" s="1"/>
  <c r="Q91" i="8"/>
  <c r="BE91" i="8" s="1"/>
  <c r="Z83" i="8"/>
  <c r="T83" i="8"/>
  <c r="S83" i="8"/>
  <c r="AR83" i="8" s="1"/>
  <c r="AB83" i="8"/>
  <c r="AA83" i="8"/>
  <c r="U83" i="8"/>
  <c r="P83" i="8"/>
  <c r="X83" i="8"/>
  <c r="V83" i="8"/>
  <c r="AU83" i="8" s="1"/>
  <c r="Y83" i="8"/>
  <c r="W83" i="8"/>
  <c r="Q83" i="8"/>
  <c r="O83" i="8"/>
  <c r="BC83" i="8" s="1"/>
  <c r="Z50" i="8"/>
  <c r="V50" i="8"/>
  <c r="AU50" i="8" s="1"/>
  <c r="P50" i="8"/>
  <c r="BD50" i="8" s="1"/>
  <c r="U50" i="8"/>
  <c r="AT50" i="8" s="1"/>
  <c r="AY50" i="8" s="1"/>
  <c r="O50" i="8"/>
  <c r="AA50" i="8"/>
  <c r="W50" i="8"/>
  <c r="S50" i="8"/>
  <c r="Q50" i="8"/>
  <c r="X50" i="8"/>
  <c r="AB50" i="8"/>
  <c r="T50" i="8"/>
  <c r="AS50" i="8" s="1"/>
  <c r="AX50" i="8" s="1"/>
  <c r="Y50" i="8"/>
  <c r="X80" i="8"/>
  <c r="AB80" i="8"/>
  <c r="T80" i="8"/>
  <c r="S80" i="8"/>
  <c r="AR80" i="8" s="1"/>
  <c r="BL80" i="8" s="1"/>
  <c r="AA80" i="8"/>
  <c r="W80" i="8"/>
  <c r="AV80" i="8" s="1"/>
  <c r="Y80" i="8"/>
  <c r="U80" i="8"/>
  <c r="AT80" i="8" s="1"/>
  <c r="AY80" i="8" s="1"/>
  <c r="Q80" i="8"/>
  <c r="BE80" i="8" s="1"/>
  <c r="P80" i="8"/>
  <c r="BD80" i="8" s="1"/>
  <c r="O80" i="8"/>
  <c r="Z80" i="8"/>
  <c r="V80" i="8"/>
  <c r="X49" i="8"/>
  <c r="AB49" i="8"/>
  <c r="W49" i="8"/>
  <c r="P49" i="8"/>
  <c r="Y49" i="8"/>
  <c r="T49" i="8"/>
  <c r="AS49" i="8" s="1"/>
  <c r="AX49" i="8" s="1"/>
  <c r="S49" i="8"/>
  <c r="O49" i="8"/>
  <c r="Z49" i="8"/>
  <c r="U49" i="8"/>
  <c r="AA49" i="8"/>
  <c r="V49" i="8"/>
  <c r="Q49" i="8"/>
  <c r="Y19" i="8"/>
  <c r="T19" i="8"/>
  <c r="Q19" i="8"/>
  <c r="BE19" i="8" s="1"/>
  <c r="O19" i="8"/>
  <c r="AA19" i="8"/>
  <c r="AB19" i="8"/>
  <c r="Z19" i="8"/>
  <c r="U19" i="8"/>
  <c r="AT19" i="8" s="1"/>
  <c r="AY19" i="8" s="1"/>
  <c r="S19" i="8"/>
  <c r="AR19" i="8" s="1"/>
  <c r="V19" i="8"/>
  <c r="P19" i="8"/>
  <c r="X19" i="8"/>
  <c r="W19" i="8"/>
  <c r="AV19" i="8" s="1"/>
  <c r="BA19" i="8" s="1"/>
  <c r="X18" i="8"/>
  <c r="AB18" i="8"/>
  <c r="V18" i="8"/>
  <c r="AU18" i="8" s="1"/>
  <c r="Y18" i="8"/>
  <c r="W18" i="8"/>
  <c r="O18" i="8"/>
  <c r="Z18" i="8"/>
  <c r="T18" i="8"/>
  <c r="P18" i="8"/>
  <c r="BD18" i="8" s="1"/>
  <c r="AA18" i="8"/>
  <c r="U18" i="8"/>
  <c r="S18" i="8"/>
  <c r="AR18" i="8" s="1"/>
  <c r="AW18" i="8" s="1"/>
  <c r="Q18" i="8"/>
  <c r="AA17" i="8"/>
  <c r="T17" i="8"/>
  <c r="AS17" i="8" s="1"/>
  <c r="AX17" i="8" s="1"/>
  <c r="X17" i="8"/>
  <c r="AB17" i="8"/>
  <c r="U17" i="8"/>
  <c r="S17" i="8"/>
  <c r="AR17" i="8" s="1"/>
  <c r="AW17" i="8" s="1"/>
  <c r="Y17" i="8"/>
  <c r="V17" i="8"/>
  <c r="AU17" i="8" s="1"/>
  <c r="AZ17" i="8" s="1"/>
  <c r="Q17" i="8"/>
  <c r="BE17" i="8" s="1"/>
  <c r="P17" i="8"/>
  <c r="AE17" i="8" s="1"/>
  <c r="O17" i="8"/>
  <c r="Z17" i="8"/>
  <c r="W17" i="8"/>
  <c r="AV17" i="8" s="1"/>
  <c r="BA17" i="8" s="1"/>
  <c r="Y81" i="8"/>
  <c r="V81" i="8"/>
  <c r="S81" i="8"/>
  <c r="AR81" i="8" s="1"/>
  <c r="O81" i="8"/>
  <c r="AA81" i="8"/>
  <c r="X81" i="8"/>
  <c r="AB81" i="8"/>
  <c r="U81" i="8"/>
  <c r="P81" i="8"/>
  <c r="Z81" i="8"/>
  <c r="W81" i="8"/>
  <c r="T81" i="8"/>
  <c r="Q81" i="8"/>
  <c r="BE81" i="8" s="1"/>
  <c r="Y47" i="8"/>
  <c r="T47" i="8"/>
  <c r="AS47" i="8" s="1"/>
  <c r="Q47" i="8"/>
  <c r="O47" i="8"/>
  <c r="Z47" i="8"/>
  <c r="U47" i="8"/>
  <c r="AT47" i="8" s="1"/>
  <c r="S47" i="8"/>
  <c r="AA47" i="8"/>
  <c r="V47" i="8"/>
  <c r="AU47" i="8" s="1"/>
  <c r="AZ47" i="8" s="1"/>
  <c r="P47" i="8"/>
  <c r="X47" i="8"/>
  <c r="AB47" i="8"/>
  <c r="W47" i="8"/>
  <c r="X13" i="8"/>
  <c r="AB13" i="8"/>
  <c r="V13" i="8"/>
  <c r="AU13" i="8" s="1"/>
  <c r="Y13" i="8"/>
  <c r="W13" i="8"/>
  <c r="O13" i="8"/>
  <c r="Z13" i="8"/>
  <c r="T13" i="8"/>
  <c r="P13" i="8"/>
  <c r="BD13" i="8" s="1"/>
  <c r="AA13" i="8"/>
  <c r="U13" i="8"/>
  <c r="S13" i="8"/>
  <c r="AR13" i="8" s="1"/>
  <c r="AW13" i="8" s="1"/>
  <c r="Q13" i="8"/>
  <c r="BE13" i="8" s="1"/>
  <c r="Z46" i="8"/>
  <c r="T46" i="8"/>
  <c r="AS46" i="8" s="1"/>
  <c r="AX46" i="8" s="1"/>
  <c r="AA46" i="8"/>
  <c r="U46" i="8"/>
  <c r="AB46" i="8"/>
  <c r="S46" i="8"/>
  <c r="AR46" i="8" s="1"/>
  <c r="Y46" i="8"/>
  <c r="W46" i="8"/>
  <c r="Q46" i="8"/>
  <c r="P46" i="8"/>
  <c r="AE46" i="8" s="1"/>
  <c r="O46" i="8"/>
  <c r="BC46" i="8" s="1"/>
  <c r="X46" i="8"/>
  <c r="V46" i="8"/>
  <c r="X16" i="8"/>
  <c r="AB16" i="8"/>
  <c r="V16" i="8"/>
  <c r="P16" i="8"/>
  <c r="Y16" i="8"/>
  <c r="W16" i="8"/>
  <c r="AV16" i="8" s="1"/>
  <c r="BA16" i="8" s="1"/>
  <c r="S16" i="8"/>
  <c r="AR16" i="8" s="1"/>
  <c r="O16" i="8"/>
  <c r="Z16" i="8"/>
  <c r="T16" i="8"/>
  <c r="AS16" i="8" s="1"/>
  <c r="AX16" i="8" s="1"/>
  <c r="AA16" i="8"/>
  <c r="U16" i="8"/>
  <c r="AT16" i="8" s="1"/>
  <c r="AY16" i="8" s="1"/>
  <c r="Q16" i="8"/>
  <c r="X15" i="8"/>
  <c r="AB15" i="8"/>
  <c r="T15" i="8"/>
  <c r="Y15" i="8"/>
  <c r="U15" i="8"/>
  <c r="AT15" i="8" s="1"/>
  <c r="Q15" i="8"/>
  <c r="BE15" i="8" s="1"/>
  <c r="Z15" i="8"/>
  <c r="V15" i="8"/>
  <c r="AU15" i="8" s="1"/>
  <c r="S15" i="8"/>
  <c r="AR15" i="8" s="1"/>
  <c r="AW15" i="8" s="1"/>
  <c r="AA15" i="8"/>
  <c r="W15" i="8"/>
  <c r="AV15" i="8" s="1"/>
  <c r="BA15" i="8" s="1"/>
  <c r="P15" i="8"/>
  <c r="O15" i="8"/>
  <c r="BC15" i="8" s="1"/>
  <c r="AA66" i="8"/>
  <c r="T66" i="8"/>
  <c r="AS66" i="8" s="1"/>
  <c r="AX66" i="8" s="1"/>
  <c r="X66" i="8"/>
  <c r="AB66" i="8"/>
  <c r="U66" i="8"/>
  <c r="AT66" i="8" s="1"/>
  <c r="AY66" i="8" s="1"/>
  <c r="S66" i="8"/>
  <c r="Y66" i="8"/>
  <c r="V66" i="8"/>
  <c r="AU66" i="8" s="1"/>
  <c r="AZ66" i="8" s="1"/>
  <c r="Q66" i="8"/>
  <c r="BE66" i="8" s="1"/>
  <c r="P66" i="8"/>
  <c r="O66" i="8"/>
  <c r="BC66" i="8" s="1"/>
  <c r="Z66" i="8"/>
  <c r="W66" i="8"/>
  <c r="N12" i="8"/>
  <c r="Y12" i="8"/>
  <c r="V12" i="8"/>
  <c r="AU12" i="8" s="1"/>
  <c r="BO12" i="8" s="1"/>
  <c r="S12" i="8"/>
  <c r="AR12" i="8" s="1"/>
  <c r="O12" i="8"/>
  <c r="Z12" i="8"/>
  <c r="W12" i="8"/>
  <c r="AV12" i="8" s="1"/>
  <c r="BA12" i="8" s="1"/>
  <c r="AA12" i="8"/>
  <c r="T12" i="8"/>
  <c r="AS12" i="8" s="1"/>
  <c r="AX12" i="8" s="1"/>
  <c r="Q12" i="8"/>
  <c r="X12" i="8"/>
  <c r="AB12" i="8"/>
  <c r="U12" i="8"/>
  <c r="AT12" i="8" s="1"/>
  <c r="AY12" i="8" s="1"/>
  <c r="P12" i="8"/>
  <c r="Z65" i="8"/>
  <c r="T65" i="8"/>
  <c r="S65" i="8"/>
  <c r="W65" i="8"/>
  <c r="AV65" i="8" s="1"/>
  <c r="BA65" i="8" s="1"/>
  <c r="O65" i="8"/>
  <c r="BC65" i="8" s="1"/>
  <c r="AA65" i="8"/>
  <c r="U65" i="8"/>
  <c r="AT65" i="8" s="1"/>
  <c r="P65" i="8"/>
  <c r="X65" i="8"/>
  <c r="AB65" i="8"/>
  <c r="V65" i="8"/>
  <c r="Y65" i="8"/>
  <c r="Q65" i="8"/>
  <c r="Z11" i="8"/>
  <c r="V11" i="8"/>
  <c r="P11" i="8"/>
  <c r="BD11" i="8" s="1"/>
  <c r="AA11" i="8"/>
  <c r="W11" i="8"/>
  <c r="AV11" i="8" s="1"/>
  <c r="BA11" i="8" s="1"/>
  <c r="S11" i="8"/>
  <c r="AR11" i="8" s="1"/>
  <c r="AW11" i="8" s="1"/>
  <c r="AB11" i="8"/>
  <c r="BP11" i="8" s="1"/>
  <c r="T11" i="8"/>
  <c r="AS11" i="8" s="1"/>
  <c r="AX11" i="8" s="1"/>
  <c r="Y11" i="8"/>
  <c r="U11" i="8"/>
  <c r="O11" i="8"/>
  <c r="BC11" i="8" s="1"/>
  <c r="Q11" i="8"/>
  <c r="X11" i="8"/>
  <c r="AA90" i="8"/>
  <c r="T90" i="8"/>
  <c r="AS90" i="8" s="1"/>
  <c r="AX90" i="8" s="1"/>
  <c r="X90" i="8"/>
  <c r="AB90" i="8"/>
  <c r="U90" i="8"/>
  <c r="S90" i="8"/>
  <c r="AR90" i="8" s="1"/>
  <c r="Y90" i="8"/>
  <c r="BM90" i="8" s="1"/>
  <c r="V90" i="8"/>
  <c r="Q90" i="8"/>
  <c r="P90" i="8"/>
  <c r="O90" i="8"/>
  <c r="Z90" i="8"/>
  <c r="W90" i="8"/>
  <c r="AV90" i="8" s="1"/>
  <c r="BA90" i="8" s="1"/>
  <c r="AA45" i="8"/>
  <c r="V45" i="8"/>
  <c r="AU45" i="8" s="1"/>
  <c r="AZ45" i="8" s="1"/>
  <c r="Q45" i="8"/>
  <c r="X45" i="8"/>
  <c r="AB45" i="8"/>
  <c r="W45" i="8"/>
  <c r="P45" i="8"/>
  <c r="BD45" i="8" s="1"/>
  <c r="Y45" i="8"/>
  <c r="T45" i="8"/>
  <c r="AS45" i="8" s="1"/>
  <c r="S45" i="8"/>
  <c r="AR45" i="8" s="1"/>
  <c r="O45" i="8"/>
  <c r="Z45" i="8"/>
  <c r="U45" i="8"/>
  <c r="AT45" i="8" s="1"/>
  <c r="AY45" i="8" s="1"/>
  <c r="Z89" i="8"/>
  <c r="T89" i="8"/>
  <c r="AS89" i="8" s="1"/>
  <c r="S89" i="8"/>
  <c r="AR89" i="8" s="1"/>
  <c r="AA89" i="8"/>
  <c r="U89" i="8"/>
  <c r="P89" i="8"/>
  <c r="X89" i="8"/>
  <c r="BL89" i="8" s="1"/>
  <c r="AB89" i="8"/>
  <c r="V89" i="8"/>
  <c r="AU89" i="8" s="1"/>
  <c r="Y89" i="8"/>
  <c r="W89" i="8"/>
  <c r="Q89" i="8"/>
  <c r="O89" i="8"/>
  <c r="Y88" i="8"/>
  <c r="V88" i="8"/>
  <c r="AU88" i="8" s="1"/>
  <c r="O88" i="8"/>
  <c r="BC88" i="8" s="1"/>
  <c r="Z88" i="8"/>
  <c r="W88" i="8"/>
  <c r="P88" i="8"/>
  <c r="AA88" i="8"/>
  <c r="T88" i="8"/>
  <c r="AS88" i="8" s="1"/>
  <c r="AX88" i="8" s="1"/>
  <c r="S88" i="8"/>
  <c r="AR88" i="8" s="1"/>
  <c r="AW88" i="8" s="1"/>
  <c r="Q88" i="8"/>
  <c r="X88" i="8"/>
  <c r="AB88" i="8"/>
  <c r="U88" i="8"/>
  <c r="AT88" i="8" s="1"/>
  <c r="X64" i="8"/>
  <c r="AB64" i="8"/>
  <c r="BP64" i="8" s="1"/>
  <c r="T64" i="8"/>
  <c r="AS64" i="8" s="1"/>
  <c r="AX64" i="8" s="1"/>
  <c r="S64" i="8"/>
  <c r="AR64" i="8" s="1"/>
  <c r="AW64" i="8" s="1"/>
  <c r="Y64" i="8"/>
  <c r="U64" i="8"/>
  <c r="AT64" i="8" s="1"/>
  <c r="BN64" i="8" s="1"/>
  <c r="Q64" i="8"/>
  <c r="O64" i="8"/>
  <c r="Z64" i="8"/>
  <c r="V64" i="8"/>
  <c r="AU64" i="8" s="1"/>
  <c r="AA64" i="8"/>
  <c r="W64" i="8"/>
  <c r="AV64" i="8" s="1"/>
  <c r="BA64" i="8" s="1"/>
  <c r="P64" i="8"/>
  <c r="BF10" i="8"/>
  <c r="AA10" i="8"/>
  <c r="V10" i="8"/>
  <c r="Q10" i="8"/>
  <c r="X10" i="8"/>
  <c r="AB10" i="8"/>
  <c r="W10" i="8"/>
  <c r="AV10" i="8" s="1"/>
  <c r="BA10" i="8" s="1"/>
  <c r="P10" i="8"/>
  <c r="Y10" i="8"/>
  <c r="T10" i="8"/>
  <c r="S10" i="8"/>
  <c r="AR10" i="8" s="1"/>
  <c r="AW10" i="8" s="1"/>
  <c r="O10" i="8"/>
  <c r="Z10" i="8"/>
  <c r="U10" i="8"/>
  <c r="AT10" i="8" s="1"/>
  <c r="AY10" i="8" s="1"/>
  <c r="N10" i="8"/>
  <c r="Y87" i="8"/>
  <c r="V87" i="8"/>
  <c r="AU87" i="8" s="1"/>
  <c r="W87" i="8"/>
  <c r="AV87" i="8" s="1"/>
  <c r="T87" i="8"/>
  <c r="AS87" i="8" s="1"/>
  <c r="AX87" i="8" s="1"/>
  <c r="S87" i="8"/>
  <c r="O87" i="8"/>
  <c r="BC87" i="8" s="1"/>
  <c r="X87" i="8"/>
  <c r="AB87" i="8"/>
  <c r="U87" i="8"/>
  <c r="Q87" i="8"/>
  <c r="P87" i="8"/>
  <c r="BD87" i="8" s="1"/>
  <c r="Z87" i="8"/>
  <c r="AA87" i="8"/>
  <c r="R87" i="8"/>
  <c r="X9" i="8"/>
  <c r="AB9" i="8"/>
  <c r="T9" i="8"/>
  <c r="AS9" i="8" s="1"/>
  <c r="AX9" i="8" s="1"/>
  <c r="S9" i="8"/>
  <c r="Q9" i="8"/>
  <c r="AF9" i="8" s="1"/>
  <c r="AA9" i="8"/>
  <c r="W9" i="8"/>
  <c r="AV9" i="8" s="1"/>
  <c r="BA9" i="8" s="1"/>
  <c r="O9" i="8"/>
  <c r="Y9" i="8"/>
  <c r="U9" i="8"/>
  <c r="AT9" i="8" s="1"/>
  <c r="AY9" i="8" s="1"/>
  <c r="Z9" i="8"/>
  <c r="V9" i="8"/>
  <c r="AU9" i="8" s="1"/>
  <c r="BO9" i="8" s="1"/>
  <c r="P9" i="8"/>
  <c r="N43" i="8"/>
  <c r="AA43" i="8"/>
  <c r="V43" i="8"/>
  <c r="AB43" i="8"/>
  <c r="Y43" i="8"/>
  <c r="T43" i="8"/>
  <c r="AS43" i="8" s="1"/>
  <c r="AX43" i="8" s="1"/>
  <c r="S43" i="8"/>
  <c r="AR43" i="8" s="1"/>
  <c r="Z43" i="8"/>
  <c r="U43" i="8"/>
  <c r="AT43" i="8" s="1"/>
  <c r="AY43" i="8" s="1"/>
  <c r="Q43" i="8"/>
  <c r="O43" i="8"/>
  <c r="X43" i="8"/>
  <c r="W43" i="8"/>
  <c r="AV43" i="8" s="1"/>
  <c r="P43" i="8"/>
  <c r="Y8" i="8"/>
  <c r="T8" i="8"/>
  <c r="AS8" i="8" s="1"/>
  <c r="AX8" i="8" s="1"/>
  <c r="Z8" i="8"/>
  <c r="U8" i="8"/>
  <c r="AT8" i="8" s="1"/>
  <c r="S8" i="8"/>
  <c r="AR8" i="8" s="1"/>
  <c r="AW8" i="8" s="1"/>
  <c r="AA8" i="8"/>
  <c r="V8" i="8"/>
  <c r="O8" i="8"/>
  <c r="X8" i="8"/>
  <c r="AB8" i="8"/>
  <c r="W8" i="8"/>
  <c r="Q8" i="8"/>
  <c r="P8" i="8"/>
  <c r="BD8" i="8" s="1"/>
  <c r="Z7" i="8"/>
  <c r="W7" i="8"/>
  <c r="Q7" i="8"/>
  <c r="BE7" i="8" s="1"/>
  <c r="AA7" i="8"/>
  <c r="T7" i="8"/>
  <c r="AS7" i="8" s="1"/>
  <c r="AX7" i="8" s="1"/>
  <c r="S7" i="8"/>
  <c r="AR7" i="8" s="1"/>
  <c r="P7" i="8"/>
  <c r="O7" i="8"/>
  <c r="X7" i="8"/>
  <c r="AB7" i="8"/>
  <c r="U7" i="8"/>
  <c r="Y7" i="8"/>
  <c r="V7" i="8"/>
  <c r="AU7" i="8" s="1"/>
  <c r="X79" i="8"/>
  <c r="AB79" i="8"/>
  <c r="T79" i="8"/>
  <c r="S79" i="8"/>
  <c r="AR79" i="8" s="1"/>
  <c r="AW79" i="8" s="1"/>
  <c r="Q79" i="8"/>
  <c r="Z79" i="8"/>
  <c r="Y79" i="8"/>
  <c r="U79" i="8"/>
  <c r="AT79" i="8" s="1"/>
  <c r="AY79" i="8" s="1"/>
  <c r="V79" i="8"/>
  <c r="P79" i="8"/>
  <c r="AA79" i="8"/>
  <c r="W79" i="8"/>
  <c r="AV79" i="8" s="1"/>
  <c r="O79" i="8"/>
  <c r="AA63" i="8"/>
  <c r="V63" i="8"/>
  <c r="O63" i="8"/>
  <c r="BC63" i="8" s="1"/>
  <c r="X63" i="8"/>
  <c r="AB63" i="8"/>
  <c r="W63" i="8"/>
  <c r="AV63" i="8" s="1"/>
  <c r="Y63" i="8"/>
  <c r="T63" i="8"/>
  <c r="S63" i="8"/>
  <c r="P63" i="8"/>
  <c r="Z63" i="8"/>
  <c r="U63" i="8"/>
  <c r="Q63" i="8"/>
  <c r="BF62" i="8"/>
  <c r="Z62" i="8"/>
  <c r="T62" i="8"/>
  <c r="S62" i="8"/>
  <c r="AR62" i="8" s="1"/>
  <c r="AA62" i="8"/>
  <c r="U62" i="8"/>
  <c r="O62" i="8"/>
  <c r="X62" i="8"/>
  <c r="AB62" i="8"/>
  <c r="V62" i="8"/>
  <c r="Q62" i="8"/>
  <c r="P62" i="8"/>
  <c r="Y62" i="8"/>
  <c r="W62" i="8"/>
  <c r="AG62" i="8" s="1"/>
  <c r="BB62" i="8"/>
  <c r="AC62" i="8"/>
  <c r="X6" i="8"/>
  <c r="AB6" i="8"/>
  <c r="T6" i="8"/>
  <c r="S6" i="8"/>
  <c r="U6" i="8"/>
  <c r="P6" i="8"/>
  <c r="AE6" i="8" s="1"/>
  <c r="Z6" i="8"/>
  <c r="O6" i="8"/>
  <c r="AA6" i="8"/>
  <c r="W6" i="8"/>
  <c r="Q6" i="8"/>
  <c r="Y6" i="8"/>
  <c r="V6" i="8"/>
  <c r="R6" i="8"/>
  <c r="AS63" i="8"/>
  <c r="AX63" i="8" s="1"/>
  <c r="AR102" i="8"/>
  <c r="AW102" i="8" s="1"/>
  <c r="AR63" i="8"/>
  <c r="BL63" i="8" s="1"/>
  <c r="AW83" i="8"/>
  <c r="N87" i="8"/>
  <c r="N7" i="8"/>
  <c r="R7" i="8"/>
  <c r="N91" i="8"/>
  <c r="R91" i="8"/>
  <c r="N81" i="8"/>
  <c r="R81" i="8"/>
  <c r="AU81" i="8"/>
  <c r="AZ81" i="8" s="1"/>
  <c r="BE18" i="8"/>
  <c r="N18" i="8"/>
  <c r="R18" i="8"/>
  <c r="BC18" i="8"/>
  <c r="BE46" i="8"/>
  <c r="N46" i="8"/>
  <c r="R46" i="8"/>
  <c r="AU46" i="8"/>
  <c r="AZ46" i="8" s="1"/>
  <c r="N11" i="8"/>
  <c r="R11" i="8"/>
  <c r="AU11" i="8"/>
  <c r="AZ11" i="8" s="1"/>
  <c r="AT11" i="8"/>
  <c r="N65" i="8"/>
  <c r="R65" i="8"/>
  <c r="AR65" i="8"/>
  <c r="AW65" i="8" s="1"/>
  <c r="AS65" i="8"/>
  <c r="AV30" i="8"/>
  <c r="BA30" i="8" s="1"/>
  <c r="BD30" i="8"/>
  <c r="N30" i="8"/>
  <c r="BE30" i="8"/>
  <c r="R30" i="8"/>
  <c r="N28" i="8"/>
  <c r="BE28" i="8"/>
  <c r="R28" i="8"/>
  <c r="BC71" i="8"/>
  <c r="AR71" i="8"/>
  <c r="AW71" i="8" s="1"/>
  <c r="AV71" i="8"/>
  <c r="BA71" i="8" s="1"/>
  <c r="BD71" i="8"/>
  <c r="N71" i="8"/>
  <c r="AU71" i="8"/>
  <c r="BE71" i="8"/>
  <c r="R71" i="8"/>
  <c r="BN71" i="8"/>
  <c r="BE24" i="8"/>
  <c r="N24" i="8"/>
  <c r="R24" i="8"/>
  <c r="BC24" i="8"/>
  <c r="BD24" i="8"/>
  <c r="BE23" i="8"/>
  <c r="AT23" i="8"/>
  <c r="BN23" i="8" s="1"/>
  <c r="N23" i="8"/>
  <c r="R23" i="8"/>
  <c r="AV23" i="8"/>
  <c r="BA23" i="8" s="1"/>
  <c r="BC52" i="8"/>
  <c r="AR52" i="8"/>
  <c r="AW52" i="8" s="1"/>
  <c r="AV52" i="8"/>
  <c r="BA52" i="8" s="1"/>
  <c r="N52" i="8"/>
  <c r="R52" i="8"/>
  <c r="BC59" i="8"/>
  <c r="AS59" i="8"/>
  <c r="BM59" i="8" s="1"/>
  <c r="R59" i="8"/>
  <c r="N59" i="8"/>
  <c r="N40" i="8"/>
  <c r="R40" i="8"/>
  <c r="BE40" i="8"/>
  <c r="AT40" i="8"/>
  <c r="N102" i="8"/>
  <c r="R102" i="8"/>
  <c r="BE102" i="8"/>
  <c r="N36" i="8"/>
  <c r="R36" i="8"/>
  <c r="AT36" i="8"/>
  <c r="BE36" i="8"/>
  <c r="N99" i="8"/>
  <c r="R99" i="8"/>
  <c r="BE99" i="8"/>
  <c r="AS99" i="8"/>
  <c r="AX99" i="8" s="1"/>
  <c r="BC72" i="8"/>
  <c r="BD72" i="8"/>
  <c r="R72" i="8"/>
  <c r="N72" i="8"/>
  <c r="N6" i="8"/>
  <c r="AR24" i="8"/>
  <c r="AW24" i="8" s="1"/>
  <c r="AY34" i="8"/>
  <c r="AT59" i="8"/>
  <c r="AR38" i="8"/>
  <c r="BL38" i="8" s="1"/>
  <c r="N88" i="8"/>
  <c r="R88" i="8"/>
  <c r="N9" i="8"/>
  <c r="R9" i="8"/>
  <c r="AR9" i="8"/>
  <c r="AW9" i="8" s="1"/>
  <c r="N79" i="8"/>
  <c r="R79" i="8"/>
  <c r="BE79" i="8"/>
  <c r="BC79" i="8"/>
  <c r="AR92" i="8"/>
  <c r="AW92" i="8" s="1"/>
  <c r="N92" i="8"/>
  <c r="BE92" i="8"/>
  <c r="R92" i="8"/>
  <c r="N50" i="8"/>
  <c r="R50" i="8"/>
  <c r="BE50" i="8"/>
  <c r="N20" i="8"/>
  <c r="R20" i="8"/>
  <c r="AT17" i="8"/>
  <c r="AY17" i="8" s="1"/>
  <c r="N17" i="8"/>
  <c r="R17" i="8"/>
  <c r="N15" i="8"/>
  <c r="R15" i="8"/>
  <c r="N66" i="8"/>
  <c r="R66" i="8"/>
  <c r="N45" i="8"/>
  <c r="R45" i="8"/>
  <c r="BE45" i="8"/>
  <c r="BC45" i="8"/>
  <c r="R29" i="8"/>
  <c r="N29" i="8"/>
  <c r="AU29" i="8"/>
  <c r="AZ29" i="8" s="1"/>
  <c r="AR27" i="8"/>
  <c r="R27" i="8"/>
  <c r="N27" i="8"/>
  <c r="BD26" i="8"/>
  <c r="AS26" i="8"/>
  <c r="BM26" i="8" s="1"/>
  <c r="R26" i="8"/>
  <c r="N26" i="8"/>
  <c r="BE94" i="8"/>
  <c r="N94" i="8"/>
  <c r="R94" i="8"/>
  <c r="AU94" i="8"/>
  <c r="AZ94" i="8" s="1"/>
  <c r="BD94" i="8"/>
  <c r="N82" i="8"/>
  <c r="R82" i="8"/>
  <c r="AU82" i="8"/>
  <c r="AZ82" i="8" s="1"/>
  <c r="BC82" i="8"/>
  <c r="AV69" i="8"/>
  <c r="BA69" i="8" s="1"/>
  <c r="AS69" i="8"/>
  <c r="AX69" i="8" s="1"/>
  <c r="R69" i="8"/>
  <c r="N69" i="8"/>
  <c r="BC58" i="8"/>
  <c r="BD58" i="8"/>
  <c r="N58" i="8"/>
  <c r="BE58" i="8"/>
  <c r="R58" i="8"/>
  <c r="N39" i="8"/>
  <c r="R39" i="8"/>
  <c r="N74" i="8"/>
  <c r="R74" i="8"/>
  <c r="BE74" i="8"/>
  <c r="AV74" i="8"/>
  <c r="BC74" i="8"/>
  <c r="N35" i="8"/>
  <c r="R35" i="8"/>
  <c r="BC35" i="8"/>
  <c r="AR35" i="8"/>
  <c r="AW35" i="8" s="1"/>
  <c r="AV35" i="8"/>
  <c r="BA35" i="8" s="1"/>
  <c r="N73" i="8"/>
  <c r="R73" i="8"/>
  <c r="BE73" i="8"/>
  <c r="AR32" i="8"/>
  <c r="BD32" i="8"/>
  <c r="BL32" i="8"/>
  <c r="N32" i="8"/>
  <c r="R32" i="8"/>
  <c r="AT63" i="8"/>
  <c r="AY63" i="8" s="1"/>
  <c r="AR49" i="8"/>
  <c r="BL49" i="8" s="1"/>
  <c r="BE27" i="8"/>
  <c r="AV49" i="8"/>
  <c r="BA49" i="8" s="1"/>
  <c r="BL83" i="8"/>
  <c r="BN84" i="8"/>
  <c r="AR36" i="8"/>
  <c r="AW36" i="8" s="1"/>
  <c r="N64" i="8"/>
  <c r="R64" i="8"/>
  <c r="N8" i="8"/>
  <c r="R8" i="8"/>
  <c r="AU8" i="8"/>
  <c r="AZ8" i="8" s="1"/>
  <c r="R63" i="8"/>
  <c r="N63" i="8"/>
  <c r="BC51" i="8"/>
  <c r="N49" i="8"/>
  <c r="R49" i="8"/>
  <c r="N67" i="8"/>
  <c r="R67" i="8"/>
  <c r="BE47" i="8"/>
  <c r="N47" i="8"/>
  <c r="R47" i="8"/>
  <c r="N13" i="8"/>
  <c r="R13" i="8"/>
  <c r="N80" i="8"/>
  <c r="R80" i="8"/>
  <c r="N89" i="8"/>
  <c r="R89" i="8"/>
  <c r="AV55" i="8"/>
  <c r="BD55" i="8"/>
  <c r="AR96" i="8"/>
  <c r="BL96" i="8" s="1"/>
  <c r="AV96" i="8"/>
  <c r="BD96" i="8"/>
  <c r="BC84" i="8"/>
  <c r="AT83" i="8"/>
  <c r="AY83" i="8" s="1"/>
  <c r="N83" i="8"/>
  <c r="R83" i="8"/>
  <c r="R70" i="8"/>
  <c r="BD93" i="8"/>
  <c r="BC57" i="8"/>
  <c r="BO57" i="8"/>
  <c r="N38" i="8"/>
  <c r="R38" i="8"/>
  <c r="AU38" i="8"/>
  <c r="AZ38" i="8" s="1"/>
  <c r="BE38" i="8"/>
  <c r="AV38" i="8"/>
  <c r="BA38" i="8" s="1"/>
  <c r="N101" i="8"/>
  <c r="R101" i="8"/>
  <c r="AU101" i="8"/>
  <c r="AZ101" i="8" s="1"/>
  <c r="BD101" i="8"/>
  <c r="BE101" i="8"/>
  <c r="N34" i="8"/>
  <c r="R34" i="8"/>
  <c r="AU34" i="8"/>
  <c r="BN34" i="8"/>
  <c r="BC98" i="8"/>
  <c r="BD98" i="8"/>
  <c r="BE63" i="8"/>
  <c r="AS62" i="8"/>
  <c r="AX62" i="8" s="1"/>
  <c r="AV13" i="8"/>
  <c r="BA13" i="8" s="1"/>
  <c r="AV89" i="8"/>
  <c r="BD49" i="8"/>
  <c r="AV83" i="8"/>
  <c r="N70" i="8"/>
  <c r="BE84" i="8"/>
  <c r="AV100" i="8"/>
  <c r="BC34" i="8"/>
  <c r="AT99" i="8"/>
  <c r="BA96" i="8"/>
  <c r="AT13" i="8"/>
  <c r="AY13" i="8" s="1"/>
  <c r="AT89" i="8"/>
  <c r="AY89" i="8" s="1"/>
  <c r="N93" i="8"/>
  <c r="R51" i="8"/>
  <c r="BB68" i="8"/>
  <c r="R98" i="8"/>
  <c r="N55" i="8"/>
  <c r="N96" i="8"/>
  <c r="N84" i="8"/>
  <c r="R57" i="8"/>
  <c r="AX38" i="8"/>
  <c r="AU79" i="8"/>
  <c r="AZ79" i="8" s="1"/>
  <c r="N56" i="8"/>
  <c r="R56" i="8"/>
  <c r="N37" i="8"/>
  <c r="R37" i="8"/>
  <c r="N100" i="8"/>
  <c r="R100" i="8"/>
  <c r="N33" i="8"/>
  <c r="R33" i="8"/>
  <c r="BE62" i="8"/>
  <c r="BL10" i="8"/>
  <c r="R43" i="8"/>
  <c r="R12" i="8"/>
  <c r="AU90" i="8"/>
  <c r="BO90" i="8" s="1"/>
  <c r="R90" i="8"/>
  <c r="N90" i="8"/>
  <c r="R48" i="8"/>
  <c r="BN19" i="8"/>
  <c r="R19" i="8"/>
  <c r="N19" i="8"/>
  <c r="R16" i="8"/>
  <c r="N16" i="8"/>
  <c r="R25" i="8"/>
  <c r="N25" i="8"/>
  <c r="R53" i="8"/>
  <c r="AS22" i="8"/>
  <c r="AX22" i="8" s="1"/>
  <c r="AS21" i="8"/>
  <c r="AX21" i="8" s="1"/>
  <c r="BD68" i="8"/>
  <c r="AS31" i="8"/>
  <c r="AX31" i="8" s="1"/>
  <c r="BD31" i="8"/>
  <c r="AS54" i="8"/>
  <c r="AX54" i="8" s="1"/>
  <c r="AS95" i="8"/>
  <c r="AX95" i="8" s="1"/>
  <c r="BD37" i="8"/>
  <c r="AT100" i="8"/>
  <c r="AY100" i="8" s="1"/>
  <c r="BD100" i="8"/>
  <c r="AR59" i="8"/>
  <c r="AW59" i="8" s="1"/>
  <c r="AS56" i="8"/>
  <c r="AT102" i="8"/>
  <c r="AY102" i="8" s="1"/>
  <c r="AT67" i="8"/>
  <c r="BN67" i="8" s="1"/>
  <c r="BE25" i="8"/>
  <c r="BO22" i="8"/>
  <c r="AV21" i="8"/>
  <c r="BA21" i="8" s="1"/>
  <c r="BO54" i="8"/>
  <c r="BO95" i="8"/>
  <c r="AS100" i="8"/>
  <c r="AX100" i="8" s="1"/>
  <c r="AV57" i="8"/>
  <c r="BA57" i="8" s="1"/>
  <c r="AR57" i="8"/>
  <c r="AR40" i="8"/>
  <c r="AW40" i="8" s="1"/>
  <c r="AS35" i="8"/>
  <c r="AS28" i="8"/>
  <c r="AS96" i="8"/>
  <c r="AS71" i="8"/>
  <c r="AR22" i="8"/>
  <c r="AW22" i="8" s="1"/>
  <c r="AR69" i="8"/>
  <c r="AR21" i="8"/>
  <c r="AW21" i="8" s="1"/>
  <c r="AV29" i="8"/>
  <c r="BA29" i="8" s="1"/>
  <c r="AR29" i="8"/>
  <c r="AW29" i="8" s="1"/>
  <c r="AV27" i="8"/>
  <c r="BA27" i="8" s="1"/>
  <c r="AV25" i="8"/>
  <c r="BP25" i="8" s="1"/>
  <c r="AV53" i="8"/>
  <c r="BP53" i="8" s="1"/>
  <c r="AV81" i="8"/>
  <c r="AV45" i="8"/>
  <c r="AV8" i="8"/>
  <c r="AV7" i="8"/>
  <c r="BA7" i="8" s="1"/>
  <c r="AR39" i="8"/>
  <c r="AW39" i="8" s="1"/>
  <c r="AT31" i="8"/>
  <c r="BN31" i="8" s="1"/>
  <c r="AU30" i="8"/>
  <c r="AT27" i="8"/>
  <c r="AY27" i="8" s="1"/>
  <c r="AT95" i="8"/>
  <c r="AY95" i="8" s="1"/>
  <c r="AT26" i="8"/>
  <c r="AY26" i="8" s="1"/>
  <c r="AU84" i="8"/>
  <c r="AZ84" i="8" s="1"/>
  <c r="AU23" i="8"/>
  <c r="AU93" i="8"/>
  <c r="AZ93" i="8" s="1"/>
  <c r="AT21" i="8"/>
  <c r="AU68" i="8"/>
  <c r="AZ68" i="8" s="1"/>
  <c r="AT49" i="8"/>
  <c r="AS19" i="8"/>
  <c r="AX19" i="8" s="1"/>
  <c r="AT7" i="8"/>
  <c r="AY7" i="8" s="1"/>
  <c r="AR47" i="8"/>
  <c r="BL47" i="8" s="1"/>
  <c r="AV46" i="8"/>
  <c r="BP46" i="8" s="1"/>
  <c r="AT90" i="8"/>
  <c r="AY90" i="8" s="1"/>
  <c r="AV18" i="8"/>
  <c r="AU16" i="8"/>
  <c r="BO16" i="8" s="1"/>
  <c r="AV66" i="8"/>
  <c r="AU65" i="8"/>
  <c r="AZ65" i="8" s="1"/>
  <c r="AV88" i="8"/>
  <c r="AU10" i="8"/>
  <c r="AZ10" i="8" s="1"/>
  <c r="AT87" i="8"/>
  <c r="AT70" i="8"/>
  <c r="AU70" i="8"/>
  <c r="AY28" i="8"/>
  <c r="AY71" i="8"/>
  <c r="AS15" i="8"/>
  <c r="AX15" i="8" s="1"/>
  <c r="AY33" i="8"/>
  <c r="AZ31" i="8"/>
  <c r="AZ30" i="8"/>
  <c r="AZ54" i="8"/>
  <c r="AZ21" i="8"/>
  <c r="AS80" i="8"/>
  <c r="AX80" i="8" s="1"/>
  <c r="AS79" i="8"/>
  <c r="AX79" i="8" s="1"/>
  <c r="AR73" i="8"/>
  <c r="AW73" i="8" s="1"/>
  <c r="BA25" i="8"/>
  <c r="AS13" i="8"/>
  <c r="AX13" i="8" s="1"/>
  <c r="AW48" i="8"/>
  <c r="AW89" i="8"/>
  <c r="BA43" i="8"/>
  <c r="AW43" i="8"/>
  <c r="BR28" i="8"/>
  <c r="BQ28" i="8"/>
  <c r="BM53" i="8" l="1"/>
  <c r="BN96" i="8"/>
  <c r="AX56" i="8"/>
  <c r="BC95" i="8"/>
  <c r="AE65" i="8"/>
  <c r="AF67" i="8"/>
  <c r="BA55" i="8"/>
  <c r="BP96" i="8"/>
  <c r="AW37" i="8"/>
  <c r="BL62" i="8"/>
  <c r="AF63" i="8"/>
  <c r="BA89" i="8"/>
  <c r="BO21" i="8"/>
  <c r="BH95" i="8"/>
  <c r="BE9" i="8"/>
  <c r="BO64" i="8"/>
  <c r="AF89" i="8"/>
  <c r="BM48" i="8"/>
  <c r="AW69" i="8"/>
  <c r="BH36" i="8"/>
  <c r="BL102" i="8"/>
  <c r="AZ9" i="8"/>
  <c r="BJ9" i="8" s="1"/>
  <c r="BD34" i="8"/>
  <c r="BC32" i="8"/>
  <c r="BP19" i="8"/>
  <c r="AD64" i="8"/>
  <c r="BH64" i="8" s="1"/>
  <c r="AE89" i="8"/>
  <c r="BL12" i="8"/>
  <c r="BO91" i="8"/>
  <c r="BC97" i="8"/>
  <c r="BB71" i="8"/>
  <c r="AC71" i="8"/>
  <c r="BG71" i="8" s="1"/>
  <c r="AF83" i="8"/>
  <c r="AD28" i="8"/>
  <c r="AE59" i="8"/>
  <c r="BA34" i="8"/>
  <c r="AR53" i="8"/>
  <c r="AW53" i="8" s="1"/>
  <c r="BD56" i="8"/>
  <c r="BH54" i="8"/>
  <c r="AW100" i="8"/>
  <c r="BF71" i="8"/>
  <c r="AG71" i="8"/>
  <c r="BL71" i="8"/>
  <c r="AF25" i="8"/>
  <c r="AG95" i="8"/>
  <c r="BK95" i="8" s="1"/>
  <c r="AF27" i="8"/>
  <c r="AE27" i="8"/>
  <c r="BN97" i="8"/>
  <c r="AF24" i="8"/>
  <c r="AE31" i="8"/>
  <c r="AC31" i="8"/>
  <c r="AD31" i="8"/>
  <c r="BH31" i="8" s="1"/>
  <c r="AF36" i="8"/>
  <c r="AE100" i="8"/>
  <c r="AF58" i="8"/>
  <c r="AY30" i="8"/>
  <c r="AV84" i="8"/>
  <c r="BP84" i="8" s="1"/>
  <c r="AF96" i="8"/>
  <c r="AG97" i="8"/>
  <c r="AD73" i="8"/>
  <c r="AD38" i="8"/>
  <c r="BH38" i="8" s="1"/>
  <c r="AD59" i="8"/>
  <c r="AY56" i="8"/>
  <c r="BI56" i="8" s="1"/>
  <c r="BC73" i="8"/>
  <c r="AZ23" i="8"/>
  <c r="BA53" i="8"/>
  <c r="AE94" i="8"/>
  <c r="BI94" i="8" s="1"/>
  <c r="AE96" i="8"/>
  <c r="BI96" i="8" s="1"/>
  <c r="BN28" i="8"/>
  <c r="AE73" i="8"/>
  <c r="AE58" i="8"/>
  <c r="AS82" i="8"/>
  <c r="BM82" i="8" s="1"/>
  <c r="BE52" i="8"/>
  <c r="BL16" i="8"/>
  <c r="BN92" i="8"/>
  <c r="AE69" i="8"/>
  <c r="BD69" i="8"/>
  <c r="BD46" i="8"/>
  <c r="AG10" i="8"/>
  <c r="BK10" i="8" s="1"/>
  <c r="BL19" i="8"/>
  <c r="BP48" i="8"/>
  <c r="AE92" i="8"/>
  <c r="AD69" i="8"/>
  <c r="BH69" i="8" s="1"/>
  <c r="AD68" i="8"/>
  <c r="AE70" i="8"/>
  <c r="BN21" i="8"/>
  <c r="BI89" i="8"/>
  <c r="BC64" i="8"/>
  <c r="BN11" i="8"/>
  <c r="AF88" i="8"/>
  <c r="AE88" i="8"/>
  <c r="BO88" i="8"/>
  <c r="AD91" i="8"/>
  <c r="AF92" i="8"/>
  <c r="BJ92" i="8" s="1"/>
  <c r="AE20" i="8"/>
  <c r="BI20" i="8" s="1"/>
  <c r="BN52" i="8"/>
  <c r="AD82" i="8"/>
  <c r="BA79" i="8"/>
  <c r="BP79" i="8"/>
  <c r="BN79" i="8"/>
  <c r="AF8" i="8"/>
  <c r="AF87" i="8"/>
  <c r="AD87" i="8"/>
  <c r="BH87" i="8" s="1"/>
  <c r="BO87" i="8"/>
  <c r="AV62" i="8"/>
  <c r="BA62" i="8" s="1"/>
  <c r="BD6" i="8"/>
  <c r="BB82" i="8"/>
  <c r="AC82" i="8"/>
  <c r="AE82" i="8"/>
  <c r="BF82" i="8"/>
  <c r="AG82" i="8"/>
  <c r="AF82" i="8"/>
  <c r="BJ82" i="8" s="1"/>
  <c r="BD82" i="8"/>
  <c r="BB58" i="8"/>
  <c r="AC58" i="8"/>
  <c r="BG58" i="8" s="1"/>
  <c r="BF58" i="8"/>
  <c r="AG58" i="8"/>
  <c r="AD58" i="8"/>
  <c r="AR56" i="8"/>
  <c r="AW56" i="8" s="1"/>
  <c r="BF56" i="8"/>
  <c r="AG56" i="8"/>
  <c r="AF56" i="8"/>
  <c r="BE56" i="8"/>
  <c r="BA56" i="8"/>
  <c r="BK56" i="8" s="1"/>
  <c r="AD56" i="8"/>
  <c r="BC56" i="8"/>
  <c r="BB56" i="8"/>
  <c r="AC56" i="8"/>
  <c r="BB59" i="8"/>
  <c r="AC59" i="8"/>
  <c r="BF59" i="8"/>
  <c r="AG59" i="8"/>
  <c r="BD59" i="8"/>
  <c r="AF59" i="8"/>
  <c r="BE59" i="8"/>
  <c r="AF57" i="8"/>
  <c r="BJ57" i="8" s="1"/>
  <c r="BE57" i="8"/>
  <c r="BF57" i="8"/>
  <c r="AG57" i="8"/>
  <c r="BK57" i="8" s="1"/>
  <c r="AD57" i="8"/>
  <c r="AE57" i="8"/>
  <c r="AF39" i="8"/>
  <c r="BD39" i="8"/>
  <c r="BB39" i="8"/>
  <c r="AC39" i="8"/>
  <c r="BG39" i="8" s="1"/>
  <c r="BF39" i="8"/>
  <c r="AG39" i="8"/>
  <c r="BK39" i="8" s="1"/>
  <c r="BE39" i="8"/>
  <c r="AD39" i="8"/>
  <c r="BC39" i="8"/>
  <c r="AE40" i="8"/>
  <c r="BD40" i="8"/>
  <c r="AF40" i="8"/>
  <c r="BF40" i="8"/>
  <c r="AG40" i="8"/>
  <c r="BB40" i="8"/>
  <c r="AC40" i="8"/>
  <c r="AD40" i="8"/>
  <c r="BH40" i="8" s="1"/>
  <c r="AD101" i="8"/>
  <c r="BC101" i="8"/>
  <c r="BF101" i="8"/>
  <c r="AG101" i="8"/>
  <c r="BK101" i="8" s="1"/>
  <c r="BB101" i="8"/>
  <c r="AC101" i="8"/>
  <c r="BG101" i="8" s="1"/>
  <c r="AE101" i="8"/>
  <c r="AF101" i="8"/>
  <c r="BF38" i="8"/>
  <c r="AG38" i="8"/>
  <c r="BK38" i="8" s="1"/>
  <c r="AE38" i="8"/>
  <c r="BB38" i="8"/>
  <c r="AC38" i="8"/>
  <c r="BC38" i="8"/>
  <c r="AF38" i="8"/>
  <c r="BP37" i="8"/>
  <c r="AF37" i="8"/>
  <c r="BE37" i="8"/>
  <c r="AE37" i="8"/>
  <c r="BF37" i="8"/>
  <c r="AG37" i="8"/>
  <c r="BK37" i="8" s="1"/>
  <c r="BB37" i="8"/>
  <c r="AC37" i="8"/>
  <c r="BG37" i="8" s="1"/>
  <c r="AD37" i="8"/>
  <c r="AE74" i="8"/>
  <c r="BD74" i="8"/>
  <c r="BF74" i="8"/>
  <c r="AG74" i="8"/>
  <c r="AF74" i="8"/>
  <c r="BB74" i="8"/>
  <c r="AC74" i="8"/>
  <c r="AD74" i="8"/>
  <c r="BH74" i="8" s="1"/>
  <c r="BF100" i="8"/>
  <c r="AG100" i="8"/>
  <c r="BB100" i="8"/>
  <c r="AC100" i="8"/>
  <c r="BG100" i="8" s="1"/>
  <c r="BP100" i="8"/>
  <c r="AD100" i="8"/>
  <c r="BH100" i="8" s="1"/>
  <c r="AF100" i="8"/>
  <c r="BE100" i="8"/>
  <c r="BF73" i="8"/>
  <c r="AG73" i="8"/>
  <c r="BB73" i="8"/>
  <c r="AC73" i="8"/>
  <c r="BG73" i="8" s="1"/>
  <c r="BD73" i="8"/>
  <c r="AF73" i="8"/>
  <c r="AF102" i="8"/>
  <c r="BF102" i="8"/>
  <c r="AG102" i="8"/>
  <c r="BC102" i="8"/>
  <c r="BB102" i="8"/>
  <c r="AC102" i="8"/>
  <c r="BG102" i="8" s="1"/>
  <c r="AE102" i="8"/>
  <c r="BF99" i="8"/>
  <c r="AG99" i="8"/>
  <c r="AE99" i="8"/>
  <c r="BB99" i="8"/>
  <c r="AC99" i="8"/>
  <c r="BG99" i="8" s="1"/>
  <c r="AF99" i="8"/>
  <c r="BM99" i="8"/>
  <c r="BD99" i="8"/>
  <c r="AD99" i="8"/>
  <c r="BH99" i="8" s="1"/>
  <c r="BF35" i="8"/>
  <c r="AG35" i="8"/>
  <c r="BB35" i="8"/>
  <c r="AC35" i="8"/>
  <c r="BG35" i="8" s="1"/>
  <c r="AD35" i="8"/>
  <c r="AE35" i="8"/>
  <c r="BD35" i="8"/>
  <c r="AF35" i="8"/>
  <c r="BI34" i="8"/>
  <c r="BB34" i="8"/>
  <c r="AC34" i="8"/>
  <c r="BE34" i="8"/>
  <c r="BF34" i="8"/>
  <c r="AG34" i="8"/>
  <c r="BK34" i="8" s="1"/>
  <c r="AD34" i="8"/>
  <c r="BC36" i="8"/>
  <c r="BF36" i="8"/>
  <c r="AG36" i="8"/>
  <c r="BB36" i="8"/>
  <c r="AC36" i="8"/>
  <c r="BG36" i="8" s="1"/>
  <c r="AE36" i="8"/>
  <c r="AG31" i="8"/>
  <c r="BK31" i="8" s="1"/>
  <c r="AF31" i="8"/>
  <c r="BJ31" i="8" s="1"/>
  <c r="BE31" i="8"/>
  <c r="BC31" i="8"/>
  <c r="BF33" i="8"/>
  <c r="AG33" i="8"/>
  <c r="BB33" i="8"/>
  <c r="AC33" i="8"/>
  <c r="AX33" i="8"/>
  <c r="AD33" i="8"/>
  <c r="BH33" i="8" s="1"/>
  <c r="AE33" i="8"/>
  <c r="AF33" i="8"/>
  <c r="BF72" i="8"/>
  <c r="AG72" i="8"/>
  <c r="AE72" i="8"/>
  <c r="BB72" i="8"/>
  <c r="AC72" i="8"/>
  <c r="AF72" i="8"/>
  <c r="BJ72" i="8" s="1"/>
  <c r="BE72" i="8"/>
  <c r="BP24" i="8"/>
  <c r="BF24" i="8"/>
  <c r="AG24" i="8"/>
  <c r="BK24" i="8" s="1"/>
  <c r="BB24" i="8"/>
  <c r="AC24" i="8"/>
  <c r="BG24" i="8" s="1"/>
  <c r="AD24" i="8"/>
  <c r="AE24" i="8"/>
  <c r="AF21" i="8"/>
  <c r="BJ21" i="8" s="1"/>
  <c r="BE21" i="8"/>
  <c r="BG21" i="8"/>
  <c r="BK21" i="8"/>
  <c r="BD21" i="8"/>
  <c r="AD21" i="8"/>
  <c r="BH21" i="8" s="1"/>
  <c r="BN55" i="8"/>
  <c r="BL55" i="8"/>
  <c r="BB55" i="8"/>
  <c r="AC55" i="8"/>
  <c r="AW55" i="8"/>
  <c r="AD55" i="8"/>
  <c r="AE55" i="8"/>
  <c r="BI55" i="8" s="1"/>
  <c r="AF55" i="8"/>
  <c r="BN32" i="8"/>
  <c r="BF32" i="8"/>
  <c r="AG32" i="8"/>
  <c r="BB32" i="8"/>
  <c r="AC32" i="8"/>
  <c r="AE32" i="8"/>
  <c r="BI32" i="8" s="1"/>
  <c r="AF32" i="8"/>
  <c r="BJ32" i="8" s="1"/>
  <c r="AR54" i="8"/>
  <c r="AW54" i="8" s="1"/>
  <c r="BG54" i="8" s="1"/>
  <c r="BP54" i="8"/>
  <c r="AF54" i="8"/>
  <c r="BJ54" i="8" s="1"/>
  <c r="BE54" i="8"/>
  <c r="AE54" i="8"/>
  <c r="BI54" i="8" s="1"/>
  <c r="BC54" i="8"/>
  <c r="BF54" i="8"/>
  <c r="AG54" i="8"/>
  <c r="BK54" i="8" s="1"/>
  <c r="AE98" i="8"/>
  <c r="AR98" i="8"/>
  <c r="AW98" i="8" s="1"/>
  <c r="BG98" i="8" s="1"/>
  <c r="AF98" i="8"/>
  <c r="BE98" i="8"/>
  <c r="BF98" i="8"/>
  <c r="AG98" i="8"/>
  <c r="BK98" i="8" s="1"/>
  <c r="AZ98" i="8"/>
  <c r="AD98" i="8"/>
  <c r="BF30" i="8"/>
  <c r="AG30" i="8"/>
  <c r="BB30" i="8"/>
  <c r="AC30" i="8"/>
  <c r="BG30" i="8" s="1"/>
  <c r="AD30" i="8"/>
  <c r="BC30" i="8"/>
  <c r="AE30" i="8"/>
  <c r="BI30" i="8" s="1"/>
  <c r="AF30" i="8"/>
  <c r="BO97" i="8"/>
  <c r="AF97" i="8"/>
  <c r="BJ97" i="8" s="1"/>
  <c r="BE97" i="8"/>
  <c r="AY97" i="8"/>
  <c r="BB97" i="8"/>
  <c r="AC97" i="8"/>
  <c r="AE97" i="8"/>
  <c r="BD27" i="8"/>
  <c r="AD27" i="8"/>
  <c r="BB27" i="8"/>
  <c r="AC27" i="8"/>
  <c r="BF27" i="8"/>
  <c r="AG27" i="8"/>
  <c r="BK27" i="8" s="1"/>
  <c r="BB70" i="8"/>
  <c r="AC70" i="8"/>
  <c r="BG70" i="8" s="1"/>
  <c r="AD70" i="8"/>
  <c r="BF70" i="8"/>
  <c r="AG70" i="8"/>
  <c r="AF70" i="8"/>
  <c r="AE95" i="8"/>
  <c r="AF95" i="8"/>
  <c r="BJ95" i="8" s="1"/>
  <c r="BE95" i="8"/>
  <c r="BD95" i="8"/>
  <c r="BB95" i="8"/>
  <c r="AC95" i="8"/>
  <c r="BG95" i="8" s="1"/>
  <c r="BB25" i="8"/>
  <c r="AC25" i="8"/>
  <c r="AD25" i="8"/>
  <c r="BH25" i="8" s="1"/>
  <c r="BC25" i="8"/>
  <c r="BF25" i="8"/>
  <c r="AG25" i="8"/>
  <c r="BK25" i="8" s="1"/>
  <c r="AE25" i="8"/>
  <c r="BI25" i="8" s="1"/>
  <c r="BD25" i="8"/>
  <c r="AF29" i="8"/>
  <c r="BJ29" i="8" s="1"/>
  <c r="BE29" i="8"/>
  <c r="BB29" i="8"/>
  <c r="AC29" i="8"/>
  <c r="BG29" i="8" s="1"/>
  <c r="BC29" i="8"/>
  <c r="BK29" i="8"/>
  <c r="BF29" i="8"/>
  <c r="AG29" i="8"/>
  <c r="BM29" i="8"/>
  <c r="AE29" i="8"/>
  <c r="BF28" i="8"/>
  <c r="AG28" i="8"/>
  <c r="BK28" i="8" s="1"/>
  <c r="BB28" i="8"/>
  <c r="AC28" i="8"/>
  <c r="BG28" i="8" s="1"/>
  <c r="AF28" i="8"/>
  <c r="BJ28" i="8" s="1"/>
  <c r="AE28" i="8"/>
  <c r="BI28" i="8" s="1"/>
  <c r="BN68" i="8"/>
  <c r="BF68" i="8"/>
  <c r="AG68" i="8"/>
  <c r="AF68" i="8"/>
  <c r="BE68" i="8"/>
  <c r="BC68" i="8"/>
  <c r="AC68" i="8"/>
  <c r="AE68" i="8"/>
  <c r="BI68" i="8" s="1"/>
  <c r="BO96" i="8"/>
  <c r="BB96" i="8"/>
  <c r="AC96" i="8"/>
  <c r="AW96" i="8"/>
  <c r="BF96" i="8"/>
  <c r="AG96" i="8"/>
  <c r="AD96" i="8"/>
  <c r="AW26" i="8"/>
  <c r="BF26" i="8"/>
  <c r="AG26" i="8"/>
  <c r="BK26" i="8" s="1"/>
  <c r="AE26" i="8"/>
  <c r="BI26" i="8" s="1"/>
  <c r="BB26" i="8"/>
  <c r="AC26" i="8"/>
  <c r="BC26" i="8"/>
  <c r="AF26" i="8"/>
  <c r="BJ26" i="8" s="1"/>
  <c r="BE26" i="8"/>
  <c r="BO51" i="8"/>
  <c r="AX51" i="8"/>
  <c r="AD51" i="8"/>
  <c r="BF51" i="8"/>
  <c r="AG51" i="8"/>
  <c r="BB51" i="8"/>
  <c r="AC51" i="8"/>
  <c r="AE51" i="8"/>
  <c r="BI51" i="8" s="1"/>
  <c r="AF51" i="8"/>
  <c r="BJ51" i="8" s="1"/>
  <c r="BE51" i="8"/>
  <c r="BF94" i="8"/>
  <c r="AG94" i="8"/>
  <c r="BK94" i="8" s="1"/>
  <c r="BB94" i="8"/>
  <c r="AC94" i="8"/>
  <c r="AD94" i="8"/>
  <c r="BC94" i="8"/>
  <c r="AF94" i="8"/>
  <c r="BJ94" i="8" s="1"/>
  <c r="BB84" i="8"/>
  <c r="AC84" i="8"/>
  <c r="BG84" i="8" s="1"/>
  <c r="BD84" i="8"/>
  <c r="BF84" i="8"/>
  <c r="AG84" i="8"/>
  <c r="AD84" i="8"/>
  <c r="BL53" i="8"/>
  <c r="AD53" i="8"/>
  <c r="BH53" i="8" s="1"/>
  <c r="BC53" i="8"/>
  <c r="AF53" i="8"/>
  <c r="BE53" i="8"/>
  <c r="AE53" i="8"/>
  <c r="BI53" i="8" s="1"/>
  <c r="BD53" i="8"/>
  <c r="BF53" i="8"/>
  <c r="AG53" i="8"/>
  <c r="BB53" i="8"/>
  <c r="AC53" i="8"/>
  <c r="BF23" i="8"/>
  <c r="AG23" i="8"/>
  <c r="AD23" i="8"/>
  <c r="BH23" i="8" s="1"/>
  <c r="BB23" i="8"/>
  <c r="AC23" i="8"/>
  <c r="AE23" i="8"/>
  <c r="AF23" i="8"/>
  <c r="BJ23" i="8" s="1"/>
  <c r="BB52" i="8"/>
  <c r="AC52" i="8"/>
  <c r="BG52" i="8" s="1"/>
  <c r="AD52" i="8"/>
  <c r="AE52" i="8"/>
  <c r="BD52" i="8"/>
  <c r="BF52" i="8"/>
  <c r="AG52" i="8"/>
  <c r="AY52" i="8"/>
  <c r="BA22" i="8"/>
  <c r="AE22" i="8"/>
  <c r="BD22" i="8"/>
  <c r="BF22" i="8"/>
  <c r="AG22" i="8"/>
  <c r="AD22" i="8"/>
  <c r="BC22" i="8"/>
  <c r="AZ22" i="8"/>
  <c r="AY22" i="8"/>
  <c r="BH22" i="8"/>
  <c r="BB22" i="8"/>
  <c r="AC22" i="8"/>
  <c r="BG22" i="8" s="1"/>
  <c r="AF22" i="8"/>
  <c r="BE22" i="8"/>
  <c r="AF69" i="8"/>
  <c r="BJ69" i="8" s="1"/>
  <c r="BE69" i="8"/>
  <c r="BF69" i="8"/>
  <c r="AG69" i="8"/>
  <c r="BC69" i="8"/>
  <c r="BB69" i="8"/>
  <c r="AC69" i="8"/>
  <c r="AX20" i="8"/>
  <c r="BM20" i="8"/>
  <c r="BB20" i="8"/>
  <c r="AC20" i="8"/>
  <c r="AD20" i="8"/>
  <c r="BH20" i="8" s="1"/>
  <c r="BF20" i="8"/>
  <c r="AG20" i="8"/>
  <c r="BD20" i="8"/>
  <c r="AF20" i="8"/>
  <c r="AY92" i="8"/>
  <c r="BF92" i="8"/>
  <c r="AG92" i="8"/>
  <c r="BK92" i="8" s="1"/>
  <c r="AD92" i="8"/>
  <c r="BB92" i="8"/>
  <c r="AC92" i="8"/>
  <c r="BG92" i="8" s="1"/>
  <c r="BC92" i="8"/>
  <c r="AD93" i="8"/>
  <c r="BB93" i="8"/>
  <c r="AC93" i="8"/>
  <c r="BG93" i="8" s="1"/>
  <c r="BF93" i="8"/>
  <c r="AG93" i="8"/>
  <c r="BK93" i="8" s="1"/>
  <c r="AF93" i="8"/>
  <c r="BJ93" i="8" s="1"/>
  <c r="AE93" i="8"/>
  <c r="BI93" i="8" s="1"/>
  <c r="BA67" i="8"/>
  <c r="BP67" i="8"/>
  <c r="BB67" i="8"/>
  <c r="AC67" i="8"/>
  <c r="AD67" i="8"/>
  <c r="BC67" i="8"/>
  <c r="BE67" i="8"/>
  <c r="AE67" i="8"/>
  <c r="BD67" i="8"/>
  <c r="BF67" i="8"/>
  <c r="AG67" i="8"/>
  <c r="BN48" i="8"/>
  <c r="BF48" i="8"/>
  <c r="AG48" i="8"/>
  <c r="BK48" i="8" s="1"/>
  <c r="AE48" i="8"/>
  <c r="BI48" i="8" s="1"/>
  <c r="BD48" i="8"/>
  <c r="AD48" i="8"/>
  <c r="BC48" i="8"/>
  <c r="AF48" i="8"/>
  <c r="BE48" i="8"/>
  <c r="AC48" i="8"/>
  <c r="BG48" i="8" s="1"/>
  <c r="BB48" i="8"/>
  <c r="BF91" i="8"/>
  <c r="AG91" i="8"/>
  <c r="AE91" i="8"/>
  <c r="BD91" i="8"/>
  <c r="BC91" i="8"/>
  <c r="BB91" i="8"/>
  <c r="AC91" i="8"/>
  <c r="AF91" i="8"/>
  <c r="BF83" i="8"/>
  <c r="AG83" i="8"/>
  <c r="BB83" i="8"/>
  <c r="AC83" i="8"/>
  <c r="BG83" i="8" s="1"/>
  <c r="AE83" i="8"/>
  <c r="BD83" i="8"/>
  <c r="BE83" i="8"/>
  <c r="AD83" i="8"/>
  <c r="BF50" i="8"/>
  <c r="AG50" i="8"/>
  <c r="AE50" i="8"/>
  <c r="BI50" i="8" s="1"/>
  <c r="BB50" i="8"/>
  <c r="AC50" i="8"/>
  <c r="BM50" i="8"/>
  <c r="AF50" i="8"/>
  <c r="AD50" i="8"/>
  <c r="BH50" i="8" s="1"/>
  <c r="BC50" i="8"/>
  <c r="AD80" i="8"/>
  <c r="BC80" i="8"/>
  <c r="AE80" i="8"/>
  <c r="BI80" i="8" s="1"/>
  <c r="BB80" i="8"/>
  <c r="AC80" i="8"/>
  <c r="AW80" i="8"/>
  <c r="BF80" i="8"/>
  <c r="AG80" i="8"/>
  <c r="AF80" i="8"/>
  <c r="BF49" i="8"/>
  <c r="AG49" i="8"/>
  <c r="BK49" i="8" s="1"/>
  <c r="AD49" i="8"/>
  <c r="BH49" i="8" s="1"/>
  <c r="AE49" i="8"/>
  <c r="BC49" i="8"/>
  <c r="BB49" i="8"/>
  <c r="AC49" i="8"/>
  <c r="AW49" i="8"/>
  <c r="AF49" i="8"/>
  <c r="BE49" i="8"/>
  <c r="AE19" i="8"/>
  <c r="BD19" i="8"/>
  <c r="AF19" i="8"/>
  <c r="BB19" i="8"/>
  <c r="AC19" i="8"/>
  <c r="AW19" i="8"/>
  <c r="BF19" i="8"/>
  <c r="AG19" i="8"/>
  <c r="BK19" i="8" s="1"/>
  <c r="BI19" i="8"/>
  <c r="AD19" i="8"/>
  <c r="BC19" i="8"/>
  <c r="BF18" i="8"/>
  <c r="AG18" i="8"/>
  <c r="BB18" i="8"/>
  <c r="AC18" i="8"/>
  <c r="BG18" i="8" s="1"/>
  <c r="AD18" i="8"/>
  <c r="BO18" i="8"/>
  <c r="AF18" i="8"/>
  <c r="AE18" i="8"/>
  <c r="BF17" i="8"/>
  <c r="AG17" i="8"/>
  <c r="AD17" i="8"/>
  <c r="BC17" i="8"/>
  <c r="BB17" i="8"/>
  <c r="AC17" i="8"/>
  <c r="BG17" i="8" s="1"/>
  <c r="BI17" i="8"/>
  <c r="BD17" i="8"/>
  <c r="AF17" i="8"/>
  <c r="BJ17" i="8" s="1"/>
  <c r="AD81" i="8"/>
  <c r="BC81" i="8"/>
  <c r="BF81" i="8"/>
  <c r="AG81" i="8"/>
  <c r="BB81" i="8"/>
  <c r="AC81" i="8"/>
  <c r="AF81" i="8"/>
  <c r="BJ81" i="8" s="1"/>
  <c r="AE81" i="8"/>
  <c r="BD81" i="8"/>
  <c r="AW47" i="8"/>
  <c r="BF47" i="8"/>
  <c r="AG47" i="8"/>
  <c r="AD47" i="8"/>
  <c r="BC47" i="8"/>
  <c r="BB47" i="8"/>
  <c r="AC47" i="8"/>
  <c r="AF47" i="8"/>
  <c r="BJ47" i="8" s="1"/>
  <c r="AE47" i="8"/>
  <c r="BD47" i="8"/>
  <c r="BB13" i="8"/>
  <c r="AC13" i="8"/>
  <c r="BG13" i="8" s="1"/>
  <c r="AD13" i="8"/>
  <c r="BH13" i="8" s="1"/>
  <c r="BC13" i="8"/>
  <c r="BF13" i="8"/>
  <c r="AG13" i="8"/>
  <c r="AF13" i="8"/>
  <c r="AE13" i="8"/>
  <c r="BI13" i="8" s="1"/>
  <c r="BL13" i="8"/>
  <c r="BF46" i="8"/>
  <c r="AG46" i="8"/>
  <c r="AD46" i="8"/>
  <c r="BB46" i="8"/>
  <c r="AC46" i="8"/>
  <c r="AF46" i="8"/>
  <c r="BN16" i="8"/>
  <c r="BF16" i="8"/>
  <c r="AG16" i="8"/>
  <c r="BK16" i="8" s="1"/>
  <c r="BP16" i="8"/>
  <c r="AF16" i="8"/>
  <c r="BE16" i="8"/>
  <c r="AW16" i="8"/>
  <c r="BB16" i="8"/>
  <c r="AC16" i="8"/>
  <c r="AD16" i="8"/>
  <c r="BH16" i="8" s="1"/>
  <c r="BC16" i="8"/>
  <c r="AE16" i="8"/>
  <c r="BI16" i="8" s="1"/>
  <c r="BD16" i="8"/>
  <c r="AE15" i="8"/>
  <c r="BI15" i="8" s="1"/>
  <c r="BD15" i="8"/>
  <c r="BF15" i="8"/>
  <c r="AG15" i="8"/>
  <c r="BB15" i="8"/>
  <c r="AC15" i="8"/>
  <c r="BG15" i="8" s="1"/>
  <c r="AF15" i="8"/>
  <c r="AD15" i="8"/>
  <c r="BH15" i="8" s="1"/>
  <c r="BB66" i="8"/>
  <c r="AC66" i="8"/>
  <c r="BO66" i="8"/>
  <c r="AD66" i="8"/>
  <c r="BH66" i="8" s="1"/>
  <c r="AE66" i="8"/>
  <c r="BI66" i="8" s="1"/>
  <c r="BD66" i="8"/>
  <c r="BF66" i="8"/>
  <c r="AG66" i="8"/>
  <c r="AF66" i="8"/>
  <c r="BJ66" i="8" s="1"/>
  <c r="BM12" i="8"/>
  <c r="BF12" i="8"/>
  <c r="AG12" i="8"/>
  <c r="AE12" i="8"/>
  <c r="BI12" i="8" s="1"/>
  <c r="BD12" i="8"/>
  <c r="AF12" i="8"/>
  <c r="BE12" i="8"/>
  <c r="BK12" i="8"/>
  <c r="AD12" i="8"/>
  <c r="BH12" i="8" s="1"/>
  <c r="BC12" i="8"/>
  <c r="BB12" i="8"/>
  <c r="AC12" i="8"/>
  <c r="BD65" i="8"/>
  <c r="BF65" i="8"/>
  <c r="AG65" i="8"/>
  <c r="BK65" i="8" s="1"/>
  <c r="BB65" i="8"/>
  <c r="AC65" i="8"/>
  <c r="AF65" i="8"/>
  <c r="BJ65" i="8" s="1"/>
  <c r="BE65" i="8"/>
  <c r="AD65" i="8"/>
  <c r="AF11" i="8"/>
  <c r="BE11" i="8"/>
  <c r="BF11" i="8"/>
  <c r="AG11" i="8"/>
  <c r="BK11" i="8" s="1"/>
  <c r="AD11" i="8"/>
  <c r="AE11" i="8"/>
  <c r="BB11" i="8"/>
  <c r="AC11" i="8"/>
  <c r="BG11" i="8" s="1"/>
  <c r="BB90" i="8"/>
  <c r="AC90" i="8"/>
  <c r="AD90" i="8"/>
  <c r="BH90" i="8" s="1"/>
  <c r="BC90" i="8"/>
  <c r="BF90" i="8"/>
  <c r="AG90" i="8"/>
  <c r="BK90" i="8" s="1"/>
  <c r="AE90" i="8"/>
  <c r="BI90" i="8" s="1"/>
  <c r="BD90" i="8"/>
  <c r="AF90" i="8"/>
  <c r="BE90" i="8"/>
  <c r="BL90" i="8"/>
  <c r="BB45" i="8"/>
  <c r="AC45" i="8"/>
  <c r="AD45" i="8"/>
  <c r="AE45" i="8"/>
  <c r="BI45" i="8" s="1"/>
  <c r="AF45" i="8"/>
  <c r="BJ45" i="8" s="1"/>
  <c r="BF45" i="8"/>
  <c r="AG45" i="8"/>
  <c r="BM89" i="8"/>
  <c r="AX89" i="8"/>
  <c r="BB89" i="8"/>
  <c r="AC89" i="8"/>
  <c r="BG89" i="8" s="1"/>
  <c r="BE89" i="8"/>
  <c r="BD89" i="8"/>
  <c r="BF89" i="8"/>
  <c r="AG89" i="8"/>
  <c r="BK89" i="8" s="1"/>
  <c r="AD89" i="8"/>
  <c r="BC89" i="8"/>
  <c r="BD88" i="8"/>
  <c r="BF88" i="8"/>
  <c r="AG88" i="8"/>
  <c r="BE88" i="8"/>
  <c r="BB88" i="8"/>
  <c r="AC88" i="8"/>
  <c r="BG88" i="8" s="1"/>
  <c r="AD88" i="8"/>
  <c r="AZ88" i="8"/>
  <c r="BF64" i="8"/>
  <c r="AG64" i="8"/>
  <c r="BK64" i="8" s="1"/>
  <c r="BB64" i="8"/>
  <c r="AC64" i="8"/>
  <c r="BG64" i="8" s="1"/>
  <c r="AF64" i="8"/>
  <c r="BE64" i="8"/>
  <c r="AY64" i="8"/>
  <c r="AE64" i="8"/>
  <c r="BD64" i="8"/>
  <c r="BP10" i="8"/>
  <c r="BN10" i="8"/>
  <c r="AD10" i="8"/>
  <c r="BC10" i="8"/>
  <c r="AE10" i="8"/>
  <c r="BI10" i="8" s="1"/>
  <c r="AF10" i="8"/>
  <c r="BE10" i="8"/>
  <c r="BD10" i="8"/>
  <c r="BB10" i="8"/>
  <c r="AC10" i="8"/>
  <c r="BG10" i="8" s="1"/>
  <c r="BM87" i="8"/>
  <c r="BN87" i="8"/>
  <c r="AZ87" i="8"/>
  <c r="BJ87" i="8" s="1"/>
  <c r="AE87" i="8"/>
  <c r="BB87" i="8"/>
  <c r="AC87" i="8"/>
  <c r="BF87" i="8"/>
  <c r="AG87" i="8"/>
  <c r="BP87" i="8"/>
  <c r="BE87" i="8"/>
  <c r="BL9" i="8"/>
  <c r="BN9" i="8"/>
  <c r="BF9" i="8"/>
  <c r="AG9" i="8"/>
  <c r="BK9" i="8" s="1"/>
  <c r="BB9" i="8"/>
  <c r="AC9" i="8"/>
  <c r="AE9" i="8"/>
  <c r="BI9" i="8" s="1"/>
  <c r="BD9" i="8"/>
  <c r="AD9" i="8"/>
  <c r="BH9" i="8" s="1"/>
  <c r="BC9" i="8"/>
  <c r="BL43" i="8"/>
  <c r="BN43" i="8"/>
  <c r="BP43" i="8"/>
  <c r="AD43" i="8"/>
  <c r="BH43" i="8" s="1"/>
  <c r="BC43" i="8"/>
  <c r="BF43" i="8"/>
  <c r="AG43" i="8"/>
  <c r="BK43" i="8" s="1"/>
  <c r="AE43" i="8"/>
  <c r="BI43" i="8" s="1"/>
  <c r="BD43" i="8"/>
  <c r="AF43" i="8"/>
  <c r="BE43" i="8"/>
  <c r="BB43" i="8"/>
  <c r="AC43" i="8"/>
  <c r="BG43" i="8" s="1"/>
  <c r="BM8" i="8"/>
  <c r="BB8" i="8"/>
  <c r="AC8" i="8"/>
  <c r="BG8" i="8" s="1"/>
  <c r="AD8" i="8"/>
  <c r="BC8" i="8"/>
  <c r="BE8" i="8"/>
  <c r="BF8" i="8"/>
  <c r="AG8" i="8"/>
  <c r="AE8" i="8"/>
  <c r="AD7" i="8"/>
  <c r="BH7" i="8" s="1"/>
  <c r="BO7" i="8"/>
  <c r="AE7" i="8"/>
  <c r="BI7" i="8" s="1"/>
  <c r="BD7" i="8"/>
  <c r="AF7" i="8"/>
  <c r="BC7" i="8"/>
  <c r="BF7" i="8"/>
  <c r="AG7" i="8"/>
  <c r="BK7" i="8" s="1"/>
  <c r="AZ7" i="8"/>
  <c r="BB7" i="8"/>
  <c r="AC7" i="8"/>
  <c r="BF79" i="8"/>
  <c r="AG79" i="8"/>
  <c r="BK79" i="8" s="1"/>
  <c r="BB79" i="8"/>
  <c r="AC79" i="8"/>
  <c r="BG79" i="8" s="1"/>
  <c r="AE79" i="8"/>
  <c r="BI79" i="8" s="1"/>
  <c r="BD79" i="8"/>
  <c r="AD79" i="8"/>
  <c r="BH79" i="8" s="1"/>
  <c r="AF79" i="8"/>
  <c r="BJ79" i="8" s="1"/>
  <c r="BB63" i="8"/>
  <c r="AC63" i="8"/>
  <c r="BF63" i="8"/>
  <c r="AG63" i="8"/>
  <c r="BP63" i="8"/>
  <c r="AD63" i="8"/>
  <c r="BH63" i="8" s="1"/>
  <c r="AE63" i="8"/>
  <c r="BI63" i="8" s="1"/>
  <c r="BD63" i="8"/>
  <c r="AU62" i="8"/>
  <c r="BO62" i="8" s="1"/>
  <c r="AE62" i="8"/>
  <c r="BD62" i="8"/>
  <c r="BK62" i="8"/>
  <c r="AF62" i="8"/>
  <c r="AD62" i="8"/>
  <c r="BH62" i="8" s="1"/>
  <c r="BC62" i="8"/>
  <c r="AD6" i="8"/>
  <c r="AF6" i="8"/>
  <c r="BE6" i="8"/>
  <c r="BF6" i="8"/>
  <c r="AG6" i="8"/>
  <c r="BB6" i="8"/>
  <c r="AC6" i="8"/>
  <c r="BC6" i="8"/>
  <c r="BK96" i="8"/>
  <c r="AZ18" i="8"/>
  <c r="AX27" i="8"/>
  <c r="BP98" i="8"/>
  <c r="BK71" i="8"/>
  <c r="BP71" i="8"/>
  <c r="BO46" i="8"/>
  <c r="BP70" i="8"/>
  <c r="BP89" i="8"/>
  <c r="BP101" i="8"/>
  <c r="BM69" i="8"/>
  <c r="BP73" i="8"/>
  <c r="BP35" i="8"/>
  <c r="BO94" i="8"/>
  <c r="BO37" i="8"/>
  <c r="BP29" i="8"/>
  <c r="BK52" i="8"/>
  <c r="AZ25" i="8"/>
  <c r="BM22" i="8"/>
  <c r="BP39" i="8"/>
  <c r="BP23" i="8"/>
  <c r="BM102" i="8"/>
  <c r="BP65" i="8"/>
  <c r="BL92" i="8"/>
  <c r="AW82" i="8"/>
  <c r="BG82" i="8" s="1"/>
  <c r="AW25" i="8"/>
  <c r="BL101" i="8"/>
  <c r="AW62" i="8"/>
  <c r="BG62" i="8" s="1"/>
  <c r="BL73" i="8"/>
  <c r="BL40" i="8"/>
  <c r="BL59" i="8"/>
  <c r="BL22" i="8"/>
  <c r="BL8" i="8"/>
  <c r="BL11" i="8"/>
  <c r="BL91" i="8"/>
  <c r="BO101" i="8"/>
  <c r="BO20" i="8"/>
  <c r="BO56" i="8"/>
  <c r="BO30" i="8"/>
  <c r="BN66" i="8"/>
  <c r="AY23" i="8"/>
  <c r="BN37" i="8"/>
  <c r="AY11" i="8"/>
  <c r="BM16" i="8"/>
  <c r="BM62" i="8"/>
  <c r="AX29" i="8"/>
  <c r="BH29" i="8" s="1"/>
  <c r="AX26" i="8"/>
  <c r="BH26" i="8" s="1"/>
  <c r="BJ68" i="8"/>
  <c r="BN88" i="8"/>
  <c r="BN102" i="8"/>
  <c r="AY21" i="8"/>
  <c r="BI21" i="8" s="1"/>
  <c r="BI37" i="8"/>
  <c r="BI100" i="8"/>
  <c r="BN56" i="8"/>
  <c r="BN51" i="8"/>
  <c r="BN94" i="8"/>
  <c r="BN20" i="8"/>
  <c r="BN47" i="8"/>
  <c r="BN27" i="8"/>
  <c r="BN59" i="8"/>
  <c r="BM39" i="8"/>
  <c r="BM63" i="8"/>
  <c r="AX59" i="8"/>
  <c r="BH88" i="8"/>
  <c r="BH46" i="8"/>
  <c r="BM49" i="8"/>
  <c r="BH89" i="8"/>
  <c r="BM88" i="8"/>
  <c r="BM11" i="8"/>
  <c r="BO81" i="8"/>
  <c r="BJ8" i="8"/>
  <c r="BP12" i="8"/>
  <c r="BP62" i="8"/>
  <c r="BO8" i="8"/>
  <c r="BO10" i="8"/>
  <c r="BO45" i="8"/>
  <c r="BK13" i="8"/>
  <c r="BO83" i="8"/>
  <c r="AZ83" i="8"/>
  <c r="BJ83" i="8" s="1"/>
  <c r="AV97" i="8"/>
  <c r="BP97" i="8" s="1"/>
  <c r="BA8" i="8"/>
  <c r="BK8" i="8" s="1"/>
  <c r="AS98" i="8"/>
  <c r="BM98" i="8" s="1"/>
  <c r="BJ38" i="8"/>
  <c r="BM47" i="8"/>
  <c r="BK73" i="8"/>
  <c r="BM58" i="8"/>
  <c r="BI69" i="8"/>
  <c r="BP82" i="8"/>
  <c r="BO27" i="8"/>
  <c r="AY31" i="8"/>
  <c r="BA74" i="8"/>
  <c r="BK74" i="8" s="1"/>
  <c r="BL70" i="8"/>
  <c r="AR31" i="8"/>
  <c r="AW31" i="8" s="1"/>
  <c r="BG31" i="8" s="1"/>
  <c r="AV51" i="8"/>
  <c r="BA51" i="8" s="1"/>
  <c r="AS83" i="8"/>
  <c r="AX83" i="8" s="1"/>
  <c r="BH83" i="8" s="1"/>
  <c r="AS32" i="8"/>
  <c r="AX32" i="8" s="1"/>
  <c r="BH32" i="8" s="1"/>
  <c r="BI95" i="8"/>
  <c r="BM19" i="8"/>
  <c r="AS97" i="8"/>
  <c r="BM97" i="8" s="1"/>
  <c r="AR33" i="8"/>
  <c r="AW33" i="8" s="1"/>
  <c r="BP31" i="8"/>
  <c r="AX68" i="8"/>
  <c r="BP22" i="8"/>
  <c r="BN53" i="8"/>
  <c r="BH19" i="8"/>
  <c r="BN90" i="8"/>
  <c r="BN12" i="8"/>
  <c r="AZ37" i="8"/>
  <c r="BH56" i="8"/>
  <c r="BN95" i="8"/>
  <c r="BN54" i="8"/>
  <c r="BP83" i="8"/>
  <c r="BO13" i="8"/>
  <c r="BA100" i="8"/>
  <c r="AW38" i="8"/>
  <c r="BM96" i="8"/>
  <c r="BM93" i="8"/>
  <c r="BI83" i="8"/>
  <c r="AX48" i="8"/>
  <c r="AY49" i="8"/>
  <c r="BP80" i="8"/>
  <c r="BP8" i="8"/>
  <c r="BO34" i="8"/>
  <c r="AT101" i="8"/>
  <c r="BN101" i="8" s="1"/>
  <c r="BP38" i="8"/>
  <c r="BO38" i="8"/>
  <c r="AS57" i="8"/>
  <c r="BM57" i="8" s="1"/>
  <c r="BP93" i="8"/>
  <c r="BN83" i="8"/>
  <c r="BL84" i="8"/>
  <c r="BO84" i="8"/>
  <c r="AX96" i="8"/>
  <c r="BJ55" i="8"/>
  <c r="BN89" i="8"/>
  <c r="BN13" i="8"/>
  <c r="AY47" i="8"/>
  <c r="AU67" i="8"/>
  <c r="BO67" i="8" s="1"/>
  <c r="AU63" i="8"/>
  <c r="BO63" i="8" s="1"/>
  <c r="BH8" i="8"/>
  <c r="BP49" i="8"/>
  <c r="AT58" i="8"/>
  <c r="AY58" i="8" s="1"/>
  <c r="BI58" i="8" s="1"/>
  <c r="AT73" i="8"/>
  <c r="AY73" i="8" s="1"/>
  <c r="BI73" i="8" s="1"/>
  <c r="AT35" i="8"/>
  <c r="BN35" i="8" s="1"/>
  <c r="BM74" i="8"/>
  <c r="BG74" i="8"/>
  <c r="BP74" i="8"/>
  <c r="AX39" i="8"/>
  <c r="BH39" i="8" s="1"/>
  <c r="BL39" i="8"/>
  <c r="AU39" i="8"/>
  <c r="AZ39" i="8" s="1"/>
  <c r="BN69" i="8"/>
  <c r="BL69" i="8"/>
  <c r="BO69" i="8"/>
  <c r="BK82" i="8"/>
  <c r="BL94" i="8"/>
  <c r="BG94" i="8"/>
  <c r="BP26" i="8"/>
  <c r="BL29" i="8"/>
  <c r="BO29" i="8"/>
  <c r="BM15" i="8"/>
  <c r="BP17" i="8"/>
  <c r="BN17" i="8"/>
  <c r="BK17" i="8"/>
  <c r="AV50" i="8"/>
  <c r="BA50" i="8" s="1"/>
  <c r="BK50" i="8" s="1"/>
  <c r="BO50" i="8"/>
  <c r="BN50" i="8"/>
  <c r="BM79" i="8"/>
  <c r="BL79" i="8"/>
  <c r="BG9" i="8"/>
  <c r="BP9" i="8"/>
  <c r="AY88" i="8"/>
  <c r="BL15" i="8"/>
  <c r="AW90" i="8"/>
  <c r="BM72" i="8"/>
  <c r="BM13" i="8"/>
  <c r="BA63" i="8"/>
  <c r="BK63" i="8" s="1"/>
  <c r="BN72" i="8"/>
  <c r="BL72" i="8"/>
  <c r="BO72" i="8"/>
  <c r="BN99" i="8"/>
  <c r="BM36" i="8"/>
  <c r="BN36" i="8"/>
  <c r="AU102" i="8"/>
  <c r="AZ102" i="8" s="1"/>
  <c r="BJ102" i="8" s="1"/>
  <c r="AV40" i="8"/>
  <c r="BP40" i="8" s="1"/>
  <c r="AV59" i="8"/>
  <c r="BA59" i="8" s="1"/>
  <c r="BP52" i="8"/>
  <c r="BK23" i="8"/>
  <c r="AX24" i="8"/>
  <c r="BM24" i="8"/>
  <c r="BM71" i="8"/>
  <c r="AX71" i="8"/>
  <c r="BH71" i="8" s="1"/>
  <c r="BP28" i="8"/>
  <c r="BK30" i="8"/>
  <c r="BP30" i="8"/>
  <c r="AW46" i="8"/>
  <c r="BG46" i="8" s="1"/>
  <c r="BP18" i="8"/>
  <c r="AS91" i="8"/>
  <c r="AX91" i="8" s="1"/>
  <c r="BH91" i="8" s="1"/>
  <c r="AW91" i="8"/>
  <c r="AU6" i="8"/>
  <c r="AZ6" i="8" s="1"/>
  <c r="AR6" i="8"/>
  <c r="AW6" i="8" s="1"/>
  <c r="BG6" i="8" s="1"/>
  <c r="BM54" i="8"/>
  <c r="BO79" i="8"/>
  <c r="BM95" i="8"/>
  <c r="AX92" i="8"/>
  <c r="BH92" i="8" s="1"/>
  <c r="BA88" i="8"/>
  <c r="BK88" i="8" s="1"/>
  <c r="BP72" i="8"/>
  <c r="AU40" i="8"/>
  <c r="BO40" i="8" s="1"/>
  <c r="AU59" i="8"/>
  <c r="AZ59" i="8" s="1"/>
  <c r="BJ52" i="8"/>
  <c r="BJ30" i="8"/>
  <c r="BL18" i="8"/>
  <c r="AW81" i="8"/>
  <c r="BG81" i="8" s="1"/>
  <c r="BA83" i="8"/>
  <c r="AZ64" i="8"/>
  <c r="AS10" i="8"/>
  <c r="BM10" i="8" s="1"/>
  <c r="AZ24" i="8"/>
  <c r="AX65" i="8"/>
  <c r="AY72" i="8"/>
  <c r="BI72" i="8" s="1"/>
  <c r="BA58" i="8"/>
  <c r="BK58" i="8" s="1"/>
  <c r="AZ90" i="8"/>
  <c r="AV47" i="8"/>
  <c r="BA47" i="8" s="1"/>
  <c r="BO68" i="8"/>
  <c r="AS73" i="8"/>
  <c r="AX73" i="8" s="1"/>
  <c r="AZ16" i="8"/>
  <c r="BJ16" i="8" s="1"/>
  <c r="AY8" i="8"/>
  <c r="BI8" i="8" s="1"/>
  <c r="AT98" i="8"/>
  <c r="AY98" i="8" s="1"/>
  <c r="AT38" i="8"/>
  <c r="AY38" i="8" s="1"/>
  <c r="BI38" i="8" s="1"/>
  <c r="AW57" i="8"/>
  <c r="BG57" i="8" s="1"/>
  <c r="BO93" i="8"/>
  <c r="AZ89" i="8"/>
  <c r="BJ89" i="8" s="1"/>
  <c r="BM67" i="8"/>
  <c r="BL51" i="8"/>
  <c r="BN8" i="8"/>
  <c r="BK35" i="8"/>
  <c r="BL74" i="8"/>
  <c r="AU74" i="8"/>
  <c r="AZ74" i="8" s="1"/>
  <c r="BJ74" i="8" s="1"/>
  <c r="BO82" i="8"/>
  <c r="BJ27" i="8"/>
  <c r="BP45" i="8"/>
  <c r="BP66" i="8"/>
  <c r="BP15" i="8"/>
  <c r="BL17" i="8"/>
  <c r="AR50" i="8"/>
  <c r="BL50" i="8" s="1"/>
  <c r="BM21" i="8"/>
  <c r="BL36" i="8"/>
  <c r="BK69" i="8"/>
  <c r="AW12" i="8"/>
  <c r="BA72" i="8"/>
  <c r="AV99" i="8"/>
  <c r="BP99" i="8" s="1"/>
  <c r="AY99" i="8"/>
  <c r="AU99" i="8"/>
  <c r="BO99" i="8" s="1"/>
  <c r="AY36" i="8"/>
  <c r="AU36" i="8"/>
  <c r="BO36" i="8" s="1"/>
  <c r="AV102" i="8"/>
  <c r="BA102" i="8" s="1"/>
  <c r="BK102" i="8" s="1"/>
  <c r="BG59" i="8"/>
  <c r="BL52" i="8"/>
  <c r="BO52" i="8"/>
  <c r="BL23" i="8"/>
  <c r="BG23" i="8"/>
  <c r="BL28" i="8"/>
  <c r="BO28" i="8"/>
  <c r="BM30" i="8"/>
  <c r="BL30" i="8"/>
  <c r="BG65" i="8"/>
  <c r="BN65" i="8"/>
  <c r="BH11" i="8"/>
  <c r="BJ46" i="8"/>
  <c r="BA46" i="8"/>
  <c r="AS18" i="8"/>
  <c r="BM18" i="8" s="1"/>
  <c r="BP81" i="8"/>
  <c r="AV6" i="8"/>
  <c r="BA6" i="8" s="1"/>
  <c r="BK6" i="8" s="1"/>
  <c r="AU80" i="8"/>
  <c r="BO80" i="8" s="1"/>
  <c r="AW63" i="8"/>
  <c r="BI33" i="8"/>
  <c r="BP21" i="8"/>
  <c r="AW34" i="8"/>
  <c r="BG34" i="8" s="1"/>
  <c r="BL57" i="8"/>
  <c r="AU49" i="8"/>
  <c r="AZ49" i="8" s="1"/>
  <c r="BJ49" i="8" s="1"/>
  <c r="AU73" i="8"/>
  <c r="BO73" i="8" s="1"/>
  <c r="BL35" i="8"/>
  <c r="AT74" i="8"/>
  <c r="BN74" i="8" s="1"/>
  <c r="AX58" i="8"/>
  <c r="BP69" i="8"/>
  <c r="BL27" i="8"/>
  <c r="AW45" i="8"/>
  <c r="BO15" i="8"/>
  <c r="BH17" i="8"/>
  <c r="AR20" i="8"/>
  <c r="AW20" i="8" s="1"/>
  <c r="BG20" i="8" s="1"/>
  <c r="BM92" i="8"/>
  <c r="AT81" i="8"/>
  <c r="AY81" i="8" s="1"/>
  <c r="BI23" i="8"/>
  <c r="BO71" i="8"/>
  <c r="BO11" i="8"/>
  <c r="AS81" i="8"/>
  <c r="AX81" i="8" s="1"/>
  <c r="BH81" i="8" s="1"/>
  <c r="AT6" i="8"/>
  <c r="BN6" i="8" s="1"/>
  <c r="AW7" i="8"/>
  <c r="AY65" i="8"/>
  <c r="BI65" i="8" s="1"/>
  <c r="AZ91" i="8"/>
  <c r="AZ34" i="8"/>
  <c r="BJ34" i="8" s="1"/>
  <c r="AZ15" i="8"/>
  <c r="AZ53" i="8"/>
  <c r="AX47" i="8"/>
  <c r="BH47" i="8" s="1"/>
  <c r="AT82" i="8"/>
  <c r="BN82" i="8" s="1"/>
  <c r="AT29" i="8"/>
  <c r="BN29" i="8" s="1"/>
  <c r="AU100" i="8"/>
  <c r="AZ100" i="8" s="1"/>
  <c r="BJ100" i="8" s="1"/>
  <c r="BL95" i="8"/>
  <c r="BL68" i="8"/>
  <c r="BN25" i="8"/>
  <c r="AS101" i="8"/>
  <c r="BM101" i="8" s="1"/>
  <c r="AW68" i="8"/>
  <c r="AT57" i="8"/>
  <c r="AY57" i="8" s="1"/>
  <c r="BK55" i="8"/>
  <c r="BG51" i="8"/>
  <c r="BM64" i="8"/>
  <c r="AS34" i="8"/>
  <c r="AX34" i="8" s="1"/>
  <c r="BH34" i="8" s="1"/>
  <c r="BL93" i="8"/>
  <c r="BJ96" i="8"/>
  <c r="BP55" i="8"/>
  <c r="BH80" i="8"/>
  <c r="AZ13" i="8"/>
  <c r="BN63" i="8"/>
  <c r="BP90" i="8"/>
  <c r="BP32" i="8"/>
  <c r="BM35" i="8"/>
  <c r="BP58" i="8"/>
  <c r="BM94" i="8"/>
  <c r="BN26" i="8"/>
  <c r="BN45" i="8"/>
  <c r="AZ50" i="8"/>
  <c r="BP92" i="8"/>
  <c r="BA80" i="8"/>
  <c r="BK80" i="8" s="1"/>
  <c r="AY15" i="8"/>
  <c r="AX94" i="8"/>
  <c r="BH94" i="8" s="1"/>
  <c r="AX72" i="8"/>
  <c r="BH72" i="8" s="1"/>
  <c r="AX45" i="8"/>
  <c r="BH45" i="8" s="1"/>
  <c r="AZ71" i="8"/>
  <c r="BJ71" i="8" s="1"/>
  <c r="AW27" i="8"/>
  <c r="BG27" i="8" s="1"/>
  <c r="AY24" i="8"/>
  <c r="BO70" i="8"/>
  <c r="BK70" i="8"/>
  <c r="AU43" i="8"/>
  <c r="BO43" i="8" s="1"/>
  <c r="AR66" i="8"/>
  <c r="AW66" i="8" s="1"/>
  <c r="BG66" i="8" s="1"/>
  <c r="AZ12" i="8"/>
  <c r="AS84" i="8"/>
  <c r="BM84" i="8" s="1"/>
  <c r="AS55" i="8"/>
  <c r="AX55" i="8" s="1"/>
  <c r="BH55" i="8" s="1"/>
  <c r="AV91" i="8"/>
  <c r="BA91" i="8" s="1"/>
  <c r="BM100" i="8"/>
  <c r="BM37" i="8"/>
  <c r="BM56" i="8"/>
  <c r="AR97" i="8"/>
  <c r="BL97" i="8" s="1"/>
  <c r="BJ37" i="8"/>
  <c r="BP95" i="8"/>
  <c r="BL54" i="8"/>
  <c r="BP68" i="8"/>
  <c r="BL21" i="8"/>
  <c r="AU19" i="8"/>
  <c r="BO19" i="8" s="1"/>
  <c r="AU48" i="8"/>
  <c r="BO48" i="8" s="1"/>
  <c r="BJ10" i="8"/>
  <c r="AT62" i="8"/>
  <c r="BN62" i="8" s="1"/>
  <c r="AV33" i="8"/>
  <c r="BP33" i="8" s="1"/>
  <c r="AZ33" i="8"/>
  <c r="BJ33" i="8" s="1"/>
  <c r="BN100" i="8"/>
  <c r="BH37" i="8"/>
  <c r="AZ56" i="8"/>
  <c r="AT46" i="8"/>
  <c r="BN46" i="8" s="1"/>
  <c r="AR67" i="8"/>
  <c r="BL67" i="8" s="1"/>
  <c r="BL64" i="8"/>
  <c r="BO89" i="8"/>
  <c r="BM43" i="8"/>
  <c r="BA68" i="8"/>
  <c r="BP34" i="8"/>
  <c r="BP13" i="8"/>
  <c r="BL34" i="8"/>
  <c r="BJ101" i="8"/>
  <c r="BP57" i="8"/>
  <c r="AX93" i="8"/>
  <c r="BJ84" i="8"/>
  <c r="BO55" i="8"/>
  <c r="BN80" i="8"/>
  <c r="BH67" i="8"/>
  <c r="AY67" i="8"/>
  <c r="BN49" i="8"/>
  <c r="BO32" i="8"/>
  <c r="AX35" i="8"/>
  <c r="BH35" i="8" s="1"/>
  <c r="AU35" i="8"/>
  <c r="BO35" i="8" s="1"/>
  <c r="AT39" i="8"/>
  <c r="BN39" i="8" s="1"/>
  <c r="AU58" i="8"/>
  <c r="AZ58" i="8" s="1"/>
  <c r="BJ58" i="8" s="1"/>
  <c r="BL58" i="8"/>
  <c r="BG69" i="8"/>
  <c r="BP94" i="8"/>
  <c r="BO26" i="8"/>
  <c r="BP27" i="8"/>
  <c r="BI27" i="8"/>
  <c r="BM45" i="8"/>
  <c r="BL45" i="8"/>
  <c r="BA45" i="8"/>
  <c r="BK45" i="8" s="1"/>
  <c r="BM66" i="8"/>
  <c r="BA66" i="8"/>
  <c r="BK66" i="8" s="1"/>
  <c r="BN15" i="8"/>
  <c r="BK15" i="8"/>
  <c r="BO17" i="8"/>
  <c r="BM17" i="8"/>
  <c r="AV20" i="8"/>
  <c r="BA20" i="8" s="1"/>
  <c r="AZ20" i="8"/>
  <c r="BO92" i="8"/>
  <c r="BP88" i="8"/>
  <c r="BJ88" i="8"/>
  <c r="BM9" i="8"/>
  <c r="AW32" i="8"/>
  <c r="BG32" i="8" s="1"/>
  <c r="BL88" i="8"/>
  <c r="BM80" i="8"/>
  <c r="BM31" i="8"/>
  <c r="BO47" i="8"/>
  <c r="BP7" i="8"/>
  <c r="BG72" i="8"/>
  <c r="BL99" i="8"/>
  <c r="AV36" i="8"/>
  <c r="BA36" i="8" s="1"/>
  <c r="BI102" i="8"/>
  <c r="BH102" i="8"/>
  <c r="AY40" i="8"/>
  <c r="BI40" i="8" s="1"/>
  <c r="BM40" i="8"/>
  <c r="BG40" i="8"/>
  <c r="BN40" i="8"/>
  <c r="AY59" i="8"/>
  <c r="BI59" i="8" s="1"/>
  <c r="BM52" i="8"/>
  <c r="AX52" i="8"/>
  <c r="BH52" i="8" s="1"/>
  <c r="BO23" i="8"/>
  <c r="BM23" i="8"/>
  <c r="BL24" i="8"/>
  <c r="BN24" i="8"/>
  <c r="BI71" i="8"/>
  <c r="BM28" i="8"/>
  <c r="AX28" i="8"/>
  <c r="BH28" i="8" s="1"/>
  <c r="AX30" i="8"/>
  <c r="BO65" i="8"/>
  <c r="BM65" i="8"/>
  <c r="BL65" i="8"/>
  <c r="BJ11" i="8"/>
  <c r="BL46" i="8"/>
  <c r="BM46" i="8"/>
  <c r="BJ18" i="8"/>
  <c r="BA18" i="8"/>
  <c r="AT18" i="8"/>
  <c r="BN18" i="8" s="1"/>
  <c r="BL81" i="8"/>
  <c r="BA81" i="8"/>
  <c r="BK81" i="8" s="1"/>
  <c r="BI91" i="8"/>
  <c r="BN91" i="8"/>
  <c r="AS6" i="8"/>
  <c r="BM6" i="8" s="1"/>
  <c r="BM7" i="8"/>
  <c r="BL7" i="8"/>
  <c r="BN7" i="8"/>
  <c r="BA32" i="8"/>
  <c r="BK32" i="8" s="1"/>
  <c r="BA87" i="8"/>
  <c r="AR87" i="8"/>
  <c r="BL87" i="8" s="1"/>
  <c r="AY87" i="8"/>
  <c r="AZ70" i="8"/>
  <c r="AY70" i="8"/>
  <c r="BN70" i="8"/>
  <c r="AS70" i="8"/>
  <c r="AX70" i="8" s="1"/>
  <c r="BH70" i="8" s="1"/>
  <c r="BQ40" i="8"/>
  <c r="BQ37" i="8"/>
  <c r="BK68" i="8" l="1"/>
  <c r="BG68" i="8"/>
  <c r="BJ91" i="8"/>
  <c r="BI81" i="8"/>
  <c r="BN98" i="8"/>
  <c r="BI47" i="8"/>
  <c r="BH96" i="8"/>
  <c r="BI49" i="8"/>
  <c r="BG33" i="8"/>
  <c r="BI92" i="8"/>
  <c r="BK53" i="8"/>
  <c r="BG26" i="8"/>
  <c r="BG96" i="8"/>
  <c r="BJ70" i="8"/>
  <c r="BJ20" i="8"/>
  <c r="BJ15" i="8"/>
  <c r="BG7" i="8"/>
  <c r="BH73" i="8"/>
  <c r="BH68" i="8"/>
  <c r="BK51" i="8"/>
  <c r="BI31" i="8"/>
  <c r="BH59" i="8"/>
  <c r="BJ25" i="8"/>
  <c r="BG80" i="8"/>
  <c r="BH51" i="8"/>
  <c r="BJ24" i="8"/>
  <c r="BG25" i="8"/>
  <c r="BK36" i="8"/>
  <c r="BM73" i="8"/>
  <c r="BJ56" i="8"/>
  <c r="BJ53" i="8"/>
  <c r="BK72" i="8"/>
  <c r="BO39" i="8"/>
  <c r="BI98" i="8"/>
  <c r="BJ59" i="8"/>
  <c r="BK59" i="8"/>
  <c r="BG38" i="8"/>
  <c r="BG53" i="8"/>
  <c r="BG55" i="8"/>
  <c r="BL56" i="8"/>
  <c r="BA84" i="8"/>
  <c r="BK84" i="8" s="1"/>
  <c r="BH30" i="8"/>
  <c r="BI24" i="8"/>
  <c r="BI57" i="8"/>
  <c r="BI99" i="8"/>
  <c r="BJ90" i="8"/>
  <c r="BI88" i="8"/>
  <c r="BH48" i="8"/>
  <c r="BJ22" i="8"/>
  <c r="BI22" i="8"/>
  <c r="BK18" i="8"/>
  <c r="BK67" i="8"/>
  <c r="BI52" i="8"/>
  <c r="BI70" i="8"/>
  <c r="BP91" i="8"/>
  <c r="BJ13" i="8"/>
  <c r="BG45" i="8"/>
  <c r="BJ64" i="8"/>
  <c r="BG91" i="8"/>
  <c r="BI11" i="8"/>
  <c r="BI64" i="8"/>
  <c r="AX82" i="8"/>
  <c r="BH82" i="8" s="1"/>
  <c r="BK87" i="8"/>
  <c r="BI87" i="8"/>
  <c r="BG63" i="8"/>
  <c r="AZ62" i="8"/>
  <c r="BJ62" i="8" s="1"/>
  <c r="BH58" i="8"/>
  <c r="BG56" i="8"/>
  <c r="BP59" i="8"/>
  <c r="BN57" i="8"/>
  <c r="BJ39" i="8"/>
  <c r="BA40" i="8"/>
  <c r="BK40" i="8" s="1"/>
  <c r="BK100" i="8"/>
  <c r="BO102" i="8"/>
  <c r="BI36" i="8"/>
  <c r="BL31" i="8"/>
  <c r="BH24" i="8"/>
  <c r="BL98" i="8"/>
  <c r="BJ98" i="8"/>
  <c r="BI97" i="8"/>
  <c r="AW97" i="8"/>
  <c r="BG97" i="8" s="1"/>
  <c r="BH27" i="8"/>
  <c r="BK22" i="8"/>
  <c r="BK20" i="8"/>
  <c r="BH93" i="8"/>
  <c r="BI67" i="8"/>
  <c r="BK91" i="8"/>
  <c r="BK83" i="8"/>
  <c r="AW50" i="8"/>
  <c r="BG50" i="8" s="1"/>
  <c r="BP50" i="8"/>
  <c r="BJ50" i="8"/>
  <c r="BG49" i="8"/>
  <c r="BG19" i="8"/>
  <c r="BM81" i="8"/>
  <c r="BG47" i="8"/>
  <c r="BK47" i="8"/>
  <c r="BK46" i="8"/>
  <c r="BG16" i="8"/>
  <c r="BL66" i="8"/>
  <c r="BJ12" i="8"/>
  <c r="BG12" i="8"/>
  <c r="BH65" i="8"/>
  <c r="BG90" i="8"/>
  <c r="BJ7" i="8"/>
  <c r="BL6" i="8"/>
  <c r="BP6" i="8"/>
  <c r="AX6" i="8"/>
  <c r="BH6" i="8" s="1"/>
  <c r="BJ6" i="8"/>
  <c r="BA99" i="8"/>
  <c r="BK99" i="8" s="1"/>
  <c r="BP51" i="8"/>
  <c r="BP102" i="8"/>
  <c r="AZ48" i="8"/>
  <c r="BJ48" i="8" s="1"/>
  <c r="BO100" i="8"/>
  <c r="BO49" i="8"/>
  <c r="BO58" i="8"/>
  <c r="AY101" i="8"/>
  <c r="BI101" i="8" s="1"/>
  <c r="AY46" i="8"/>
  <c r="BI46" i="8" s="1"/>
  <c r="AX84" i="8"/>
  <c r="BH84" i="8" s="1"/>
  <c r="AX57" i="8"/>
  <c r="BH57" i="8" s="1"/>
  <c r="AX97" i="8"/>
  <c r="BH97" i="8" s="1"/>
  <c r="BO6" i="8"/>
  <c r="AZ40" i="8"/>
  <c r="BJ40" i="8" s="1"/>
  <c r="AZ67" i="8"/>
  <c r="BJ67" i="8" s="1"/>
  <c r="AY6" i="8"/>
  <c r="BI6" i="8" s="1"/>
  <c r="AY39" i="8"/>
  <c r="BI39" i="8" s="1"/>
  <c r="BN73" i="8"/>
  <c r="AY18" i="8"/>
  <c r="BI18" i="8" s="1"/>
  <c r="AY35" i="8"/>
  <c r="BI35" i="8" s="1"/>
  <c r="AX18" i="8"/>
  <c r="BH18" i="8" s="1"/>
  <c r="BP36" i="8"/>
  <c r="BL20" i="8"/>
  <c r="AZ35" i="8"/>
  <c r="BJ35" i="8" s="1"/>
  <c r="BA33" i="8"/>
  <c r="BK33" i="8" s="1"/>
  <c r="AZ73" i="8"/>
  <c r="BJ73" i="8" s="1"/>
  <c r="AZ36" i="8"/>
  <c r="BJ36" i="8" s="1"/>
  <c r="AZ99" i="8"/>
  <c r="BJ99" i="8" s="1"/>
  <c r="AZ63" i="8"/>
  <c r="BJ63" i="8" s="1"/>
  <c r="BP47" i="8"/>
  <c r="BA97" i="8"/>
  <c r="BK97" i="8" s="1"/>
  <c r="AY29" i="8"/>
  <c r="BI29" i="8" s="1"/>
  <c r="BM70" i="8"/>
  <c r="BM83" i="8"/>
  <c r="AY62" i="8"/>
  <c r="BI62" i="8" s="1"/>
  <c r="BL33" i="8"/>
  <c r="BN38" i="8"/>
  <c r="BO59" i="8"/>
  <c r="AY74" i="8"/>
  <c r="BI74" i="8" s="1"/>
  <c r="AZ43" i="8"/>
  <c r="BJ43" i="8" s="1"/>
  <c r="BN81" i="8"/>
  <c r="BP20" i="8"/>
  <c r="AZ80" i="8"/>
  <c r="BJ80" i="8" s="1"/>
  <c r="BM34" i="8"/>
  <c r="AY82" i="8"/>
  <c r="BI82" i="8" s="1"/>
  <c r="AW67" i="8"/>
  <c r="BG67" i="8" s="1"/>
  <c r="BM91" i="8"/>
  <c r="BN58" i="8"/>
  <c r="BM55" i="8"/>
  <c r="BO74" i="8"/>
  <c r="AZ19" i="8"/>
  <c r="BJ19" i="8" s="1"/>
  <c r="AX101" i="8"/>
  <c r="BH101" i="8" s="1"/>
  <c r="BM32" i="8"/>
  <c r="AX98" i="8"/>
  <c r="BH98" i="8" s="1"/>
  <c r="AX10" i="8"/>
  <c r="BH10" i="8" s="1"/>
  <c r="AW87" i="8"/>
  <c r="BG87" i="8" s="1"/>
  <c r="BQ82" i="8"/>
  <c r="H77" i="8" l="1"/>
  <c r="AK78" i="8" l="1"/>
  <c r="AI78" i="8"/>
  <c r="AJ78" i="8"/>
  <c r="AJ77" i="8"/>
  <c r="AI77" i="8"/>
  <c r="AK77" i="8"/>
  <c r="AL77" i="8"/>
  <c r="AH77" i="8"/>
  <c r="I77" i="8"/>
  <c r="AH78" i="8"/>
  <c r="AL78" i="8"/>
  <c r="BR35" i="8"/>
  <c r="BQ35" i="8"/>
  <c r="BQ67" i="8"/>
  <c r="Y78" i="8" l="1"/>
  <c r="V78" i="8"/>
  <c r="Q78" i="8"/>
  <c r="Z78" i="8"/>
  <c r="P78" i="8"/>
  <c r="O78" i="8"/>
  <c r="T78" i="8"/>
  <c r="X78" i="8"/>
  <c r="AB78" i="8"/>
  <c r="U78" i="8"/>
  <c r="W78" i="8"/>
  <c r="AA78" i="8"/>
  <c r="S78" i="8"/>
  <c r="Y77" i="8"/>
  <c r="U77" i="8"/>
  <c r="O77" i="8"/>
  <c r="BC77" i="8" s="1"/>
  <c r="AB77" i="8"/>
  <c r="X77" i="8"/>
  <c r="T77" i="8"/>
  <c r="AA77" i="8"/>
  <c r="W77" i="8"/>
  <c r="S77" i="8"/>
  <c r="Q77" i="8"/>
  <c r="Z77" i="8"/>
  <c r="V77" i="8"/>
  <c r="P77" i="8"/>
  <c r="R78" i="8"/>
  <c r="BE78" i="8"/>
  <c r="BD78" i="8"/>
  <c r="N78" i="8"/>
  <c r="N77" i="8"/>
  <c r="BD77" i="8"/>
  <c r="R77" i="8"/>
  <c r="BQ13" i="8"/>
  <c r="BR33" i="8"/>
  <c r="BQ33" i="8"/>
  <c r="BQ18" i="8"/>
  <c r="BQ29" i="8"/>
  <c r="AD78" i="8" l="1"/>
  <c r="BC78" i="8"/>
  <c r="BB78" i="8"/>
  <c r="AC78" i="8"/>
  <c r="AF78" i="8"/>
  <c r="BF78" i="8"/>
  <c r="AG78" i="8"/>
  <c r="AE78" i="8"/>
  <c r="AD77" i="8"/>
  <c r="BF77" i="8"/>
  <c r="AG77" i="8"/>
  <c r="BB77" i="8"/>
  <c r="AC77" i="8"/>
  <c r="AF77" i="8"/>
  <c r="BE77" i="8"/>
  <c r="AE77" i="8"/>
  <c r="AV78" i="8"/>
  <c r="BA78" i="8" s="1"/>
  <c r="AS78" i="8"/>
  <c r="AX78" i="8" s="1"/>
  <c r="BH78" i="8" s="1"/>
  <c r="AT77" i="8"/>
  <c r="AY77" i="8" s="1"/>
  <c r="AR78" i="8"/>
  <c r="AW78" i="8" s="1"/>
  <c r="BG78" i="8" s="1"/>
  <c r="AR77" i="8"/>
  <c r="AW77" i="8"/>
  <c r="BG77" i="8" s="1"/>
  <c r="AT78" i="8"/>
  <c r="AY78" i="8" s="1"/>
  <c r="AU77" i="8"/>
  <c r="BO77" i="8" s="1"/>
  <c r="AS77" i="8"/>
  <c r="BM77" i="8" s="1"/>
  <c r="BL77" i="8"/>
  <c r="AV77" i="8"/>
  <c r="BP77" i="8" s="1"/>
  <c r="AU78" i="8"/>
  <c r="AZ78" i="8" s="1"/>
  <c r="BR46" i="8"/>
  <c r="BQ46" i="8"/>
  <c r="BQ30" i="8"/>
  <c r="BR31" i="8"/>
  <c r="BQ31" i="8"/>
  <c r="BQ19" i="8"/>
  <c r="BR47" i="8"/>
  <c r="BQ49" i="8"/>
  <c r="BR49" i="8"/>
  <c r="BQ50" i="8"/>
  <c r="BR50" i="8"/>
  <c r="BQ43" i="8"/>
  <c r="BR43" i="8"/>
  <c r="BR79" i="8"/>
  <c r="BQ79" i="8"/>
  <c r="BR45" i="8"/>
  <c r="BQ45" i="8"/>
  <c r="BK78" i="8" l="1"/>
  <c r="BJ78" i="8"/>
  <c r="BI78" i="8"/>
  <c r="BI77" i="8"/>
  <c r="BM78" i="8"/>
  <c r="BA77" i="8"/>
  <c r="BK77" i="8" s="1"/>
  <c r="BL78" i="8"/>
  <c r="BN77" i="8"/>
  <c r="BP78" i="8"/>
  <c r="BO78" i="8"/>
  <c r="AZ77" i="8"/>
  <c r="BJ77" i="8" s="1"/>
  <c r="BN78" i="8"/>
  <c r="BQ103" i="8"/>
  <c r="AX77" i="8"/>
  <c r="BH77" i="8" s="1"/>
  <c r="BR103" i="8"/>
  <c r="Y44" i="8" l="1"/>
  <c r="T44" i="8"/>
  <c r="O44" i="8"/>
  <c r="P44" i="8"/>
  <c r="AB44" i="8"/>
  <c r="W44" i="8"/>
  <c r="Z44" i="8"/>
  <c r="U44" i="8"/>
  <c r="S44" i="8"/>
  <c r="AA44" i="8"/>
  <c r="V44" i="8"/>
  <c r="AU44" i="8" s="1"/>
  <c r="AZ44" i="8" s="1"/>
  <c r="X44" i="8"/>
  <c r="Q44" i="8"/>
  <c r="R44" i="8"/>
  <c r="BE44" i="8"/>
  <c r="N44" i="8"/>
  <c r="BC44" i="8"/>
  <c r="AA14" i="8" l="1"/>
  <c r="V14" i="8"/>
  <c r="S14" i="8"/>
  <c r="Q14" i="8"/>
  <c r="BE14" i="8" s="1"/>
  <c r="AB14" i="8"/>
  <c r="W14" i="8"/>
  <c r="Y14" i="8"/>
  <c r="T14" i="8"/>
  <c r="O14" i="8"/>
  <c r="Z14" i="8"/>
  <c r="U14" i="8"/>
  <c r="P14" i="8"/>
  <c r="BD14" i="8" s="1"/>
  <c r="X14" i="8"/>
  <c r="BF44" i="8"/>
  <c r="AG44" i="8"/>
  <c r="AE44" i="8"/>
  <c r="BB44" i="8"/>
  <c r="AC44" i="8"/>
  <c r="AD44" i="8"/>
  <c r="BD44" i="8"/>
  <c r="AF44" i="8"/>
  <c r="BJ44" i="8" s="1"/>
  <c r="AS44" i="8"/>
  <c r="AX44" i="8" s="1"/>
  <c r="AR44" i="8"/>
  <c r="AW44" i="8" s="1"/>
  <c r="BG44" i="8" s="1"/>
  <c r="AT44" i="8"/>
  <c r="BN44" i="8" s="1"/>
  <c r="BO44" i="8"/>
  <c r="AV44" i="8"/>
  <c r="BP44" i="8" s="1"/>
  <c r="N14" i="8"/>
  <c r="AU14" i="8"/>
  <c r="AZ14" i="8" s="1"/>
  <c r="R14" i="8"/>
  <c r="AD14" i="8" l="1"/>
  <c r="AE14" i="8"/>
  <c r="AF14" i="8"/>
  <c r="BF14" i="8"/>
  <c r="AG14" i="8"/>
  <c r="BC14" i="8"/>
  <c r="BB14" i="8"/>
  <c r="AC14" i="8"/>
  <c r="BH44" i="8"/>
  <c r="BO14" i="8"/>
  <c r="BJ14" i="8"/>
  <c r="AY44" i="8"/>
  <c r="BI44" i="8" s="1"/>
  <c r="BM44" i="8"/>
  <c r="AS14" i="8"/>
  <c r="BM14" i="8" s="1"/>
  <c r="BA44" i="8"/>
  <c r="BK44" i="8" s="1"/>
  <c r="BL44" i="8"/>
  <c r="AV14" i="8"/>
  <c r="BP14" i="8" s="1"/>
  <c r="AT14" i="8"/>
  <c r="AY14" i="8" s="1"/>
  <c r="BI14" i="8" s="1"/>
  <c r="AR14" i="8"/>
  <c r="BL14" i="8" s="1"/>
  <c r="BA14" i="8" l="1"/>
  <c r="BK14" i="8" s="1"/>
  <c r="AW14" i="8"/>
  <c r="BG14" i="8" s="1"/>
  <c r="BN14" i="8"/>
  <c r="AX14" i="8"/>
  <c r="BH14" i="8" s="1"/>
  <c r="AL6" i="9"/>
  <c r="AI6" i="9"/>
  <c r="L6" i="9"/>
  <c r="V6" i="9"/>
  <c r="Q6" i="9"/>
  <c r="BE6" i="9" s="1"/>
  <c r="N6" i="9"/>
  <c r="P6" i="9"/>
  <c r="K6" i="9"/>
  <c r="AK6" i="9" s="1"/>
  <c r="M6" i="9"/>
  <c r="X6" i="9" s="1"/>
  <c r="R6" i="9"/>
  <c r="BB6" i="9" l="1"/>
  <c r="AU6" i="9"/>
  <c r="AZ6" i="9" s="1"/>
  <c r="BF6" i="9"/>
  <c r="BD6" i="9"/>
  <c r="K8" i="9"/>
  <c r="T6" i="9"/>
  <c r="Z6" i="9"/>
  <c r="AH6" i="9"/>
  <c r="AA6" i="9"/>
  <c r="BO6" i="9" s="1"/>
  <c r="U6" i="9"/>
  <c r="Y6" i="9"/>
  <c r="AF6" i="9"/>
  <c r="S6" i="9"/>
  <c r="W6" i="9"/>
  <c r="M8" i="9"/>
  <c r="AJ6" i="9"/>
  <c r="AB6" i="9"/>
  <c r="O6" i="9"/>
  <c r="BC6" i="9" l="1"/>
  <c r="AD6" i="9"/>
  <c r="BA6" i="9"/>
  <c r="AV6" i="9"/>
  <c r="AT6" i="9"/>
  <c r="AY6" i="9" s="1"/>
  <c r="BP6" i="9"/>
  <c r="AW6" i="9"/>
  <c r="AR6" i="9"/>
  <c r="BL6" i="9" s="1"/>
  <c r="AC6" i="9"/>
  <c r="BG6" i="9" s="1"/>
  <c r="AX6" i="9"/>
  <c r="AS6" i="9"/>
  <c r="AG6" i="9"/>
  <c r="BJ6" i="9"/>
  <c r="AE6" i="9"/>
  <c r="BM6" i="9"/>
  <c r="BH6" i="9" l="1"/>
  <c r="BI6" i="9"/>
  <c r="BN6" i="9"/>
  <c r="BK6" i="9"/>
</calcChain>
</file>

<file path=xl/comments1.xml><?xml version="1.0" encoding="utf-8"?>
<comments xmlns="http://schemas.openxmlformats.org/spreadsheetml/2006/main">
  <authors>
    <author>Juris</author>
  </authors>
  <commentList>
    <comment ref="BQ8" authorId="0">
      <text>
        <r>
          <rPr>
            <b/>
            <sz val="9"/>
            <color indexed="81"/>
            <rFont val="Tahoma"/>
            <family val="2"/>
            <charset val="186"/>
          </rPr>
          <t>Juris:</t>
        </r>
        <r>
          <rPr>
            <sz val="9"/>
            <color indexed="81"/>
            <rFont val="Tahoma"/>
            <family val="2"/>
            <charset val="186"/>
          </rPr>
          <t xml:space="preserve">
618 patērētāji atrodas aglomerācijā, bet nav ekonomiski pamatoti pievienot centralizēto kanalizāciju. Lai arī tiem nebūs pieejams pievienoties sistēmai, tie ir iekaitīti pie patērētājiem, kuriem tas ir iespējams.</t>
        </r>
      </text>
    </comment>
    <comment ref="C11" authorId="0">
      <text>
        <r>
          <rPr>
            <b/>
            <sz val="9"/>
            <color indexed="81"/>
            <rFont val="Tahoma"/>
            <family val="2"/>
            <charset val="186"/>
          </rPr>
          <t>Juris:</t>
        </r>
        <r>
          <rPr>
            <sz val="9"/>
            <color indexed="81"/>
            <rFont val="Tahoma"/>
            <family val="2"/>
            <charset val="186"/>
          </rPr>
          <t xml:space="preserve">
Visi dati par Krāslavu ir pēc 2.kārtas realizācijas, bet Krāslavai pēc 836.mk nav bijusi 2.kārta</t>
        </r>
      </text>
    </comment>
    <comment ref="C27" authorId="0">
      <text>
        <r>
          <rPr>
            <b/>
            <sz val="9"/>
            <color indexed="81"/>
            <rFont val="Tahoma"/>
            <family val="2"/>
            <charset val="186"/>
          </rPr>
          <t>Juris:</t>
        </r>
        <r>
          <rPr>
            <sz val="9"/>
            <color indexed="81"/>
            <rFont val="Tahoma"/>
            <family val="2"/>
            <charset val="186"/>
          </rPr>
          <t xml:space="preserve">
Vajadzīgs 2011.g. TEPs</t>
        </r>
      </text>
    </comment>
    <comment ref="BQ34" authorId="0">
      <text>
        <r>
          <rPr>
            <b/>
            <sz val="9"/>
            <color indexed="81"/>
            <rFont val="Tahoma"/>
            <family val="2"/>
            <charset val="186"/>
          </rPr>
          <t>Juris:</t>
        </r>
        <r>
          <rPr>
            <sz val="9"/>
            <color indexed="81"/>
            <rFont val="Tahoma"/>
            <family val="2"/>
            <charset val="186"/>
          </rPr>
          <t xml:space="preserve">
Nav skaidra Ilgtermiņa programma, jo aktivitātes K02 un K03 tiek realizētas īstermiņā, a kas paliek pāri nav skaidrs.</t>
        </r>
      </text>
    </comment>
    <comment ref="BQ37" authorId="0">
      <text>
        <r>
          <rPr>
            <b/>
            <sz val="9"/>
            <color indexed="81"/>
            <rFont val="Tahoma"/>
            <family val="2"/>
            <charset val="186"/>
          </rPr>
          <t>Juris:</t>
        </r>
        <r>
          <rPr>
            <sz val="9"/>
            <color indexed="81"/>
            <rFont val="Tahoma"/>
            <family val="2"/>
            <charset val="186"/>
          </rPr>
          <t xml:space="preserve">
Ieguldījumi ir aprēķināti, jo TEPā ir dotas atsevišķi viena m izmaksas un kopējais daudzums.</t>
        </r>
      </text>
    </comment>
    <comment ref="BR39" authorId="0">
      <text>
        <r>
          <rPr>
            <b/>
            <sz val="9"/>
            <color indexed="81"/>
            <rFont val="Tahoma"/>
            <family val="2"/>
            <charset val="186"/>
          </rPr>
          <t>Juris:</t>
        </r>
        <r>
          <rPr>
            <sz val="9"/>
            <color indexed="81"/>
            <rFont val="Tahoma"/>
            <family val="2"/>
            <charset val="186"/>
          </rPr>
          <t xml:space="preserve">
Asenizācijas mašīnas iegāde</t>
        </r>
      </text>
    </comment>
    <comment ref="BQ40" authorId="0">
      <text>
        <r>
          <rPr>
            <b/>
            <sz val="9"/>
            <color indexed="81"/>
            <rFont val="Tahoma"/>
            <family val="2"/>
            <charset val="186"/>
          </rPr>
          <t>Juris:</t>
        </r>
        <r>
          <rPr>
            <sz val="9"/>
            <color indexed="81"/>
            <rFont val="Tahoma"/>
            <family val="2"/>
            <charset val="186"/>
          </rPr>
          <t xml:space="preserve">
t.sk. NAI jaudas paplašināšana par 50%, lai varētu attīrīt visus ienākušos notekūdeņus.</t>
        </r>
      </text>
    </comment>
    <comment ref="BQ48" authorId="0">
      <text>
        <r>
          <rPr>
            <b/>
            <sz val="9"/>
            <color indexed="81"/>
            <rFont val="Tahoma"/>
            <family val="2"/>
            <charset val="186"/>
          </rPr>
          <t>Juris:</t>
        </r>
        <r>
          <rPr>
            <sz val="9"/>
            <color indexed="81"/>
            <rFont val="Tahoma"/>
            <family val="2"/>
            <charset val="186"/>
          </rPr>
          <t xml:space="preserve">
IIP paliek aktivitātes K8-2; K8-22 un K18-2, rekonstr K19 un K20. Pārāk maz aktivitāšu un pārāk daudz nepievienotu cilvēku.</t>
        </r>
      </text>
    </comment>
    <comment ref="C63" authorId="0">
      <text>
        <r>
          <rPr>
            <b/>
            <sz val="9"/>
            <color indexed="81"/>
            <rFont val="Tahoma"/>
            <family val="2"/>
            <charset val="186"/>
          </rPr>
          <t>Juris:</t>
        </r>
        <r>
          <rPr>
            <sz val="9"/>
            <color indexed="81"/>
            <rFont val="Tahoma"/>
            <family val="2"/>
            <charset val="186"/>
          </rPr>
          <t xml:space="preserve">
Vajadzīgs TEPs nevis aktualizācija</t>
        </r>
      </text>
    </comment>
    <comment ref="C64" authorId="0">
      <text>
        <r>
          <rPr>
            <b/>
            <sz val="9"/>
            <color indexed="81"/>
            <rFont val="Tahoma"/>
            <family val="2"/>
            <charset val="186"/>
          </rPr>
          <t>Juris:</t>
        </r>
        <r>
          <rPr>
            <sz val="9"/>
            <color indexed="81"/>
            <rFont val="Tahoma"/>
            <family val="2"/>
            <charset val="186"/>
          </rPr>
          <t xml:space="preserve">
Ir iedots aglomerācijas ziņojums, ko ir izstrādājusi Olaine un kas ir pilns ar labojumiem. Vai tas ir jāņem spēkā?</t>
        </r>
      </text>
    </comment>
    <comment ref="BQ70" authorId="0">
      <text>
        <r>
          <rPr>
            <b/>
            <sz val="9"/>
            <color indexed="81"/>
            <rFont val="Tahoma"/>
            <family val="2"/>
            <charset val="186"/>
          </rPr>
          <t>Juris:</t>
        </r>
        <r>
          <rPr>
            <sz val="9"/>
            <color indexed="81"/>
            <rFont val="Tahoma"/>
            <family val="2"/>
            <charset val="186"/>
          </rPr>
          <t xml:space="preserve">
Situācija pilnīgi pretēja Ādažiem - pārāk maz nepieslēgto 1% un pārāk daudz aktivitātes paliek ilgtermiņā - viss K1; viss K2 un K3.5.</t>
        </r>
      </text>
    </comment>
    <comment ref="C77" authorId="0">
      <text>
        <r>
          <rPr>
            <b/>
            <sz val="9"/>
            <color indexed="81"/>
            <rFont val="Tahoma"/>
            <family val="2"/>
            <charset val="186"/>
          </rPr>
          <t>Juris:</t>
        </r>
        <r>
          <rPr>
            <sz val="9"/>
            <color indexed="81"/>
            <rFont val="Tahoma"/>
            <family val="2"/>
            <charset val="186"/>
          </rPr>
          <t xml:space="preserve">
Ilgtermiņš jāņem no 2002.g. TEP</t>
        </r>
      </text>
    </comment>
    <comment ref="BQ87" authorId="0">
      <text>
        <r>
          <rPr>
            <b/>
            <sz val="9"/>
            <color indexed="81"/>
            <rFont val="Tahoma"/>
            <family val="2"/>
            <charset val="186"/>
          </rPr>
          <t>Juris:</t>
        </r>
        <r>
          <rPr>
            <sz val="9"/>
            <color indexed="81"/>
            <rFont val="Tahoma"/>
            <family val="2"/>
            <charset val="186"/>
          </rPr>
          <t xml:space="preserve">
Pēc datiem sanāk, ka 75 iedzīvotājiem vēl nebūs pieejami centralizēti kanalizācijas pak., bet tā kā to pievienošanai nav paredzētas investīcijas, var uzskatīt, ka šie iedzīvotāji dzīvo aglomerācijā, bet nav ekonomiski pamatota centralizētās sistēmas izbūve.</t>
        </r>
      </text>
    </comment>
    <comment ref="C100" authorId="0">
      <text>
        <r>
          <rPr>
            <b/>
            <sz val="9"/>
            <color indexed="81"/>
            <rFont val="Tahoma"/>
            <family val="2"/>
            <charset val="186"/>
          </rPr>
          <t>Juris:</t>
        </r>
        <r>
          <rPr>
            <sz val="9"/>
            <color indexed="81"/>
            <rFont val="Tahoma"/>
            <family val="2"/>
            <charset val="186"/>
          </rPr>
          <t xml:space="preserve">
Nav NAI vispār.
TEP aktualizācijā pieņemta ietaupījuma izlietošana, tomēr ir zināms, ka tas nav noticis. Sniegta situācija bez ietaupījuma realizācijas.</t>
        </r>
      </text>
    </comment>
  </commentList>
</comments>
</file>

<file path=xl/comments2.xml><?xml version="1.0" encoding="utf-8"?>
<comments xmlns="http://schemas.openxmlformats.org/spreadsheetml/2006/main">
  <authors>
    <author>Juris</author>
  </authors>
  <commentList>
    <comment ref="C6" authorId="0">
      <text>
        <r>
          <rPr>
            <b/>
            <sz val="9"/>
            <color indexed="81"/>
            <rFont val="Tahoma"/>
            <family val="2"/>
            <charset val="186"/>
          </rPr>
          <t>Juris:</t>
        </r>
        <r>
          <rPr>
            <sz val="9"/>
            <color indexed="81"/>
            <rFont val="Tahoma"/>
            <family val="2"/>
            <charset val="186"/>
          </rPr>
          <t xml:space="preserve">
Ilgtermiņš jāņem no 2002.g. TEP</t>
        </r>
      </text>
    </comment>
    <comment ref="C12" authorId="0">
      <text>
        <r>
          <rPr>
            <b/>
            <sz val="9"/>
            <color indexed="81"/>
            <rFont val="Tahoma"/>
            <family val="2"/>
            <charset val="186"/>
          </rPr>
          <t>Juris:</t>
        </r>
        <r>
          <rPr>
            <sz val="9"/>
            <color indexed="81"/>
            <rFont val="Tahoma"/>
            <family val="2"/>
            <charset val="186"/>
          </rPr>
          <t xml:space="preserve">
Vajadzīgs TEPs nevis aktualizācija</t>
        </r>
      </text>
    </comment>
    <comment ref="BQ16" authorId="0">
      <text>
        <r>
          <rPr>
            <b/>
            <sz val="9"/>
            <color indexed="81"/>
            <rFont val="Tahoma"/>
            <family val="2"/>
            <charset val="186"/>
          </rPr>
          <t>Juris:</t>
        </r>
        <r>
          <rPr>
            <sz val="9"/>
            <color indexed="81"/>
            <rFont val="Tahoma"/>
            <family val="2"/>
            <charset val="186"/>
          </rPr>
          <t xml:space="preserve">
618 patērētāji atrodas aglomerācijā, bet nav ekonomiski pamatoti pievienot centralizēto kanalizāciju. Lai arī tiem nebūs pieejams pievienoties sistēmai, tie ir iekaitīti pie patērētājiem, kuriem tas ir iespējams.</t>
        </r>
      </text>
    </comment>
    <comment ref="BQ18" authorId="0">
      <text>
        <r>
          <rPr>
            <b/>
            <sz val="9"/>
            <color indexed="81"/>
            <rFont val="Tahoma"/>
            <family val="2"/>
            <charset val="186"/>
          </rPr>
          <t>Juris:</t>
        </r>
        <r>
          <rPr>
            <sz val="9"/>
            <color indexed="81"/>
            <rFont val="Tahoma"/>
            <family val="2"/>
            <charset val="186"/>
          </rPr>
          <t xml:space="preserve">
Pēc datiem sanāk, ka 75 iedzīvotājiem vēl nebūs pieejami centralizēti kanalizācijas pak., bet tā kā to pievienošanai nav paredzētas investīcijas, var uzskatīt, ka šie iedzīvotāji dzīvo aglomerācijā, bet nav ekonomiski pamatota centralizētās sistēmas izbūve.</t>
        </r>
      </text>
    </comment>
    <comment ref="C21" authorId="0">
      <text>
        <r>
          <rPr>
            <b/>
            <sz val="9"/>
            <color indexed="81"/>
            <rFont val="Tahoma"/>
            <family val="2"/>
            <charset val="186"/>
          </rPr>
          <t>Juris:</t>
        </r>
        <r>
          <rPr>
            <sz val="9"/>
            <color indexed="81"/>
            <rFont val="Tahoma"/>
            <family val="2"/>
            <charset val="186"/>
          </rPr>
          <t xml:space="preserve">
Ir iedots aglomerācijas ziņojums, ko ir izstrādājusi Olaine un kas ir pilns ar labojumiem. Vai tas ir jāņem spēkā?</t>
        </r>
      </text>
    </comment>
    <comment ref="C31" authorId="0">
      <text>
        <r>
          <rPr>
            <b/>
            <sz val="9"/>
            <color indexed="81"/>
            <rFont val="Tahoma"/>
            <family val="2"/>
            <charset val="186"/>
          </rPr>
          <t>Juris:</t>
        </r>
        <r>
          <rPr>
            <sz val="9"/>
            <color indexed="81"/>
            <rFont val="Tahoma"/>
            <family val="2"/>
            <charset val="186"/>
          </rPr>
          <t xml:space="preserve">
Visi dati par Krāslavu ir pēc 2.kārtas realizācijas, bet Krāslavai pēc 836.mk nav bijusi 2.kārta</t>
        </r>
      </text>
    </comment>
    <comment ref="BQ45" authorId="0">
      <text>
        <r>
          <rPr>
            <b/>
            <sz val="9"/>
            <color indexed="81"/>
            <rFont val="Tahoma"/>
            <family val="2"/>
            <charset val="186"/>
          </rPr>
          <t>Juris:</t>
        </r>
        <r>
          <rPr>
            <sz val="9"/>
            <color indexed="81"/>
            <rFont val="Tahoma"/>
            <family val="2"/>
            <charset val="186"/>
          </rPr>
          <t xml:space="preserve">
IIP paliek aktivitātes K8-2; K8-22 un K18-2, rekonstr K19 un K20. Pārāk maz aktivitāšu un pārāk daudz nepievienotu cilvēku.</t>
        </r>
      </text>
    </comment>
    <comment ref="BQ57" authorId="0">
      <text>
        <r>
          <rPr>
            <b/>
            <sz val="9"/>
            <color indexed="81"/>
            <rFont val="Tahoma"/>
            <family val="2"/>
            <charset val="186"/>
          </rPr>
          <t>Juris:</t>
        </r>
        <r>
          <rPr>
            <sz val="9"/>
            <color indexed="81"/>
            <rFont val="Tahoma"/>
            <family val="2"/>
            <charset val="186"/>
          </rPr>
          <t xml:space="preserve">
Situācija pilnīgi pretēja Ādažiem - pārāk maz nepieslēgto 1% un pārāk daudz aktivitātes paliek ilgtermiņā - viss K1; viss K2 un K3.5.</t>
        </r>
      </text>
    </comment>
    <comment ref="C70" authorId="0">
      <text>
        <r>
          <rPr>
            <b/>
            <sz val="9"/>
            <color indexed="81"/>
            <rFont val="Tahoma"/>
            <family val="2"/>
            <charset val="186"/>
          </rPr>
          <t>Juris:</t>
        </r>
        <r>
          <rPr>
            <sz val="9"/>
            <color indexed="81"/>
            <rFont val="Tahoma"/>
            <family val="2"/>
            <charset val="186"/>
          </rPr>
          <t xml:space="preserve">
Vajadzīgs 2011.g. TEPs</t>
        </r>
      </text>
    </comment>
    <comment ref="BQ84" authorId="0">
      <text>
        <r>
          <rPr>
            <b/>
            <sz val="9"/>
            <color indexed="81"/>
            <rFont val="Tahoma"/>
            <family val="2"/>
            <charset val="186"/>
          </rPr>
          <t>Juris:</t>
        </r>
        <r>
          <rPr>
            <sz val="9"/>
            <color indexed="81"/>
            <rFont val="Tahoma"/>
            <family val="2"/>
            <charset val="186"/>
          </rPr>
          <t xml:space="preserve">
Nav skaidra Ilgtermiņa programma, jo aktivitātes K02 un K03 tiek realizētas īstermiņā, a kas paliek pāri nav skaidrs.</t>
        </r>
      </text>
    </comment>
    <comment ref="C87" authorId="0">
      <text>
        <r>
          <rPr>
            <b/>
            <sz val="9"/>
            <color indexed="81"/>
            <rFont val="Tahoma"/>
            <family val="2"/>
            <charset val="186"/>
          </rPr>
          <t>Juris:</t>
        </r>
        <r>
          <rPr>
            <sz val="9"/>
            <color indexed="81"/>
            <rFont val="Tahoma"/>
            <family val="2"/>
            <charset val="186"/>
          </rPr>
          <t xml:space="preserve">
Nav NAI vispār.
TEP aktualizācijā pieņemta ietaupījuma izlietošana, tomēr ir zināms, ka tas nav noticis. Sniegta situācija bez ietaupījuma realizācijas.</t>
        </r>
      </text>
    </comment>
    <comment ref="BQ91" authorId="0">
      <text>
        <r>
          <rPr>
            <b/>
            <sz val="9"/>
            <color indexed="81"/>
            <rFont val="Tahoma"/>
            <family val="2"/>
            <charset val="186"/>
          </rPr>
          <t>Juris:</t>
        </r>
        <r>
          <rPr>
            <sz val="9"/>
            <color indexed="81"/>
            <rFont val="Tahoma"/>
            <family val="2"/>
            <charset val="186"/>
          </rPr>
          <t xml:space="preserve">
Ieguldījumi ir aprēķināti, jo TEPā ir dotas atsevišķi viena m izmaksas un kopējais daudzums.</t>
        </r>
      </text>
    </comment>
    <comment ref="BR93" authorId="0">
      <text>
        <r>
          <rPr>
            <b/>
            <sz val="9"/>
            <color indexed="81"/>
            <rFont val="Tahoma"/>
            <family val="2"/>
            <charset val="186"/>
          </rPr>
          <t>Juris:</t>
        </r>
        <r>
          <rPr>
            <sz val="9"/>
            <color indexed="81"/>
            <rFont val="Tahoma"/>
            <family val="2"/>
            <charset val="186"/>
          </rPr>
          <t xml:space="preserve">
Asenizācijas mašīnas iegāde</t>
        </r>
      </text>
    </comment>
    <comment ref="BQ94" authorId="0">
      <text>
        <r>
          <rPr>
            <b/>
            <sz val="9"/>
            <color indexed="81"/>
            <rFont val="Tahoma"/>
            <family val="2"/>
            <charset val="186"/>
          </rPr>
          <t>Juris:</t>
        </r>
        <r>
          <rPr>
            <sz val="9"/>
            <color indexed="81"/>
            <rFont val="Tahoma"/>
            <family val="2"/>
            <charset val="186"/>
          </rPr>
          <t xml:space="preserve">
t.sk. NAI jaudas paplašināšana par 50%, lai varētu attīrīt visus ienākušos notekūdeņus.</t>
        </r>
      </text>
    </comment>
  </commentList>
</comments>
</file>

<file path=xl/sharedStrings.xml><?xml version="1.0" encoding="utf-8"?>
<sst xmlns="http://schemas.openxmlformats.org/spreadsheetml/2006/main" count="899" uniqueCount="223">
  <si>
    <t>NAI izplūdes vieta</t>
  </si>
  <si>
    <t>Dūņezers</t>
  </si>
  <si>
    <t>Gauja</t>
  </si>
  <si>
    <t xml:space="preserve"> - </t>
  </si>
  <si>
    <t>Lielupe</t>
  </si>
  <si>
    <t>Ērgļi</t>
  </si>
  <si>
    <t>-</t>
  </si>
  <si>
    <t>Slocene</t>
  </si>
  <si>
    <t>Roja</t>
  </si>
  <si>
    <t>Venta</t>
  </si>
  <si>
    <t>Rēzekne</t>
  </si>
  <si>
    <t>Daugava</t>
  </si>
  <si>
    <t>Abuls</t>
  </si>
  <si>
    <t>Salaca</t>
  </si>
  <si>
    <t>Auce</t>
  </si>
  <si>
    <t>Īslīce</t>
  </si>
  <si>
    <t>Kopējais piesārņojums</t>
  </si>
  <si>
    <t>BSP5</t>
  </si>
  <si>
    <t>ĶSP</t>
  </si>
  <si>
    <t>SV</t>
  </si>
  <si>
    <t>Dūņās palikušais piesārņojums</t>
  </si>
  <si>
    <t>Dabā novadītais piesārņojums</t>
  </si>
  <si>
    <t>% no piesārņojuma, kas tiek attīrīti</t>
  </si>
  <si>
    <t>No NAI novadītais piesārņojums dabā</t>
  </si>
  <si>
    <t>Kopējais radītais piesārņojums</t>
  </si>
  <si>
    <t>Kopējais dabā novadītais piesārņojums</t>
  </si>
  <si>
    <t>Aglomerācija</t>
  </si>
  <si>
    <t>Iedzīvotāju CE</t>
  </si>
  <si>
    <t>Rūpnieciskais CE</t>
  </si>
  <si>
    <t>Kopējais CE</t>
  </si>
  <si>
    <t>N</t>
  </si>
  <si>
    <t>P</t>
  </si>
  <si>
    <t>Notekūdeņu savākšanas sistēmā  nepieciešamās  investīcijas</t>
  </si>
  <si>
    <t>Jaunu patērētāju pievienošanai aglomerācijā</t>
  </si>
  <si>
    <t>Esošās sistēmas rekonstrukcijai</t>
  </si>
  <si>
    <t>LVL</t>
  </si>
  <si>
    <t>NAI likvidētais piesārņojums</t>
  </si>
  <si>
    <t>Kopējais likvidētais piesārņojums</t>
  </si>
  <si>
    <t>Likvidētais piesārņojums</t>
  </si>
  <si>
    <t>%</t>
  </si>
  <si>
    <t>CE</t>
  </si>
  <si>
    <t>Centralizētās notekūdeņu savākšanas sistēmas pārklājums</t>
  </si>
  <si>
    <t>Izkliedētā piesārņojuma radītāju skaits</t>
  </si>
  <si>
    <t>Rīga</t>
  </si>
  <si>
    <t>Daugavpils</t>
  </si>
  <si>
    <t>Liepāja</t>
  </si>
  <si>
    <t>Iedzīvotāju skaits PMLP 2012</t>
  </si>
  <si>
    <t>Jelgava</t>
  </si>
  <si>
    <t>Jūrmala</t>
  </si>
  <si>
    <t>Ventspils</t>
  </si>
  <si>
    <t>Valmiera</t>
  </si>
  <si>
    <t>Ogre</t>
  </si>
  <si>
    <t>Jēkabpils</t>
  </si>
  <si>
    <t>Tukums</t>
  </si>
  <si>
    <t>Salaspils</t>
  </si>
  <si>
    <t>Cēsis</t>
  </si>
  <si>
    <t>Olaine</t>
  </si>
  <si>
    <t>Kuldīga</t>
  </si>
  <si>
    <t>Saldus</t>
  </si>
  <si>
    <t>Sigulda</t>
  </si>
  <si>
    <t>Dobele</t>
  </si>
  <si>
    <t>Talsi</t>
  </si>
  <si>
    <t>Bauska</t>
  </si>
  <si>
    <t>Mārupe</t>
  </si>
  <si>
    <t>Krāslava</t>
  </si>
  <si>
    <t>Ludza</t>
  </si>
  <si>
    <t>Gulbene</t>
  </si>
  <si>
    <t>Aizkraukle</t>
  </si>
  <si>
    <t>Limbaži</t>
  </si>
  <si>
    <t>Preiļi</t>
  </si>
  <si>
    <t>Alūksne</t>
  </si>
  <si>
    <t>Balvi</t>
  </si>
  <si>
    <t>Lielvārde</t>
  </si>
  <si>
    <t>Iecava</t>
  </si>
  <si>
    <t>Ķekava</t>
  </si>
  <si>
    <t>Ādaži</t>
  </si>
  <si>
    <t>Baloži</t>
  </si>
  <si>
    <t>Līvāni</t>
  </si>
  <si>
    <t>Smiltene</t>
  </si>
  <si>
    <t>Valka</t>
  </si>
  <si>
    <t>Ozolnieki</t>
  </si>
  <si>
    <t>Aizpute</t>
  </si>
  <si>
    <t>Carnikava</t>
  </si>
  <si>
    <t>Grobiņa</t>
  </si>
  <si>
    <t>Ikšķile</t>
  </si>
  <si>
    <t>Babīte</t>
  </si>
  <si>
    <t>Baltezers</t>
  </si>
  <si>
    <t>Brocēni</t>
  </si>
  <si>
    <t>Kandava</t>
  </si>
  <si>
    <t>Jaunolaine</t>
  </si>
  <si>
    <t>Vangaži</t>
  </si>
  <si>
    <t>Pļaviņas</t>
  </si>
  <si>
    <t xml:space="preserve">Rūjiena </t>
  </si>
  <si>
    <t>Saulkrasti</t>
  </si>
  <si>
    <t>Viļāni</t>
  </si>
  <si>
    <t>Koknese</t>
  </si>
  <si>
    <t>Ilūkste</t>
  </si>
  <si>
    <t>Malta</t>
  </si>
  <si>
    <t>Liepa</t>
  </si>
  <si>
    <t>Baldone</t>
  </si>
  <si>
    <t>Priekuļi</t>
  </si>
  <si>
    <t>Salacgrīva</t>
  </si>
  <si>
    <t>Skrīveri</t>
  </si>
  <si>
    <t>Ulbroka</t>
  </si>
  <si>
    <t>Vecumnieki</t>
  </si>
  <si>
    <t>Skrunda</t>
  </si>
  <si>
    <t>Priekule</t>
  </si>
  <si>
    <t>Ugāle</t>
  </si>
  <si>
    <t>Dagda</t>
  </si>
  <si>
    <t>Ķegums</t>
  </si>
  <si>
    <t>Kārsava</t>
  </si>
  <si>
    <t>Kalnciems</t>
  </si>
  <si>
    <t>Jaunjelgava</t>
  </si>
  <si>
    <t>Varakļāni</t>
  </si>
  <si>
    <t>Mālpils</t>
  </si>
  <si>
    <t>Vaiņode</t>
  </si>
  <si>
    <t>Stende</t>
  </si>
  <si>
    <t>Viesīte</t>
  </si>
  <si>
    <t>Dundaga</t>
  </si>
  <si>
    <t>Lubāna</t>
  </si>
  <si>
    <t>Zilupe</t>
  </si>
  <si>
    <t>Cesvaine</t>
  </si>
  <si>
    <t>Viļaka</t>
  </si>
  <si>
    <t>Aloja</t>
  </si>
  <si>
    <t>Mazsalaca</t>
  </si>
  <si>
    <t>Līgatne</t>
  </si>
  <si>
    <t>Jaunpiebalga</t>
  </si>
  <si>
    <t>Baltijas jūra</t>
  </si>
  <si>
    <t>2010.g. Cenās</t>
  </si>
  <si>
    <t>Madona</t>
  </si>
  <si>
    <t>Rēzeknes upe</t>
  </si>
  <si>
    <t>2008.g. Cenās</t>
  </si>
  <si>
    <t>2010.g. cenās</t>
  </si>
  <si>
    <t>Dīcmaņu strauts, vēlāk Cieceres upe, Ventas baseins</t>
  </si>
  <si>
    <t>Lorupe, vēlāk Gaujā</t>
  </si>
  <si>
    <t>2009.g. Cenās</t>
  </si>
  <si>
    <t>Bērzes upe</t>
  </si>
  <si>
    <t>Asarupe</t>
  </si>
  <si>
    <t>Riebas upe</t>
  </si>
  <si>
    <t>Maltaunieku strauts, Vaidava</t>
  </si>
  <si>
    <t>2007.g. Cenās</t>
  </si>
  <si>
    <t>Preiļupe</t>
  </si>
  <si>
    <t>Bolupes upe</t>
  </si>
  <si>
    <t>Lobes upe</t>
  </si>
  <si>
    <t>2010.g. Cenās NAI II kārta ilgtermņā</t>
  </si>
  <si>
    <t>Sedas upē</t>
  </si>
  <si>
    <t>Ālandes</t>
  </si>
  <si>
    <t>Meliorācijas grāvis</t>
  </si>
  <si>
    <t>Straujupīte</t>
  </si>
  <si>
    <t>Maltas upe</t>
  </si>
  <si>
    <t>Rūjas upe</t>
  </si>
  <si>
    <t>Aģes upe, Rīgas jūras līcis</t>
  </si>
  <si>
    <t>Kazenieku strauts</t>
  </si>
  <si>
    <t>2004.g. Cenās</t>
  </si>
  <si>
    <t>Grāvis, niedru lauks</t>
  </si>
  <si>
    <t>Maizītes upe</t>
  </si>
  <si>
    <t>Kauces strauts</t>
  </si>
  <si>
    <t>Uz Cēsu NAI</t>
  </si>
  <si>
    <t>Ķekaviņas upe</t>
  </si>
  <si>
    <t>2006.g. Cenās</t>
  </si>
  <si>
    <t>Dagdas ezers</t>
  </si>
  <si>
    <t>Taļķes upe</t>
  </si>
  <si>
    <t>Virgas upe</t>
  </si>
  <si>
    <t>Engures upe</t>
  </si>
  <si>
    <t>Ogres upe</t>
  </si>
  <si>
    <t>Soģupe</t>
  </si>
  <si>
    <t>Līgatnes upe</t>
  </si>
  <si>
    <t>2009.g. Cenās NAI dūņu laukums</t>
  </si>
  <si>
    <t>Šuņupe, pēc 100 m Daugavā</t>
  </si>
  <si>
    <t>???</t>
  </si>
  <si>
    <t>2011.g. Cenās</t>
  </si>
  <si>
    <t>4 km cauruļvads, Daugavā</t>
  </si>
  <si>
    <t>Misa</t>
  </si>
  <si>
    <t>Driksa</t>
  </si>
  <si>
    <t>Dzelzupe</t>
  </si>
  <si>
    <t>Uz Rīgas NAI</t>
  </si>
  <si>
    <t>Isanudas upe, pēc 400 m Ludzas ezers</t>
  </si>
  <si>
    <t>Meliorācijas grāvis, tālāk Daugava</t>
  </si>
  <si>
    <t>Rīgas NAI, Daugava</t>
  </si>
  <si>
    <t>Olainītes upe</t>
  </si>
  <si>
    <t>2010. cenās</t>
  </si>
  <si>
    <t>Abava</t>
  </si>
  <si>
    <t>Tebras upe</t>
  </si>
  <si>
    <t>Iecavas upe</t>
  </si>
  <si>
    <t>Piķurga</t>
  </si>
  <si>
    <t>Rojas upe</t>
  </si>
  <si>
    <t>Grāvis, pēc 2 km Līgotnes upe</t>
  </si>
  <si>
    <t>Ilūkstes upe</t>
  </si>
  <si>
    <t>Mergupe</t>
  </si>
  <si>
    <t>Krustlīces upe</t>
  </si>
  <si>
    <t>NAV NAI</t>
  </si>
  <si>
    <t>Meliorācijas grāvis tālāk Stendes upe; Otras NAI Vidusupē</t>
  </si>
  <si>
    <t>2012.g. Cenās</t>
  </si>
  <si>
    <t>Pāces upe</t>
  </si>
  <si>
    <t>Ziedu grāvis, tad Aiviekstes upe</t>
  </si>
  <si>
    <t>Sūlas upe</t>
  </si>
  <si>
    <t>Pušnicas upe</t>
  </si>
  <si>
    <t>Meliorācijs grāvis, pēc 1,3km Viesītes ezerā</t>
  </si>
  <si>
    <t>2011.g. cenās</t>
  </si>
  <si>
    <t>2010.g.cenās</t>
  </si>
  <si>
    <t>Zilupes upē</t>
  </si>
  <si>
    <t>IZKLIEDĒTĀ PIESĀRŅOJUMA APRĒĶINS (t/g)</t>
  </si>
  <si>
    <t>NAI NOVADĪTĀ PIESĀRŅOJUMA APRĒĶINS (t/gadā)</t>
  </si>
  <si>
    <t>KOPĀ PIESĀRŅOJUMS (t/gadā)</t>
  </si>
  <si>
    <t xml:space="preserve">  </t>
  </si>
  <si>
    <t>Piekrastes</t>
  </si>
  <si>
    <t>Daugavas</t>
  </si>
  <si>
    <t>Lielupes</t>
  </si>
  <si>
    <t>Gaujas</t>
  </si>
  <si>
    <t>Ventas</t>
  </si>
  <si>
    <t>Situācija uz 2007.g.</t>
  </si>
  <si>
    <t>Ūdens baseina apg.</t>
  </si>
  <si>
    <t>Kopā Daugavas baseins</t>
  </si>
  <si>
    <t>Gaujas baseins</t>
  </si>
  <si>
    <t>Kopā Gaujas baseins</t>
  </si>
  <si>
    <t>Lielupes baseins</t>
  </si>
  <si>
    <t>Kopā Lielupes baseins</t>
  </si>
  <si>
    <t>Piekrastes ūdens objekti</t>
  </si>
  <si>
    <t>Kopā piejūra</t>
  </si>
  <si>
    <t>Ventas baseins</t>
  </si>
  <si>
    <t>Kopā Ventas baseins</t>
  </si>
  <si>
    <t>Kopā Latvijā</t>
  </si>
  <si>
    <t>KOPĀ</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</si>
</sst>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1"/>
      <color theme="1"/>
      <name val="Calibri"/>
      <family val="2"/>
      <charset val="186"/>
      <scheme val="minor"/>
    </font>
    <font>
      <b/>
      <sz val="11"/>
      <color theme="1"/>
      <name val="Calibri"/>
      <family val="2"/>
      <charset val="186"/>
      <scheme val="minor"/>
    </font>
    <font>
      <sz val="9"/>
      <color indexed="81"/>
      <name val="Tahoma"/>
      <family val="2"/>
      <charset val="186"/>
    </font>
    <font>
      <b/>
      <sz val="9"/>
      <color indexed="81"/>
      <name val="Tahoma"/>
      <family val="2"/>
      <charset val="186"/>
    </font>
    <font>
      <sz val="11"/>
      <color theme="1"/>
      <name val="Calibri"/>
      <family val="2"/>
      <charset val="186"/>
      <scheme val="minor"/>
    </font>
    <font>
      <b/>
      <sz val="12"/>
      <color theme="1"/>
      <name val="Calibri"/>
      <family val="2"/>
      <charset val="186"/>
      <scheme val="minor"/>
    </font>
    <font>
      <b/>
      <sz val="14"/>
      <color theme="1"/>
      <name val="Calibri"/>
      <family val="2"/>
      <charset val="186"/>
      <scheme val="minor"/>
    </font>
    <font>
      <b/>
      <sz val="14"/>
      <color rgb="FFFF0000"/>
      <name val="Calibri"/>
      <family val="2"/>
      <charset val="186"/>
      <scheme val="minor"/>
    </font>
    <font>
      <b/>
      <sz val="13"/>
      <color theme="1"/>
      <name val="Calibri"/>
      <family val="2"/>
      <charset val="186"/>
      <scheme val="minor"/>
    </font>
  </fonts>
  <fills count="8">
    <fill>
      <patternFill patternType="none"/>
    </fill>
    <fill>
      <patternFill patternType="gray125"/>
    </fill>
    <fill>
      <patternFill patternType="solid">
        <fgColor theme="0"/>
        <bgColor indexed="64"/>
      </patternFill>
    </fill>
    <fill>
      <patternFill patternType="solid">
        <fgColor rgb="FF99FF99"/>
        <bgColor indexed="64"/>
      </patternFill>
    </fill>
    <fill>
      <patternFill patternType="solid">
        <fgColor rgb="FFFFFFCC"/>
        <bgColor indexed="64"/>
      </patternFill>
    </fill>
    <fill>
      <patternFill patternType="solid">
        <fgColor rgb="FFFFCCFF"/>
        <bgColor indexed="64"/>
      </patternFill>
    </fill>
    <fill>
      <patternFill patternType="solid">
        <fgColor rgb="FFCCECFF"/>
        <bgColor indexed="64"/>
      </patternFill>
    </fill>
    <fill>
      <patternFill patternType="solid">
        <fgColor rgb="FFFFFF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9" fontId="4" fillId="0" borderId="0" applyFont="0" applyFill="0" applyBorder="0" applyAlignment="0" applyProtection="0"/>
  </cellStyleXfs>
  <cellXfs count="327">
    <xf numFmtId="0" fontId="0" fillId="0" borderId="0" xfId="0"/>
    <xf numFmtId="0" fontId="0" fillId="0" borderId="0" xfId="0" applyBorder="1"/>
    <xf numFmtId="0" fontId="1" fillId="0" borderId="0" xfId="0" applyFont="1"/>
    <xf numFmtId="0" fontId="0" fillId="2" borderId="0" xfId="0" applyFill="1"/>
    <xf numFmtId="1" fontId="1" fillId="0" borderId="0" xfId="0" applyNumberFormat="1" applyFont="1"/>
    <xf numFmtId="3" fontId="0" fillId="3" borderId="5" xfId="0" applyNumberFormat="1" applyFill="1" applyBorder="1" applyAlignment="1">
      <alignment horizontal="center" wrapText="1"/>
    </xf>
    <xf numFmtId="3" fontId="0" fillId="3" borderId="5" xfId="0" applyNumberFormat="1" applyFill="1" applyBorder="1"/>
    <xf numFmtId="3" fontId="0" fillId="3" borderId="8" xfId="0" applyNumberFormat="1" applyFill="1" applyBorder="1"/>
    <xf numFmtId="0" fontId="5" fillId="3" borderId="5" xfId="0" applyFont="1" applyFill="1" applyBorder="1" applyAlignment="1">
      <alignment horizontal="center" wrapText="1"/>
    </xf>
    <xf numFmtId="0" fontId="5" fillId="3" borderId="8" xfId="0" applyFont="1" applyFill="1" applyBorder="1" applyAlignment="1">
      <alignment horizontal="center" wrapText="1"/>
    </xf>
    <xf numFmtId="3" fontId="0" fillId="3" borderId="0" xfId="0" applyNumberFormat="1" applyFill="1" applyBorder="1"/>
    <xf numFmtId="3" fontId="0" fillId="3" borderId="7" xfId="0" applyNumberFormat="1" applyFill="1" applyBorder="1"/>
    <xf numFmtId="0" fontId="0" fillId="0" borderId="15" xfId="0" applyBorder="1" applyAlignment="1"/>
    <xf numFmtId="0" fontId="0" fillId="0" borderId="15" xfId="0" applyBorder="1"/>
    <xf numFmtId="0" fontId="0" fillId="0" borderId="15" xfId="0" applyBorder="1" applyAlignment="1">
      <alignment wrapText="1"/>
    </xf>
    <xf numFmtId="0" fontId="0" fillId="2" borderId="15" xfId="0" applyFill="1" applyBorder="1"/>
    <xf numFmtId="0" fontId="0" fillId="0" borderId="18" xfId="0" applyBorder="1"/>
    <xf numFmtId="0" fontId="0" fillId="0" borderId="20" xfId="0" applyBorder="1"/>
    <xf numFmtId="0" fontId="0" fillId="0" borderId="21" xfId="0" applyBorder="1"/>
    <xf numFmtId="0" fontId="0" fillId="0" borderId="22" xfId="0" applyBorder="1"/>
    <xf numFmtId="0" fontId="0" fillId="2" borderId="21" xfId="0" applyFill="1" applyBorder="1"/>
    <xf numFmtId="0" fontId="0" fillId="0" borderId="23" xfId="0" applyBorder="1"/>
    <xf numFmtId="0" fontId="0" fillId="0" borderId="24" xfId="0" applyBorder="1"/>
    <xf numFmtId="0" fontId="0" fillId="0" borderId="25" xfId="0" applyBorder="1"/>
    <xf numFmtId="3" fontId="0" fillId="3" borderId="0" xfId="0" applyNumberFormat="1" applyFill="1" applyBorder="1" applyAlignment="1">
      <alignment horizontal="center" wrapText="1"/>
    </xf>
    <xf numFmtId="0" fontId="0" fillId="4" borderId="15" xfId="0" applyFill="1" applyBorder="1"/>
    <xf numFmtId="0" fontId="0" fillId="5" borderId="15" xfId="0" applyFill="1" applyBorder="1"/>
    <xf numFmtId="9" fontId="0" fillId="5" borderId="15" xfId="0" applyNumberFormat="1" applyFill="1" applyBorder="1"/>
    <xf numFmtId="1" fontId="0" fillId="6" borderId="15" xfId="0" applyNumberFormat="1" applyFill="1" applyBorder="1"/>
    <xf numFmtId="165" fontId="0" fillId="6" borderId="15" xfId="0" applyNumberFormat="1" applyFill="1" applyBorder="1"/>
    <xf numFmtId="165" fontId="0" fillId="6" borderId="22" xfId="0" applyNumberFormat="1" applyFill="1" applyBorder="1"/>
    <xf numFmtId="0" fontId="0" fillId="4" borderId="24" xfId="0" applyFill="1" applyBorder="1"/>
    <xf numFmtId="0" fontId="0" fillId="5" borderId="24" xfId="0" applyFill="1" applyBorder="1"/>
    <xf numFmtId="9" fontId="0" fillId="5" borderId="24" xfId="0" applyNumberFormat="1" applyFill="1" applyBorder="1"/>
    <xf numFmtId="1" fontId="0" fillId="6" borderId="24" xfId="0" applyNumberFormat="1" applyFill="1" applyBorder="1"/>
    <xf numFmtId="165" fontId="0" fillId="6" borderId="24" xfId="0" applyNumberFormat="1" applyFill="1" applyBorder="1"/>
    <xf numFmtId="165" fontId="0" fillId="6" borderId="25" xfId="0" applyNumberFormat="1" applyFill="1" applyBorder="1"/>
    <xf numFmtId="1" fontId="0" fillId="6" borderId="21" xfId="0" applyNumberFormat="1" applyFill="1" applyBorder="1"/>
    <xf numFmtId="1" fontId="0" fillId="6" borderId="23" xfId="0" applyNumberFormat="1" applyFill="1" applyBorder="1"/>
    <xf numFmtId="0" fontId="0" fillId="5" borderId="21" xfId="0" applyFill="1" applyBorder="1"/>
    <xf numFmtId="0" fontId="0" fillId="5" borderId="22" xfId="0" applyFill="1" applyBorder="1"/>
    <xf numFmtId="0" fontId="0" fillId="5" borderId="23" xfId="0" applyFill="1" applyBorder="1"/>
    <xf numFmtId="0" fontId="0" fillId="5" borderId="25" xfId="0" applyFill="1" applyBorder="1"/>
    <xf numFmtId="0" fontId="0" fillId="4" borderId="21" xfId="0" applyFill="1" applyBorder="1"/>
    <xf numFmtId="0" fontId="0" fillId="4" borderId="23" xfId="0" applyFill="1" applyBorder="1"/>
    <xf numFmtId="164" fontId="0" fillId="0" borderId="21" xfId="1" applyNumberFormat="1" applyFont="1" applyBorder="1"/>
    <xf numFmtId="164" fontId="0" fillId="0" borderId="23" xfId="1" applyNumberFormat="1" applyFont="1" applyBorder="1"/>
    <xf numFmtId="0" fontId="0" fillId="0" borderId="16" xfId="0" applyBorder="1"/>
    <xf numFmtId="0" fontId="0" fillId="0" borderId="27" xfId="0" applyBorder="1"/>
    <xf numFmtId="3" fontId="0" fillId="0" borderId="31" xfId="0" applyNumberFormat="1" applyBorder="1"/>
    <xf numFmtId="3" fontId="0" fillId="0" borderId="32" xfId="0" applyNumberFormat="1" applyBorder="1"/>
    <xf numFmtId="3" fontId="0" fillId="0" borderId="33" xfId="0" applyNumberFormat="1" applyBorder="1"/>
    <xf numFmtId="3" fontId="0" fillId="0" borderId="34" xfId="0" applyNumberFormat="1" applyBorder="1"/>
    <xf numFmtId="3" fontId="0" fillId="0" borderId="17" xfId="0" applyNumberFormat="1" applyBorder="1"/>
    <xf numFmtId="0" fontId="0" fillId="0" borderId="17" xfId="0" applyBorder="1"/>
    <xf numFmtId="3" fontId="0" fillId="2" borderId="17" xfId="0" applyNumberFormat="1" applyFill="1" applyBorder="1"/>
    <xf numFmtId="0" fontId="0" fillId="0" borderId="35" xfId="0" applyBorder="1"/>
    <xf numFmtId="0" fontId="0" fillId="0" borderId="16" xfId="0" applyBorder="1" applyAlignment="1">
      <alignment wrapText="1"/>
    </xf>
    <xf numFmtId="0" fontId="0" fillId="2" borderId="16" xfId="0" applyFill="1" applyBorder="1"/>
    <xf numFmtId="3" fontId="0" fillId="0" borderId="28" xfId="0" applyNumberFormat="1" applyBorder="1"/>
    <xf numFmtId="3" fontId="0" fillId="0" borderId="29" xfId="0" applyNumberFormat="1" applyBorder="1"/>
    <xf numFmtId="3" fontId="0" fillId="2" borderId="29" xfId="0" applyNumberFormat="1" applyFill="1" applyBorder="1"/>
    <xf numFmtId="3" fontId="0" fillId="0" borderId="30" xfId="0" applyNumberFormat="1" applyBorder="1"/>
    <xf numFmtId="0" fontId="0" fillId="2" borderId="22" xfId="0" applyFill="1" applyBorder="1"/>
    <xf numFmtId="164" fontId="0" fillId="0" borderId="36" xfId="1" applyNumberFormat="1" applyFont="1" applyBorder="1"/>
    <xf numFmtId="3" fontId="0" fillId="0" borderId="37" xfId="0" applyNumberFormat="1" applyBorder="1"/>
    <xf numFmtId="164" fontId="0" fillId="0" borderId="38" xfId="1" applyNumberFormat="1" applyFont="1" applyBorder="1"/>
    <xf numFmtId="3" fontId="0" fillId="0" borderId="39" xfId="0" applyNumberFormat="1" applyBorder="1"/>
    <xf numFmtId="0" fontId="5" fillId="0" borderId="23" xfId="0" applyFont="1" applyBorder="1" applyAlignment="1">
      <alignment horizontal="center" wrapText="1"/>
    </xf>
    <xf numFmtId="0" fontId="5" fillId="0" borderId="25" xfId="0" applyFont="1" applyBorder="1" applyAlignment="1">
      <alignment horizontal="center" wrapText="1"/>
    </xf>
    <xf numFmtId="0" fontId="5" fillId="0" borderId="27" xfId="0" applyFont="1" applyBorder="1" applyAlignment="1">
      <alignment horizontal="center" wrapText="1"/>
    </xf>
    <xf numFmtId="0" fontId="0" fillId="4" borderId="36" xfId="0" applyFill="1" applyBorder="1"/>
    <xf numFmtId="0" fontId="0" fillId="4" borderId="40" xfId="0" applyFill="1" applyBorder="1"/>
    <xf numFmtId="0" fontId="5" fillId="4" borderId="23" xfId="0" applyFont="1" applyFill="1" applyBorder="1"/>
    <xf numFmtId="0" fontId="5" fillId="4" borderId="24" xfId="0" applyFont="1" applyFill="1" applyBorder="1"/>
    <xf numFmtId="0" fontId="5" fillId="4" borderId="27" xfId="0" applyFont="1" applyFill="1" applyBorder="1"/>
    <xf numFmtId="0" fontId="0" fillId="5" borderId="36" xfId="0" applyFill="1" applyBorder="1"/>
    <xf numFmtId="0" fontId="0" fillId="5" borderId="40" xfId="0" applyFill="1" applyBorder="1"/>
    <xf numFmtId="9" fontId="0" fillId="5" borderId="40" xfId="0" applyNumberFormat="1" applyFill="1" applyBorder="1"/>
    <xf numFmtId="0" fontId="0" fillId="5" borderId="37" xfId="0" applyFill="1" applyBorder="1"/>
    <xf numFmtId="0" fontId="5" fillId="5" borderId="23" xfId="0" applyFont="1" applyFill="1" applyBorder="1"/>
    <xf numFmtId="0" fontId="5" fillId="5" borderId="24" xfId="0" applyFont="1" applyFill="1" applyBorder="1"/>
    <xf numFmtId="0" fontId="5" fillId="5" borderId="27" xfId="0" applyFont="1" applyFill="1" applyBorder="1"/>
    <xf numFmtId="0" fontId="5" fillId="3" borderId="0" xfId="0" applyFont="1" applyFill="1" applyBorder="1" applyAlignment="1">
      <alignment horizontal="center" wrapText="1"/>
    </xf>
    <xf numFmtId="0" fontId="5" fillId="3" borderId="7" xfId="0" applyFont="1" applyFill="1" applyBorder="1" applyAlignment="1">
      <alignment horizontal="center" wrapText="1"/>
    </xf>
    <xf numFmtId="1" fontId="0" fillId="6" borderId="36" xfId="0" applyNumberFormat="1" applyFill="1" applyBorder="1"/>
    <xf numFmtId="1" fontId="0" fillId="6" borderId="40" xfId="0" applyNumberFormat="1" applyFill="1" applyBorder="1"/>
    <xf numFmtId="0" fontId="1" fillId="6" borderId="23" xfId="0" applyFont="1" applyFill="1" applyBorder="1"/>
    <xf numFmtId="0" fontId="5" fillId="6" borderId="24" xfId="0" applyFont="1" applyFill="1" applyBorder="1"/>
    <xf numFmtId="0" fontId="5" fillId="6" borderId="25" xfId="0" applyFont="1" applyFill="1" applyBorder="1"/>
    <xf numFmtId="3" fontId="0" fillId="0" borderId="35" xfId="0" applyNumberFormat="1" applyBorder="1"/>
    <xf numFmtId="165" fontId="0" fillId="4" borderId="40" xfId="0" applyNumberFormat="1" applyFill="1" applyBorder="1"/>
    <xf numFmtId="1" fontId="0" fillId="4" borderId="40" xfId="0" applyNumberFormat="1" applyFill="1" applyBorder="1"/>
    <xf numFmtId="0" fontId="0" fillId="2" borderId="16" xfId="0" applyFill="1" applyBorder="1" applyAlignment="1">
      <alignment wrapText="1"/>
    </xf>
    <xf numFmtId="3" fontId="0" fillId="2" borderId="32" xfId="0" applyNumberFormat="1" applyFill="1" applyBorder="1"/>
    <xf numFmtId="164" fontId="0" fillId="2" borderId="21" xfId="1" applyNumberFormat="1" applyFont="1" applyFill="1" applyBorder="1"/>
    <xf numFmtId="3" fontId="0" fillId="2" borderId="37" xfId="0" applyNumberFormat="1" applyFill="1" applyBorder="1"/>
    <xf numFmtId="164" fontId="0" fillId="2" borderId="38" xfId="1" applyNumberFormat="1" applyFont="1" applyFill="1" applyBorder="1"/>
    <xf numFmtId="3" fontId="0" fillId="2" borderId="39" xfId="0" applyNumberFormat="1" applyFill="1" applyBorder="1"/>
    <xf numFmtId="1" fontId="0" fillId="2" borderId="40" xfId="0" applyNumberFormat="1" applyFill="1" applyBorder="1"/>
    <xf numFmtId="0" fontId="0" fillId="2" borderId="40" xfId="0" applyFill="1" applyBorder="1"/>
    <xf numFmtId="165" fontId="0" fillId="2" borderId="40" xfId="0" applyNumberFormat="1" applyFill="1" applyBorder="1"/>
    <xf numFmtId="3" fontId="0" fillId="2" borderId="0" xfId="0" applyNumberFormat="1" applyFill="1" applyBorder="1"/>
    <xf numFmtId="3" fontId="0" fillId="2" borderId="5" xfId="0" applyNumberFormat="1" applyFill="1" applyBorder="1"/>
    <xf numFmtId="0" fontId="0" fillId="7" borderId="17" xfId="0" applyFill="1" applyBorder="1"/>
    <xf numFmtId="0" fontId="6" fillId="0" borderId="2" xfId="0" applyFont="1" applyBorder="1" applyAlignment="1">
      <alignment horizontal="center" wrapText="1"/>
    </xf>
    <xf numFmtId="0" fontId="0" fillId="0" borderId="26" xfId="0" applyBorder="1" applyAlignment="1">
      <alignment wrapText="1"/>
    </xf>
    <xf numFmtId="0" fontId="0" fillId="0" borderId="19" xfId="0" applyBorder="1" applyAlignment="1">
      <alignment wrapText="1"/>
    </xf>
    <xf numFmtId="165" fontId="0" fillId="6" borderId="40" xfId="0" applyNumberFormat="1" applyFill="1" applyBorder="1"/>
    <xf numFmtId="165" fontId="0" fillId="6" borderId="37" xfId="0" applyNumberFormat="1" applyFill="1" applyBorder="1"/>
    <xf numFmtId="1" fontId="0" fillId="6" borderId="22" xfId="0" applyNumberFormat="1" applyFill="1" applyBorder="1"/>
    <xf numFmtId="0" fontId="0" fillId="0" borderId="42" xfId="0" applyBorder="1"/>
    <xf numFmtId="0" fontId="0" fillId="2" borderId="0" xfId="0" applyFill="1" applyBorder="1"/>
    <xf numFmtId="0" fontId="5" fillId="0" borderId="0" xfId="0" applyFont="1" applyBorder="1"/>
    <xf numFmtId="0" fontId="5" fillId="0" borderId="43" xfId="0" applyFont="1" applyBorder="1" applyAlignment="1"/>
    <xf numFmtId="3" fontId="5" fillId="3" borderId="0" xfId="0" applyNumberFormat="1" applyFont="1" applyFill="1" applyBorder="1"/>
    <xf numFmtId="3" fontId="5" fillId="3" borderId="5" xfId="0" applyNumberFormat="1" applyFont="1" applyFill="1" applyBorder="1"/>
    <xf numFmtId="0" fontId="5" fillId="0" borderId="0" xfId="0" applyFont="1"/>
    <xf numFmtId="0" fontId="5" fillId="0" borderId="15" xfId="0" applyFont="1" applyBorder="1"/>
    <xf numFmtId="0" fontId="5" fillId="0" borderId="15" xfId="0" applyFont="1" applyBorder="1" applyAlignment="1">
      <alignment wrapText="1"/>
    </xf>
    <xf numFmtId="3" fontId="5" fillId="0" borderId="0" xfId="0" applyNumberFormat="1" applyFont="1"/>
    <xf numFmtId="0" fontId="8" fillId="0" borderId="0" xfId="0" applyFont="1"/>
    <xf numFmtId="3" fontId="0" fillId="0" borderId="45" xfId="0" applyNumberFormat="1" applyBorder="1"/>
    <xf numFmtId="3" fontId="5" fillId="0" borderId="44" xfId="0" applyNumberFormat="1" applyFont="1" applyBorder="1"/>
    <xf numFmtId="0" fontId="0" fillId="0" borderId="45" xfId="0" applyBorder="1"/>
    <xf numFmtId="3" fontId="0" fillId="0" borderId="46" xfId="0" applyNumberFormat="1" applyBorder="1"/>
    <xf numFmtId="164" fontId="0" fillId="0" borderId="42" xfId="1" applyNumberFormat="1" applyFont="1" applyBorder="1"/>
    <xf numFmtId="164" fontId="0" fillId="2" borderId="36" xfId="1" applyNumberFormat="1" applyFont="1" applyFill="1" applyBorder="1"/>
    <xf numFmtId="164" fontId="5" fillId="0" borderId="44" xfId="1" applyNumberFormat="1" applyFont="1" applyBorder="1"/>
    <xf numFmtId="3" fontId="0" fillId="0" borderId="47" xfId="0" applyNumberFormat="1" applyBorder="1"/>
    <xf numFmtId="164" fontId="0" fillId="0" borderId="48" xfId="1" applyNumberFormat="1" applyFont="1" applyBorder="1"/>
    <xf numFmtId="3" fontId="0" fillId="0" borderId="49" xfId="0" applyNumberFormat="1" applyBorder="1"/>
    <xf numFmtId="0" fontId="0" fillId="4" borderId="42" xfId="0" applyFill="1" applyBorder="1"/>
    <xf numFmtId="0" fontId="0" fillId="2" borderId="36" xfId="0" applyFill="1" applyBorder="1"/>
    <xf numFmtId="3" fontId="5" fillId="4" borderId="44" xfId="0" applyNumberFormat="1" applyFont="1" applyFill="1" applyBorder="1"/>
    <xf numFmtId="1" fontId="0" fillId="4" borderId="50" xfId="0" applyNumberFormat="1" applyFill="1" applyBorder="1"/>
    <xf numFmtId="0" fontId="0" fillId="4" borderId="50" xfId="0" applyFill="1" applyBorder="1"/>
    <xf numFmtId="0" fontId="0" fillId="4" borderId="51" xfId="0" applyFill="1" applyBorder="1"/>
    <xf numFmtId="165" fontId="0" fillId="4" borderId="50" xfId="0" applyNumberFormat="1" applyFill="1" applyBorder="1"/>
    <xf numFmtId="0" fontId="0" fillId="5" borderId="42" xfId="0" applyFill="1" applyBorder="1"/>
    <xf numFmtId="3" fontId="5" fillId="5" borderId="44" xfId="0" applyNumberFormat="1" applyFont="1" applyFill="1" applyBorder="1"/>
    <xf numFmtId="0" fontId="0" fillId="5" borderId="50" xfId="0" applyFill="1" applyBorder="1"/>
    <xf numFmtId="0" fontId="0" fillId="5" borderId="51" xfId="0" applyFill="1" applyBorder="1"/>
    <xf numFmtId="9" fontId="0" fillId="5" borderId="51" xfId="0" applyNumberFormat="1" applyFill="1" applyBorder="1"/>
    <xf numFmtId="9" fontId="0" fillId="2" borderId="40" xfId="0" applyNumberFormat="1" applyFill="1" applyBorder="1"/>
    <xf numFmtId="0" fontId="0" fillId="5" borderId="52" xfId="0" applyFill="1" applyBorder="1"/>
    <xf numFmtId="0" fontId="0" fillId="2" borderId="37" xfId="0" applyFill="1" applyBorder="1"/>
    <xf numFmtId="1" fontId="0" fillId="6" borderId="42" xfId="0" applyNumberFormat="1" applyFill="1" applyBorder="1"/>
    <xf numFmtId="1" fontId="0" fillId="2" borderId="36" xfId="0" applyNumberFormat="1" applyFill="1" applyBorder="1"/>
    <xf numFmtId="3" fontId="5" fillId="6" borderId="44" xfId="0" applyNumberFormat="1" applyFont="1" applyFill="1" applyBorder="1"/>
    <xf numFmtId="1" fontId="0" fillId="6" borderId="51" xfId="0" applyNumberFormat="1" applyFill="1" applyBorder="1"/>
    <xf numFmtId="165" fontId="0" fillId="6" borderId="51" xfId="0" applyNumberFormat="1" applyFill="1" applyBorder="1"/>
    <xf numFmtId="165" fontId="0" fillId="6" borderId="52" xfId="0" applyNumberFormat="1" applyFill="1" applyBorder="1"/>
    <xf numFmtId="165" fontId="0" fillId="2" borderId="37" xfId="0" applyNumberFormat="1" applyFill="1" applyBorder="1"/>
    <xf numFmtId="3" fontId="8" fillId="0" borderId="44" xfId="0" applyNumberFormat="1" applyFont="1" applyBorder="1"/>
    <xf numFmtId="164" fontId="8" fillId="0" borderId="44" xfId="1" applyNumberFormat="1" applyFont="1" applyBorder="1"/>
    <xf numFmtId="0" fontId="5" fillId="0" borderId="1" xfId="0" applyFont="1" applyBorder="1" applyAlignment="1">
      <alignment horizontal="center" wrapText="1"/>
    </xf>
    <xf numFmtId="0" fontId="5" fillId="0" borderId="3" xfId="0" applyFont="1" applyBorder="1" applyAlignment="1">
      <alignment horizontal="center" wrapText="1"/>
    </xf>
    <xf numFmtId="0" fontId="5" fillId="0" borderId="2" xfId="0" applyFont="1" applyBorder="1" applyAlignment="1">
      <alignment horizontal="center" wrapText="1"/>
    </xf>
    <xf numFmtId="0" fontId="6" fillId="0" borderId="1"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5" fillId="4" borderId="19" xfId="0" applyFont="1" applyFill="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center" wrapText="1"/>
    </xf>
    <xf numFmtId="0" fontId="6" fillId="0" borderId="10" xfId="0" applyFont="1" applyBorder="1" applyAlignment="1">
      <alignment horizontal="center"/>
    </xf>
    <xf numFmtId="0" fontId="6" fillId="0" borderId="11" xfId="0" applyFont="1" applyBorder="1" applyAlignment="1">
      <alignment horizontal="center"/>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0" xfId="0"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6" fillId="3" borderId="9" xfId="0" applyFont="1" applyFill="1" applyBorder="1" applyAlignment="1">
      <alignment horizontal="center" wrapText="1"/>
    </xf>
    <xf numFmtId="0" fontId="6" fillId="3" borderId="11" xfId="0" applyFont="1" applyFill="1" applyBorder="1" applyAlignment="1">
      <alignment horizontal="center" wrapText="1"/>
    </xf>
    <xf numFmtId="0" fontId="5" fillId="4" borderId="18" xfId="0" applyFont="1" applyFill="1" applyBorder="1" applyAlignment="1">
      <alignment horizontal="center" wrapText="1"/>
    </xf>
    <xf numFmtId="0" fontId="5" fillId="4" borderId="26" xfId="0" applyFont="1" applyFill="1" applyBorder="1" applyAlignment="1">
      <alignment horizontal="center" wrapText="1"/>
    </xf>
    <xf numFmtId="0" fontId="5" fillId="5" borderId="18" xfId="0" applyFont="1" applyFill="1" applyBorder="1" applyAlignment="1">
      <alignment horizontal="center"/>
    </xf>
    <xf numFmtId="0" fontId="5" fillId="5" borderId="19" xfId="0" applyFont="1" applyFill="1" applyBorder="1" applyAlignment="1">
      <alignment horizontal="center"/>
    </xf>
    <xf numFmtId="0" fontId="5" fillId="5" borderId="19" xfId="0" applyFont="1" applyFill="1" applyBorder="1" applyAlignment="1">
      <alignment horizontal="center" wrapText="1"/>
    </xf>
    <xf numFmtId="0" fontId="5" fillId="5" borderId="26" xfId="0" applyFont="1" applyFill="1" applyBorder="1" applyAlignment="1">
      <alignment horizontal="center" wrapText="1"/>
    </xf>
    <xf numFmtId="0" fontId="5" fillId="6" borderId="19" xfId="0" applyFont="1" applyFill="1" applyBorder="1" applyAlignment="1">
      <alignment horizontal="center" wrapText="1"/>
    </xf>
    <xf numFmtId="0" fontId="6" fillId="4" borderId="1" xfId="0" applyFont="1" applyFill="1" applyBorder="1" applyAlignment="1">
      <alignment horizontal="center" wrapText="1"/>
    </xf>
    <xf numFmtId="0" fontId="6" fillId="4" borderId="2" xfId="0" applyFont="1" applyFill="1" applyBorder="1" applyAlignment="1">
      <alignment horizontal="center" wrapText="1"/>
    </xf>
    <xf numFmtId="0" fontId="6" fillId="4" borderId="3" xfId="0" applyFont="1" applyFill="1" applyBorder="1" applyAlignment="1">
      <alignment horizontal="center" wrapText="1"/>
    </xf>
    <xf numFmtId="0" fontId="6" fillId="5" borderId="1" xfId="0" applyFont="1" applyFill="1" applyBorder="1" applyAlignment="1">
      <alignment horizontal="center" wrapText="1"/>
    </xf>
    <xf numFmtId="0" fontId="6" fillId="5" borderId="2" xfId="0" applyFont="1" applyFill="1" applyBorder="1" applyAlignment="1">
      <alignment horizontal="center" wrapText="1"/>
    </xf>
    <xf numFmtId="0" fontId="6" fillId="5" borderId="3" xfId="0" applyFont="1" applyFill="1" applyBorder="1" applyAlignment="1">
      <alignment horizontal="center" wrapText="1"/>
    </xf>
    <xf numFmtId="0" fontId="6" fillId="6" borderId="1" xfId="0" applyFont="1" applyFill="1" applyBorder="1" applyAlignment="1">
      <alignment horizontal="center" wrapText="1"/>
    </xf>
    <xf numFmtId="0" fontId="6" fillId="6" borderId="2" xfId="0" applyFont="1" applyFill="1" applyBorder="1" applyAlignment="1">
      <alignment horizontal="center" wrapText="1"/>
    </xf>
    <xf numFmtId="0" fontId="6" fillId="6" borderId="3" xfId="0" applyFont="1" applyFill="1" applyBorder="1" applyAlignment="1">
      <alignment horizontal="center" wrapText="1"/>
    </xf>
    <xf numFmtId="0" fontId="5" fillId="6" borderId="20" xfId="0" applyFont="1" applyFill="1" applyBorder="1" applyAlignment="1">
      <alignment horizontal="center" wrapText="1"/>
    </xf>
    <xf numFmtId="0" fontId="1" fillId="6" borderId="41" xfId="0" applyFont="1" applyFill="1" applyBorder="1" applyAlignment="1">
      <alignment horizontal="center"/>
    </xf>
    <xf numFmtId="0" fontId="1" fillId="6" borderId="31" xfId="0" applyFont="1" applyFill="1" applyBorder="1" applyAlignment="1">
      <alignment horizontal="center"/>
    </xf>
    <xf numFmtId="0" fontId="1" fillId="6" borderId="28" xfId="0" applyFont="1" applyFill="1" applyBorder="1" applyAlignment="1">
      <alignment horizontal="center"/>
    </xf>
    <xf numFmtId="0" fontId="6" fillId="0" borderId="3" xfId="0" applyFont="1" applyBorder="1" applyAlignment="1">
      <alignment horizontal="center" wrapText="1"/>
    </xf>
    <xf numFmtId="0" fontId="6" fillId="0" borderId="5" xfId="0" applyFont="1" applyBorder="1" applyAlignment="1">
      <alignment horizontal="center" wrapText="1"/>
    </xf>
    <xf numFmtId="0" fontId="8" fillId="0" borderId="2" xfId="0" applyFont="1" applyBorder="1" applyAlignment="1">
      <alignment horizontal="center"/>
    </xf>
    <xf numFmtId="0" fontId="7" fillId="2" borderId="6" xfId="0" applyFont="1" applyFill="1" applyBorder="1" applyAlignment="1">
      <alignment horizontal="center"/>
    </xf>
    <xf numFmtId="0" fontId="7" fillId="2" borderId="7" xfId="0" applyFont="1" applyFill="1" applyBorder="1" applyAlignment="1">
      <alignment horizontal="center"/>
    </xf>
    <xf numFmtId="0" fontId="7" fillId="2" borderId="8" xfId="0" applyFont="1" applyFill="1" applyBorder="1" applyAlignment="1">
      <alignment horizontal="center"/>
    </xf>
    <xf numFmtId="0" fontId="5" fillId="5" borderId="51" xfId="0" applyFont="1" applyFill="1" applyBorder="1"/>
    <xf numFmtId="0" fontId="0" fillId="0" borderId="4" xfId="0" applyBorder="1"/>
    <xf numFmtId="3" fontId="0" fillId="0" borderId="0" xfId="0" applyNumberFormat="1" applyBorder="1"/>
    <xf numFmtId="3" fontId="0" fillId="0" borderId="13" xfId="0" applyNumberFormat="1" applyBorder="1"/>
    <xf numFmtId="164" fontId="0" fillId="0" borderId="53" xfId="1" applyNumberFormat="1" applyFont="1" applyBorder="1"/>
    <xf numFmtId="0" fontId="0" fillId="4" borderId="53" xfId="0" applyFill="1" applyBorder="1"/>
    <xf numFmtId="9" fontId="0" fillId="5" borderId="50" xfId="0" applyNumberFormat="1" applyFill="1" applyBorder="1"/>
    <xf numFmtId="0" fontId="0" fillId="5" borderId="49" xfId="0" applyFill="1" applyBorder="1"/>
    <xf numFmtId="1" fontId="0" fillId="6" borderId="53" xfId="0" applyNumberFormat="1" applyFill="1" applyBorder="1"/>
    <xf numFmtId="1" fontId="0" fillId="6" borderId="50" xfId="0" applyNumberFormat="1" applyFill="1" applyBorder="1"/>
    <xf numFmtId="0" fontId="0" fillId="0" borderId="36" xfId="0" applyBorder="1"/>
    <xf numFmtId="0" fontId="1" fillId="0" borderId="0" xfId="0" applyFont="1" applyBorder="1"/>
    <xf numFmtId="0" fontId="0" fillId="0" borderId="53" xfId="0" applyBorder="1"/>
    <xf numFmtId="0" fontId="0" fillId="0" borderId="47" xfId="0" applyBorder="1"/>
    <xf numFmtId="165" fontId="0" fillId="6" borderId="50" xfId="0" applyNumberFormat="1" applyFill="1" applyBorder="1"/>
    <xf numFmtId="165" fontId="0" fillId="6" borderId="47" xfId="0" applyNumberFormat="1" applyFill="1" applyBorder="1"/>
    <xf numFmtId="0" fontId="0" fillId="0" borderId="0" xfId="0" applyBorder="1" applyAlignment="1">
      <alignment wrapText="1"/>
    </xf>
    <xf numFmtId="164" fontId="0" fillId="0" borderId="0" xfId="1" applyNumberFormat="1" applyFont="1" applyBorder="1"/>
    <xf numFmtId="0" fontId="0" fillId="4" borderId="0" xfId="0" applyFill="1" applyBorder="1"/>
    <xf numFmtId="1" fontId="0" fillId="4" borderId="0" xfId="0" applyNumberFormat="1" applyFill="1" applyBorder="1"/>
    <xf numFmtId="165" fontId="0" fillId="4" borderId="0" xfId="0" applyNumberFormat="1" applyFill="1" applyBorder="1"/>
    <xf numFmtId="0" fontId="0" fillId="5" borderId="0" xfId="0" applyFill="1" applyBorder="1"/>
    <xf numFmtId="9" fontId="0" fillId="5" borderId="0" xfId="0" applyNumberFormat="1" applyFill="1" applyBorder="1"/>
    <xf numFmtId="1" fontId="0" fillId="6" borderId="0" xfId="0" applyNumberFormat="1" applyFill="1" applyBorder="1"/>
    <xf numFmtId="165" fontId="0" fillId="6" borderId="0" xfId="0" applyNumberFormat="1" applyFill="1" applyBorder="1"/>
    <xf numFmtId="0" fontId="0" fillId="0" borderId="54" xfId="0" applyBorder="1"/>
    <xf numFmtId="0" fontId="6" fillId="0" borderId="0" xfId="0" applyFont="1" applyBorder="1" applyAlignment="1">
      <alignment horizontal="center" wrapText="1"/>
    </xf>
    <xf numFmtId="0" fontId="0" fillId="0" borderId="48" xfId="0" applyBorder="1" applyAlignment="1">
      <alignment wrapText="1"/>
    </xf>
    <xf numFmtId="0" fontId="5" fillId="0" borderId="4" xfId="0" applyFont="1" applyBorder="1" applyAlignment="1">
      <alignment horizontal="center" wrapText="1"/>
    </xf>
    <xf numFmtId="3" fontId="0" fillId="0" borderId="4" xfId="0" applyNumberFormat="1" applyBorder="1"/>
    <xf numFmtId="164" fontId="0" fillId="0" borderId="56" xfId="1" applyNumberFormat="1" applyFont="1" applyBorder="1"/>
    <xf numFmtId="3" fontId="0" fillId="0" borderId="55" xfId="0" applyNumberFormat="1" applyBorder="1"/>
    <xf numFmtId="3" fontId="0" fillId="0" borderId="57" xfId="0" applyNumberFormat="1" applyBorder="1"/>
    <xf numFmtId="1" fontId="0" fillId="4" borderId="58" xfId="0" applyNumberFormat="1" applyFill="1" applyBorder="1"/>
    <xf numFmtId="0" fontId="0" fillId="4" borderId="58" xfId="0" applyFill="1" applyBorder="1"/>
    <xf numFmtId="165" fontId="0" fillId="4" borderId="58" xfId="0" applyNumberFormat="1" applyFill="1" applyBorder="1"/>
    <xf numFmtId="0" fontId="0" fillId="5" borderId="58" xfId="0" applyFill="1" applyBorder="1"/>
    <xf numFmtId="0" fontId="5" fillId="0" borderId="59" xfId="0" applyFont="1" applyBorder="1" applyAlignment="1">
      <alignment horizontal="center" wrapText="1"/>
    </xf>
    <xf numFmtId="0" fontId="5" fillId="0" borderId="52" xfId="0" applyFont="1" applyBorder="1" applyAlignment="1">
      <alignment horizontal="center" wrapText="1"/>
    </xf>
    <xf numFmtId="0" fontId="5" fillId="0" borderId="42" xfId="0" applyFont="1" applyBorder="1" applyAlignment="1">
      <alignment horizontal="center" wrapText="1"/>
    </xf>
    <xf numFmtId="0" fontId="5" fillId="0" borderId="60" xfId="0" applyFont="1" applyBorder="1" applyAlignment="1">
      <alignment horizontal="center" wrapText="1"/>
    </xf>
    <xf numFmtId="0" fontId="5" fillId="4" borderId="42" xfId="0" applyFont="1" applyFill="1" applyBorder="1"/>
    <xf numFmtId="0" fontId="5" fillId="4" borderId="51" xfId="0" applyFont="1" applyFill="1" applyBorder="1"/>
    <xf numFmtId="0" fontId="5" fillId="5" borderId="60" xfId="0" applyFont="1" applyFill="1" applyBorder="1"/>
    <xf numFmtId="0" fontId="1" fillId="6" borderId="42" xfId="0" applyFont="1" applyFill="1" applyBorder="1"/>
    <xf numFmtId="0" fontId="5" fillId="6" borderId="51" xfId="0" applyFont="1" applyFill="1" applyBorder="1"/>
    <xf numFmtId="0" fontId="5" fillId="6" borderId="52" xfId="0" applyFont="1" applyFill="1" applyBorder="1"/>
    <xf numFmtId="1" fontId="0" fillId="4" borderId="15" xfId="0" applyNumberFormat="1" applyFill="1" applyBorder="1"/>
    <xf numFmtId="165" fontId="0" fillId="4" borderId="15" xfId="0" applyNumberFormat="1" applyFill="1" applyBorder="1"/>
    <xf numFmtId="0" fontId="6" fillId="0" borderId="2" xfId="0" applyFont="1" applyBorder="1" applyAlignment="1">
      <alignment horizontal="center" wrapText="1"/>
    </xf>
    <xf numFmtId="0" fontId="0" fillId="0" borderId="29" xfId="0" applyBorder="1"/>
    <xf numFmtId="3" fontId="0" fillId="0" borderId="16" xfId="0" applyNumberFormat="1" applyBorder="1"/>
    <xf numFmtId="164" fontId="0" fillId="0" borderId="29" xfId="1" applyNumberFormat="1" applyFont="1" applyBorder="1"/>
    <xf numFmtId="3" fontId="0" fillId="0" borderId="22" xfId="0" applyNumberFormat="1" applyBorder="1"/>
    <xf numFmtId="0" fontId="5" fillId="5" borderId="28" xfId="0" applyFont="1" applyFill="1" applyBorder="1" applyAlignment="1">
      <alignment horizontal="center"/>
    </xf>
    <xf numFmtId="0" fontId="5" fillId="5" borderId="59" xfId="0" applyFont="1" applyFill="1" applyBorder="1"/>
    <xf numFmtId="0" fontId="0" fillId="5" borderId="29" xfId="0" applyFill="1" applyBorder="1"/>
    <xf numFmtId="0" fontId="5" fillId="4" borderId="20" xfId="0" applyFont="1" applyFill="1" applyBorder="1" applyAlignment="1">
      <alignment horizontal="center" wrapText="1"/>
    </xf>
    <xf numFmtId="0" fontId="5" fillId="4" borderId="52" xfId="0" applyFont="1" applyFill="1" applyBorder="1"/>
    <xf numFmtId="165" fontId="0" fillId="4" borderId="22" xfId="0" applyNumberFormat="1" applyFill="1" applyBorder="1"/>
    <xf numFmtId="0" fontId="0" fillId="5" borderId="16" xfId="0" applyFill="1" applyBorder="1"/>
    <xf numFmtId="0" fontId="0" fillId="0" borderId="13" xfId="0" applyBorder="1" applyAlignment="1">
      <alignment wrapText="1"/>
    </xf>
    <xf numFmtId="165" fontId="0" fillId="4" borderId="47" xfId="0" applyNumberFormat="1" applyFill="1" applyBorder="1"/>
    <xf numFmtId="0" fontId="0" fillId="5" borderId="48" xfId="0" applyFill="1" applyBorder="1"/>
    <xf numFmtId="0" fontId="1" fillId="0" borderId="9" xfId="0" applyFont="1" applyBorder="1" applyAlignment="1">
      <alignment horizontal="center"/>
    </xf>
    <xf numFmtId="0" fontId="1" fillId="0" borderId="11" xfId="0" applyFont="1" applyBorder="1" applyAlignment="1">
      <alignment horizontal="center"/>
    </xf>
    <xf numFmtId="3" fontId="1" fillId="0" borderId="10" xfId="0" applyNumberFormat="1" applyFont="1" applyBorder="1"/>
    <xf numFmtId="0" fontId="1" fillId="0" borderId="44" xfId="0" applyFont="1" applyBorder="1" applyAlignment="1">
      <alignment wrapText="1"/>
    </xf>
    <xf numFmtId="0" fontId="1" fillId="0" borderId="61" xfId="0" applyFont="1" applyBorder="1" applyAlignment="1">
      <alignment wrapText="1"/>
    </xf>
    <xf numFmtId="3" fontId="1" fillId="0" borderId="9" xfId="0" applyNumberFormat="1" applyFont="1" applyBorder="1"/>
    <xf numFmtId="164" fontId="1" fillId="0" borderId="62" xfId="1" applyNumberFormat="1" applyFont="1" applyBorder="1"/>
    <xf numFmtId="3" fontId="1" fillId="0" borderId="63" xfId="0" applyNumberFormat="1" applyFont="1" applyBorder="1"/>
    <xf numFmtId="164" fontId="1" fillId="0" borderId="61" xfId="1" applyNumberFormat="1" applyFont="1" applyBorder="1"/>
    <xf numFmtId="3" fontId="1" fillId="0" borderId="64" xfId="0" applyNumberFormat="1" applyFont="1" applyBorder="1"/>
    <xf numFmtId="0" fontId="1" fillId="4" borderId="62" xfId="0" applyFont="1" applyFill="1" applyBorder="1"/>
    <xf numFmtId="1" fontId="1" fillId="4" borderId="65" xfId="0" applyNumberFormat="1" applyFont="1" applyFill="1" applyBorder="1"/>
    <xf numFmtId="165" fontId="1" fillId="4" borderId="63" xfId="0" applyNumberFormat="1" applyFont="1" applyFill="1" applyBorder="1"/>
    <xf numFmtId="0" fontId="1" fillId="5" borderId="61" xfId="0" applyFont="1" applyFill="1" applyBorder="1"/>
    <xf numFmtId="0" fontId="1" fillId="5" borderId="65" xfId="0" applyFont="1" applyFill="1" applyBorder="1"/>
    <xf numFmtId="9" fontId="1" fillId="5" borderId="65" xfId="0" applyNumberFormat="1" applyFont="1" applyFill="1" applyBorder="1"/>
    <xf numFmtId="0" fontId="1" fillId="5" borderId="64" xfId="0" applyFont="1" applyFill="1" applyBorder="1"/>
    <xf numFmtId="1" fontId="1" fillId="6" borderId="62" xfId="0" applyNumberFormat="1" applyFont="1" applyFill="1" applyBorder="1"/>
    <xf numFmtId="1" fontId="1" fillId="6" borderId="65" xfId="0" applyNumberFormat="1" applyFont="1" applyFill="1" applyBorder="1"/>
    <xf numFmtId="1" fontId="1" fillId="6" borderId="63" xfId="0" applyNumberFormat="1" applyFont="1" applyFill="1" applyBorder="1"/>
    <xf numFmtId="3" fontId="1" fillId="0" borderId="61" xfId="0" applyNumberFormat="1" applyFont="1" applyBorder="1"/>
    <xf numFmtId="0" fontId="1" fillId="0" borderId="64" xfId="0" applyFont="1" applyBorder="1"/>
    <xf numFmtId="0" fontId="1" fillId="0" borderId="65" xfId="0" applyFont="1" applyBorder="1"/>
    <xf numFmtId="3" fontId="1" fillId="0" borderId="44" xfId="0" applyNumberFormat="1" applyFont="1" applyBorder="1"/>
    <xf numFmtId="165" fontId="1" fillId="4" borderId="65" xfId="0" applyNumberFormat="1" applyFont="1" applyFill="1" applyBorder="1"/>
    <xf numFmtId="0" fontId="1" fillId="5" borderId="62" xfId="0" applyFont="1" applyFill="1" applyBorder="1"/>
    <xf numFmtId="0" fontId="1" fillId="5" borderId="63" xfId="0" applyFont="1" applyFill="1" applyBorder="1"/>
    <xf numFmtId="0" fontId="0" fillId="0" borderId="26" xfId="0" applyBorder="1"/>
    <xf numFmtId="0" fontId="0" fillId="0" borderId="19" xfId="0" applyBorder="1"/>
    <xf numFmtId="164" fontId="0" fillId="0" borderId="18" xfId="1" applyNumberFormat="1" applyFont="1" applyBorder="1"/>
    <xf numFmtId="3" fontId="0" fillId="0" borderId="20" xfId="0" applyNumberFormat="1" applyBorder="1"/>
    <xf numFmtId="164" fontId="0" fillId="0" borderId="28" xfId="1" applyNumberFormat="1" applyFont="1" applyBorder="1"/>
    <xf numFmtId="3" fontId="0" fillId="0" borderId="26" xfId="0" applyNumberFormat="1" applyBorder="1"/>
    <xf numFmtId="0" fontId="0" fillId="4" borderId="18" xfId="0" applyFill="1" applyBorder="1"/>
    <xf numFmtId="1" fontId="0" fillId="4" borderId="19" xfId="0" applyNumberFormat="1" applyFill="1" applyBorder="1"/>
    <xf numFmtId="0" fontId="0" fillId="4" borderId="19" xfId="0" applyFill="1" applyBorder="1"/>
    <xf numFmtId="165" fontId="0" fillId="4" borderId="19" xfId="0" applyNumberFormat="1" applyFill="1" applyBorder="1"/>
    <xf numFmtId="0" fontId="0" fillId="5" borderId="18" xfId="0" applyFill="1" applyBorder="1"/>
    <xf numFmtId="0" fontId="0" fillId="5" borderId="19" xfId="0" applyFill="1" applyBorder="1"/>
    <xf numFmtId="9" fontId="0" fillId="5" borderId="19" xfId="0" applyNumberFormat="1" applyFill="1" applyBorder="1"/>
    <xf numFmtId="0" fontId="0" fillId="5" borderId="20" xfId="0" applyFill="1" applyBorder="1"/>
    <xf numFmtId="1" fontId="0" fillId="6" borderId="18" xfId="0" applyNumberFormat="1" applyFill="1" applyBorder="1"/>
    <xf numFmtId="1" fontId="0" fillId="6" borderId="19" xfId="0" applyNumberFormat="1" applyFill="1" applyBorder="1"/>
    <xf numFmtId="165" fontId="0" fillId="6" borderId="19" xfId="0" applyNumberFormat="1" applyFill="1" applyBorder="1"/>
    <xf numFmtId="165" fontId="0" fillId="6" borderId="20" xfId="0" applyNumberFormat="1" applyFill="1" applyBorder="1"/>
    <xf numFmtId="3" fontId="1" fillId="0" borderId="61" xfId="0" applyNumberFormat="1" applyFont="1" applyBorder="1" applyAlignment="1">
      <alignment horizontal="center" wrapText="1"/>
    </xf>
    <xf numFmtId="0" fontId="1" fillId="0" borderId="64" xfId="0" applyFont="1" applyBorder="1" applyAlignment="1">
      <alignment horizontal="center" wrapText="1"/>
    </xf>
    <xf numFmtId="0" fontId="1" fillId="0" borderId="65" xfId="0" applyFont="1" applyBorder="1" applyAlignment="1">
      <alignment horizontal="center" wrapText="1"/>
    </xf>
    <xf numFmtId="3" fontId="1" fillId="0" borderId="44" xfId="0" applyNumberFormat="1" applyFont="1" applyBorder="1" applyAlignment="1">
      <alignment horizontal="center" wrapText="1"/>
    </xf>
    <xf numFmtId="3" fontId="1" fillId="0" borderId="10" xfId="0" applyNumberFormat="1" applyFont="1" applyBorder="1" applyAlignment="1">
      <alignment horizontal="center" wrapText="1"/>
    </xf>
    <xf numFmtId="164" fontId="1" fillId="0" borderId="62" xfId="1" applyNumberFormat="1" applyFont="1" applyBorder="1" applyAlignment="1">
      <alignment horizontal="center" wrapText="1"/>
    </xf>
    <xf numFmtId="3" fontId="1" fillId="0" borderId="63" xfId="0" applyNumberFormat="1" applyFont="1" applyBorder="1" applyAlignment="1">
      <alignment horizontal="center" wrapText="1"/>
    </xf>
    <xf numFmtId="164" fontId="1" fillId="0" borderId="61" xfId="1" applyNumberFormat="1" applyFont="1" applyBorder="1" applyAlignment="1">
      <alignment horizontal="center" wrapText="1"/>
    </xf>
    <xf numFmtId="3" fontId="1" fillId="0" borderId="64" xfId="0" applyNumberFormat="1" applyFont="1" applyBorder="1" applyAlignment="1">
      <alignment horizontal="center" wrapText="1"/>
    </xf>
    <xf numFmtId="0" fontId="5" fillId="0" borderId="10" xfId="0" applyFont="1" applyBorder="1"/>
    <xf numFmtId="3" fontId="5" fillId="0" borderId="10" xfId="0" applyNumberFormat="1" applyFont="1" applyBorder="1"/>
    <xf numFmtId="3" fontId="5" fillId="0" borderId="11" xfId="0" applyNumberFormat="1" applyFont="1" applyBorder="1"/>
    <xf numFmtId="164" fontId="5" fillId="0" borderId="9" xfId="1" applyNumberFormat="1" applyFont="1" applyBorder="1"/>
    <xf numFmtId="3" fontId="5" fillId="0" borderId="9" xfId="0" applyNumberFormat="1" applyFont="1" applyBorder="1"/>
  </cellXfs>
  <cellStyles count="2">
    <cellStyle name="Normal" xfId="0" builtinId="0"/>
    <cellStyle name="Percent" xfId="1" builtinId="5"/>
  </cellStyles>
  <dxfs count="0"/>
  <tableStyles count="0" defaultTableStyle="TableStyleMedium9" defaultPivotStyle="PivotStyleLight16"/>
  <colors>
    <mruColors>
      <color rgb="FFFFFFCC"/>
      <color rgb="FFFFCCFF"/>
      <color rgb="FFCCECFF"/>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Z105"/>
  <sheetViews>
    <sheetView tabSelected="1" view="pageBreakPreview" zoomScale="90" zoomScaleNormal="90" zoomScaleSheetLayoutView="90" workbookViewId="0">
      <pane xSplit="3" ySplit="5" topLeftCell="D6" activePane="bottomRight" state="frozen"/>
      <selection pane="topRight" activeCell="D1" sqref="D1"/>
      <selection pane="bottomLeft" activeCell="A6" sqref="A6"/>
      <selection pane="bottomRight" activeCell="N3" sqref="N3:AG3"/>
    </sheetView>
  </sheetViews>
  <sheetFormatPr defaultRowHeight="15" x14ac:dyDescent="0.25"/>
  <cols>
    <col min="1" max="1" width="11.42578125" customWidth="1"/>
    <col min="2" max="2" width="3.42578125" customWidth="1"/>
    <col min="3" max="3" width="12.42578125" customWidth="1"/>
    <col min="4" max="4" width="14" customWidth="1"/>
    <col min="5" max="5" width="12.42578125" customWidth="1"/>
    <col min="6" max="6" width="12.42578125" hidden="1" customWidth="1"/>
    <col min="7" max="7" width="11.42578125" customWidth="1"/>
    <col min="8" max="8" width="13.5703125" customWidth="1"/>
    <col min="9" max="9" width="11.42578125" customWidth="1"/>
    <col min="10" max="10" width="8.42578125" customWidth="1"/>
    <col min="11" max="11" width="11.140625" customWidth="1"/>
    <col min="12" max="12" width="7.42578125" customWidth="1"/>
    <col min="13" max="13" width="9.5703125" customWidth="1"/>
    <col min="14" max="14" width="6.7109375" customWidth="1"/>
    <col min="15" max="15" width="7.85546875" customWidth="1"/>
    <col min="16" max="16" width="6.7109375" customWidth="1"/>
    <col min="17" max="17" width="6.85546875" customWidth="1"/>
    <col min="18" max="18" width="5.42578125" customWidth="1"/>
    <col min="19" max="19" width="5.140625" customWidth="1"/>
    <col min="20" max="20" width="4.7109375" customWidth="1"/>
    <col min="21" max="21" width="5.5703125" customWidth="1"/>
    <col min="22" max="23" width="4.5703125" customWidth="1"/>
    <col min="24" max="24" width="4.85546875" customWidth="1"/>
    <col min="25" max="25" width="6.85546875" customWidth="1"/>
    <col min="26" max="26" width="4.7109375" customWidth="1"/>
    <col min="27" max="27" width="3.85546875" customWidth="1"/>
    <col min="28" max="28" width="3.42578125" customWidth="1"/>
    <col min="29" max="29" width="6.5703125" customWidth="1"/>
    <col min="30" max="30" width="8.28515625" customWidth="1"/>
    <col min="31" max="31" width="6.85546875" customWidth="1"/>
    <col min="32" max="32" width="7" customWidth="1"/>
    <col min="33" max="33" width="6" customWidth="1"/>
    <col min="34" max="34" width="7.7109375" customWidth="1"/>
    <col min="35" max="35" width="8.140625" customWidth="1"/>
    <col min="36" max="36" width="7.7109375" customWidth="1"/>
    <col min="37" max="37" width="6.7109375" customWidth="1"/>
    <col min="38" max="38" width="6.5703125" customWidth="1"/>
    <col min="39" max="43" width="5.7109375" customWidth="1"/>
    <col min="44" max="44" width="8.42578125" customWidth="1"/>
    <col min="45" max="45" width="8.140625" customWidth="1"/>
    <col min="46" max="46" width="7.7109375" customWidth="1"/>
    <col min="47" max="47" width="6.7109375" customWidth="1"/>
    <col min="48" max="48" width="5.7109375" customWidth="1"/>
    <col min="49" max="49" width="6.7109375" customWidth="1"/>
    <col min="50" max="50" width="7.7109375" customWidth="1"/>
    <col min="51" max="51" width="7.140625" customWidth="1"/>
    <col min="52" max="52" width="6.7109375" customWidth="1"/>
    <col min="53" max="53" width="5.7109375" customWidth="1"/>
    <col min="54" max="54" width="8.7109375" customWidth="1"/>
    <col min="55" max="55" width="8.5703125" customWidth="1"/>
    <col min="56" max="56" width="8" customWidth="1"/>
    <col min="57" max="57" width="6.42578125" customWidth="1"/>
    <col min="58" max="58" width="6.85546875" customWidth="1"/>
    <col min="59" max="59" width="7.85546875" customWidth="1"/>
    <col min="60" max="60" width="8.140625" customWidth="1"/>
    <col min="61" max="61" width="8" customWidth="1"/>
    <col min="62" max="62" width="6.7109375" customWidth="1"/>
    <col min="63" max="63" width="4.85546875" customWidth="1"/>
    <col min="64" max="64" width="8.140625" customWidth="1"/>
    <col min="65" max="65" width="8" customWidth="1"/>
    <col min="66" max="66" width="7.7109375" customWidth="1"/>
    <col min="67" max="67" width="6.5703125" customWidth="1"/>
    <col min="68" max="68" width="5.140625" customWidth="1"/>
    <col min="69" max="69" width="21.42578125" customWidth="1"/>
    <col min="70" max="70" width="19.7109375" customWidth="1"/>
  </cols>
  <sheetData>
    <row r="2" spans="1:78" ht="15.75" thickBot="1" x14ac:dyDescent="0.3"/>
    <row r="3" spans="1:78" s="2" customFormat="1" ht="40.5" customHeight="1" thickBot="1" x14ac:dyDescent="0.35">
      <c r="B3" s="159" t="s">
        <v>26</v>
      </c>
      <c r="C3" s="160"/>
      <c r="D3" s="198" t="s">
        <v>46</v>
      </c>
      <c r="E3" s="164" t="s">
        <v>0</v>
      </c>
      <c r="F3" s="105"/>
      <c r="G3" s="166" t="s">
        <v>210</v>
      </c>
      <c r="H3" s="166"/>
      <c r="I3" s="166"/>
      <c r="J3" s="166"/>
      <c r="K3" s="166"/>
      <c r="L3" s="166"/>
      <c r="M3" s="167"/>
      <c r="N3" s="185" t="s">
        <v>201</v>
      </c>
      <c r="O3" s="186"/>
      <c r="P3" s="186"/>
      <c r="Q3" s="186"/>
      <c r="R3" s="186"/>
      <c r="S3" s="186"/>
      <c r="T3" s="186"/>
      <c r="U3" s="186"/>
      <c r="V3" s="186"/>
      <c r="W3" s="186"/>
      <c r="X3" s="186"/>
      <c r="Y3" s="186"/>
      <c r="Z3" s="186"/>
      <c r="AA3" s="186"/>
      <c r="AB3" s="186"/>
      <c r="AC3" s="186"/>
      <c r="AD3" s="186"/>
      <c r="AE3" s="186"/>
      <c r="AF3" s="186"/>
      <c r="AG3" s="187"/>
      <c r="AH3" s="188" t="s">
        <v>202</v>
      </c>
      <c r="AI3" s="189"/>
      <c r="AJ3" s="189"/>
      <c r="AK3" s="189"/>
      <c r="AL3" s="189"/>
      <c r="AM3" s="189"/>
      <c r="AN3" s="189"/>
      <c r="AO3" s="189"/>
      <c r="AP3" s="189"/>
      <c r="AQ3" s="189"/>
      <c r="AR3" s="189"/>
      <c r="AS3" s="189"/>
      <c r="AT3" s="189"/>
      <c r="AU3" s="189"/>
      <c r="AV3" s="189"/>
      <c r="AW3" s="189"/>
      <c r="AX3" s="189"/>
      <c r="AY3" s="189"/>
      <c r="AZ3" s="189"/>
      <c r="BA3" s="190"/>
      <c r="BB3" s="191" t="s">
        <v>203</v>
      </c>
      <c r="BC3" s="192"/>
      <c r="BD3" s="192"/>
      <c r="BE3" s="192"/>
      <c r="BF3" s="192"/>
      <c r="BG3" s="192"/>
      <c r="BH3" s="192"/>
      <c r="BI3" s="192"/>
      <c r="BJ3" s="192"/>
      <c r="BK3" s="192"/>
      <c r="BL3" s="192"/>
      <c r="BM3" s="192"/>
      <c r="BN3" s="192"/>
      <c r="BO3" s="192"/>
      <c r="BP3" s="193"/>
      <c r="BQ3" s="176" t="s">
        <v>32</v>
      </c>
      <c r="BR3" s="177"/>
    </row>
    <row r="4" spans="1:78" s="2" customFormat="1" ht="46.5" customHeight="1" x14ac:dyDescent="0.25">
      <c r="B4" s="161"/>
      <c r="C4" s="162"/>
      <c r="D4" s="199"/>
      <c r="E4" s="165"/>
      <c r="F4" s="171" t="s">
        <v>211</v>
      </c>
      <c r="G4" s="168" t="s">
        <v>27</v>
      </c>
      <c r="H4" s="168" t="s">
        <v>28</v>
      </c>
      <c r="I4" s="158" t="s">
        <v>29</v>
      </c>
      <c r="J4" s="156" t="s">
        <v>41</v>
      </c>
      <c r="K4" s="157"/>
      <c r="L4" s="156" t="s">
        <v>42</v>
      </c>
      <c r="M4" s="158"/>
      <c r="N4" s="178" t="s">
        <v>16</v>
      </c>
      <c r="O4" s="163"/>
      <c r="P4" s="163"/>
      <c r="Q4" s="163"/>
      <c r="R4" s="163"/>
      <c r="S4" s="163" t="s">
        <v>20</v>
      </c>
      <c r="T4" s="163"/>
      <c r="U4" s="163"/>
      <c r="V4" s="163"/>
      <c r="W4" s="163"/>
      <c r="X4" s="163" t="s">
        <v>38</v>
      </c>
      <c r="Y4" s="163"/>
      <c r="Z4" s="163"/>
      <c r="AA4" s="163"/>
      <c r="AB4" s="163"/>
      <c r="AC4" s="163" t="s">
        <v>21</v>
      </c>
      <c r="AD4" s="163"/>
      <c r="AE4" s="163"/>
      <c r="AF4" s="163"/>
      <c r="AG4" s="179"/>
      <c r="AH4" s="180" t="s">
        <v>16</v>
      </c>
      <c r="AI4" s="181"/>
      <c r="AJ4" s="181"/>
      <c r="AK4" s="181"/>
      <c r="AL4" s="181"/>
      <c r="AM4" s="182" t="s">
        <v>22</v>
      </c>
      <c r="AN4" s="182"/>
      <c r="AO4" s="182"/>
      <c r="AP4" s="182"/>
      <c r="AQ4" s="182"/>
      <c r="AR4" s="181" t="s">
        <v>36</v>
      </c>
      <c r="AS4" s="181"/>
      <c r="AT4" s="181"/>
      <c r="AU4" s="181"/>
      <c r="AV4" s="181"/>
      <c r="AW4" s="182" t="s">
        <v>23</v>
      </c>
      <c r="AX4" s="182"/>
      <c r="AY4" s="182"/>
      <c r="AZ4" s="182"/>
      <c r="BA4" s="183"/>
      <c r="BB4" s="195" t="s">
        <v>24</v>
      </c>
      <c r="BC4" s="196"/>
      <c r="BD4" s="196"/>
      <c r="BE4" s="196"/>
      <c r="BF4" s="197"/>
      <c r="BG4" s="184" t="s">
        <v>25</v>
      </c>
      <c r="BH4" s="184"/>
      <c r="BI4" s="184"/>
      <c r="BJ4" s="184"/>
      <c r="BK4" s="184"/>
      <c r="BL4" s="184" t="s">
        <v>37</v>
      </c>
      <c r="BM4" s="184"/>
      <c r="BN4" s="184"/>
      <c r="BO4" s="184"/>
      <c r="BP4" s="194"/>
      <c r="BQ4" s="83" t="s">
        <v>33</v>
      </c>
      <c r="BR4" s="8" t="s">
        <v>34</v>
      </c>
    </row>
    <row r="5" spans="1:78" s="2" customFormat="1" ht="21" customHeight="1" thickBot="1" x14ac:dyDescent="0.3">
      <c r="B5" s="161"/>
      <c r="C5" s="162"/>
      <c r="D5" s="199"/>
      <c r="E5" s="165"/>
      <c r="F5" s="172"/>
      <c r="G5" s="169"/>
      <c r="H5" s="169"/>
      <c r="I5" s="170"/>
      <c r="J5" s="68" t="s">
        <v>39</v>
      </c>
      <c r="K5" s="69" t="s">
        <v>40</v>
      </c>
      <c r="L5" s="68" t="s">
        <v>39</v>
      </c>
      <c r="M5" s="70" t="s">
        <v>40</v>
      </c>
      <c r="N5" s="73" t="s">
        <v>17</v>
      </c>
      <c r="O5" s="74" t="s">
        <v>18</v>
      </c>
      <c r="P5" s="74" t="s">
        <v>19</v>
      </c>
      <c r="Q5" s="74" t="s">
        <v>30</v>
      </c>
      <c r="R5" s="74" t="s">
        <v>31</v>
      </c>
      <c r="S5" s="74" t="s">
        <v>17</v>
      </c>
      <c r="T5" s="74" t="s">
        <v>18</v>
      </c>
      <c r="U5" s="74" t="s">
        <v>19</v>
      </c>
      <c r="V5" s="74" t="s">
        <v>30</v>
      </c>
      <c r="W5" s="74" t="s">
        <v>31</v>
      </c>
      <c r="X5" s="74" t="s">
        <v>17</v>
      </c>
      <c r="Y5" s="74" t="s">
        <v>18</v>
      </c>
      <c r="Z5" s="74" t="s">
        <v>19</v>
      </c>
      <c r="AA5" s="74" t="s">
        <v>30</v>
      </c>
      <c r="AB5" s="74" t="s">
        <v>31</v>
      </c>
      <c r="AC5" s="74" t="s">
        <v>17</v>
      </c>
      <c r="AD5" s="74" t="s">
        <v>18</v>
      </c>
      <c r="AE5" s="74" t="s">
        <v>19</v>
      </c>
      <c r="AF5" s="74" t="s">
        <v>30</v>
      </c>
      <c r="AG5" s="75" t="s">
        <v>31</v>
      </c>
      <c r="AH5" s="80" t="s">
        <v>17</v>
      </c>
      <c r="AI5" s="81" t="s">
        <v>18</v>
      </c>
      <c r="AJ5" s="81" t="s">
        <v>19</v>
      </c>
      <c r="AK5" s="81" t="s">
        <v>30</v>
      </c>
      <c r="AL5" s="81" t="s">
        <v>31</v>
      </c>
      <c r="AM5" s="81" t="s">
        <v>17</v>
      </c>
      <c r="AN5" s="81" t="s">
        <v>18</v>
      </c>
      <c r="AO5" s="81" t="s">
        <v>19</v>
      </c>
      <c r="AP5" s="81" t="s">
        <v>30</v>
      </c>
      <c r="AQ5" s="81" t="s">
        <v>31</v>
      </c>
      <c r="AR5" s="81" t="s">
        <v>17</v>
      </c>
      <c r="AS5" s="81" t="s">
        <v>18</v>
      </c>
      <c r="AT5" s="81" t="s">
        <v>19</v>
      </c>
      <c r="AU5" s="81" t="s">
        <v>30</v>
      </c>
      <c r="AV5" s="81" t="s">
        <v>31</v>
      </c>
      <c r="AW5" s="81" t="s">
        <v>17</v>
      </c>
      <c r="AX5" s="81" t="s">
        <v>18</v>
      </c>
      <c r="AY5" s="81" t="s">
        <v>19</v>
      </c>
      <c r="AZ5" s="81" t="s">
        <v>30</v>
      </c>
      <c r="BA5" s="82" t="s">
        <v>31</v>
      </c>
      <c r="BB5" s="87" t="s">
        <v>17</v>
      </c>
      <c r="BC5" s="88" t="s">
        <v>18</v>
      </c>
      <c r="BD5" s="88" t="s">
        <v>19</v>
      </c>
      <c r="BE5" s="88" t="s">
        <v>30</v>
      </c>
      <c r="BF5" s="88" t="s">
        <v>31</v>
      </c>
      <c r="BG5" s="88" t="s">
        <v>17</v>
      </c>
      <c r="BH5" s="88" t="s">
        <v>18</v>
      </c>
      <c r="BI5" s="88" t="s">
        <v>19</v>
      </c>
      <c r="BJ5" s="88" t="s">
        <v>30</v>
      </c>
      <c r="BK5" s="88" t="s">
        <v>31</v>
      </c>
      <c r="BL5" s="88" t="s">
        <v>17</v>
      </c>
      <c r="BM5" s="88" t="s">
        <v>18</v>
      </c>
      <c r="BN5" s="88" t="s">
        <v>19</v>
      </c>
      <c r="BO5" s="88" t="s">
        <v>30</v>
      </c>
      <c r="BP5" s="89" t="s">
        <v>31</v>
      </c>
      <c r="BQ5" s="84" t="s">
        <v>35</v>
      </c>
      <c r="BR5" s="9" t="s">
        <v>35</v>
      </c>
      <c r="BU5" s="4"/>
      <c r="BV5" s="4"/>
      <c r="BW5" s="4"/>
      <c r="BX5" s="4"/>
      <c r="BY5" s="4"/>
      <c r="BZ5" s="4"/>
    </row>
    <row r="6" spans="1:78" s="1" customFormat="1" ht="45" x14ac:dyDescent="0.25">
      <c r="A6" s="16"/>
      <c r="B6" s="16">
        <v>2</v>
      </c>
      <c r="C6" s="17" t="s">
        <v>44</v>
      </c>
      <c r="D6" s="59">
        <v>101057</v>
      </c>
      <c r="E6" s="106" t="s">
        <v>168</v>
      </c>
      <c r="F6" s="107" t="s">
        <v>206</v>
      </c>
      <c r="G6" s="52">
        <v>112500</v>
      </c>
      <c r="H6" s="52">
        <v>40518</v>
      </c>
      <c r="I6" s="49">
        <f t="shared" ref="I6:I40" si="0">G6+H6</f>
        <v>153018</v>
      </c>
      <c r="J6" s="64">
        <v>0.8</v>
      </c>
      <c r="K6" s="65">
        <f t="shared" ref="K6:K40" si="1">ROUND(G6*J6,2)</f>
        <v>90000</v>
      </c>
      <c r="L6" s="66">
        <f t="shared" ref="L6:L40" si="2">1-J6</f>
        <v>0.19999999999999996</v>
      </c>
      <c r="M6" s="67">
        <f t="shared" ref="M6:M40" si="3">G6-K6</f>
        <v>22500</v>
      </c>
      <c r="N6" s="71">
        <f t="shared" ref="N6:N40" si="4">M6*60*365/1000000</f>
        <v>492.75</v>
      </c>
      <c r="O6" s="92">
        <f t="shared" ref="O6:O40" si="5">M6*110*365/1000000</f>
        <v>903.375</v>
      </c>
      <c r="P6" s="72">
        <f t="shared" ref="P6:P40" si="6">M6*70*365/1000000</f>
        <v>574.875</v>
      </c>
      <c r="Q6" s="72">
        <f t="shared" ref="Q6:Q40" si="7">M6*10*365/1000000</f>
        <v>82.125</v>
      </c>
      <c r="R6" s="72">
        <f t="shared" ref="R6:R40" si="8">M6*2*365/1000000</f>
        <v>16.425000000000001</v>
      </c>
      <c r="S6" s="72">
        <f t="shared" ref="S6:S40" si="9">M6*13*365/1000000*0.33</f>
        <v>35.231625000000001</v>
      </c>
      <c r="T6" s="72">
        <f t="shared" ref="T6:T40" si="10">M6*18*365/1000000*0.33</f>
        <v>48.782249999999998</v>
      </c>
      <c r="U6" s="72">
        <f t="shared" ref="U6:U40" si="11">M6*17*365/1000000*0.33</f>
        <v>46.072125000000007</v>
      </c>
      <c r="V6" s="72">
        <f t="shared" ref="V6:V40" si="12">M6*2.5*365/1000000*0.33</f>
        <v>6.7753125000000001</v>
      </c>
      <c r="W6" s="72">
        <f t="shared" ref="W6:W40" si="13">M6*0.5*365/1000000*0.33</f>
        <v>1.3550625000000001</v>
      </c>
      <c r="X6" s="72">
        <f t="shared" ref="X6:X40" si="14">M6*19*365/1000000*0.33</f>
        <v>51.492375000000003</v>
      </c>
      <c r="Y6" s="72">
        <f t="shared" ref="Y6:Y40" si="15">M6*26*365/1000000*0.33</f>
        <v>70.463250000000002</v>
      </c>
      <c r="Z6" s="72">
        <f t="shared" ref="Z6:Z40" si="16">M6*18*365/1000000*0.33</f>
        <v>48.782249999999998</v>
      </c>
      <c r="AA6" s="72">
        <f t="shared" ref="AA6:AA40" si="17">M6*0*365/1000000*0.33</f>
        <v>0</v>
      </c>
      <c r="AB6" s="72">
        <f t="shared" ref="AB6:AB40" si="18">M6*0*365/1000000*0.33</f>
        <v>0</v>
      </c>
      <c r="AC6" s="91">
        <f t="shared" ref="AC6:AC40" si="19">N6-S6-X6</f>
        <v>406.02600000000001</v>
      </c>
      <c r="AD6" s="91">
        <f t="shared" ref="AD6:AD40" si="20">O6-T6-Y6</f>
        <v>784.12950000000001</v>
      </c>
      <c r="AE6" s="91">
        <f t="shared" ref="AE6:AE40" si="21">P6-U6-Z6</f>
        <v>480.020625</v>
      </c>
      <c r="AF6" s="91">
        <f t="shared" ref="AF6:AF40" si="22">Q6-V6-AA6</f>
        <v>75.349687500000002</v>
      </c>
      <c r="AG6" s="91">
        <f t="shared" ref="AG6:AG40" si="23">R6-W6-AB6</f>
        <v>15.0699375</v>
      </c>
      <c r="AH6" s="76">
        <f t="shared" ref="AH6:AH40" si="24">(K6+H6)*60*365/1000000</f>
        <v>2858.3442</v>
      </c>
      <c r="AI6" s="77">
        <f t="shared" ref="AI6:AI40" si="25">($K6+$H6)*110*365/1000000</f>
        <v>5240.2977000000001</v>
      </c>
      <c r="AJ6" s="77">
        <f t="shared" ref="AJ6:AJ40" si="26">($K6+$H6)*70*365/1000000</f>
        <v>3334.7348999999999</v>
      </c>
      <c r="AK6" s="77">
        <f t="shared" ref="AK6:AK40" si="27">($K6+$H6)*10*365/1000000</f>
        <v>476.39069999999998</v>
      </c>
      <c r="AL6" s="77">
        <f t="shared" ref="AL6:AL40" si="28">($K6+$H6)*2*365/1000000</f>
        <v>95.278139999999993</v>
      </c>
      <c r="AM6" s="78">
        <v>0.9</v>
      </c>
      <c r="AN6" s="78">
        <v>0.75</v>
      </c>
      <c r="AO6" s="78">
        <v>0.9</v>
      </c>
      <c r="AP6" s="27">
        <v>0.8</v>
      </c>
      <c r="AQ6" s="27">
        <v>0.8</v>
      </c>
      <c r="AR6" s="77">
        <f t="shared" ref="AR6:AR40" si="29">(S6+AH6)*AM6</f>
        <v>2604.2182425000001</v>
      </c>
      <c r="AS6" s="77">
        <f t="shared" ref="AS6:AS40" si="30">(T6+AI6)*AN6</f>
        <v>3966.8099625000004</v>
      </c>
      <c r="AT6" s="77">
        <f t="shared" ref="AT6:AT40" si="31">(U6+AJ6)*AO6</f>
        <v>3042.7263225000002</v>
      </c>
      <c r="AU6" s="77">
        <f t="shared" ref="AU6:AU40" si="32">(V6+AK6)*AP6</f>
        <v>386.53280999999998</v>
      </c>
      <c r="AV6" s="77">
        <f t="shared" ref="AV6:AV40" si="33">(W6+AL6)*AQ6</f>
        <v>77.306562</v>
      </c>
      <c r="AW6" s="77">
        <f t="shared" ref="AW6:AW40" si="34">S6+AH6-AR6</f>
        <v>289.35758249999981</v>
      </c>
      <c r="AX6" s="77">
        <f t="shared" ref="AX6:AX40" si="35">T6+AI6-AS6</f>
        <v>1322.2699874999998</v>
      </c>
      <c r="AY6" s="77">
        <f t="shared" ref="AY6:AY40" si="36">U6+AJ6-AT6</f>
        <v>338.08070249999992</v>
      </c>
      <c r="AZ6" s="77">
        <f t="shared" ref="AZ6:AZ40" si="37">V6+AK6-AU6</f>
        <v>96.633202499999982</v>
      </c>
      <c r="BA6" s="79">
        <f t="shared" ref="BA6:BA40" si="38">W6+AL6-AV6</f>
        <v>19.326640499999996</v>
      </c>
      <c r="BB6" s="85">
        <f t="shared" ref="BB6:BB40" si="39">N6+AH6</f>
        <v>3351.0942</v>
      </c>
      <c r="BC6" s="86">
        <f t="shared" ref="BC6:BC40" si="40">O6+AI6</f>
        <v>6143.6727000000001</v>
      </c>
      <c r="BD6" s="86">
        <f t="shared" ref="BD6:BD40" si="41">P6+AJ6</f>
        <v>3909.6098999999999</v>
      </c>
      <c r="BE6" s="108">
        <f t="shared" ref="BE6:BE40" si="42">Q6+AK6</f>
        <v>558.51569999999992</v>
      </c>
      <c r="BF6" s="108">
        <f t="shared" ref="BF6:BF40" si="43">R6+AL6</f>
        <v>111.70313999999999</v>
      </c>
      <c r="BG6" s="86">
        <f t="shared" ref="BG6:BG40" si="44">AC6+AW6</f>
        <v>695.38358249999987</v>
      </c>
      <c r="BH6" s="86">
        <f t="shared" ref="BH6:BH40" si="45">AD6+AX6</f>
        <v>2106.3994874999999</v>
      </c>
      <c r="BI6" s="86">
        <f t="shared" ref="BI6:BI40" si="46">AE6+AY6</f>
        <v>818.10132749999991</v>
      </c>
      <c r="BJ6" s="108">
        <f t="shared" ref="BJ6:BJ40" si="47">AF6+AZ6</f>
        <v>171.98289</v>
      </c>
      <c r="BK6" s="108">
        <f t="shared" ref="BK6:BK40" si="48">AG6+BA6</f>
        <v>34.396577999999998</v>
      </c>
      <c r="BL6" s="86">
        <f t="shared" ref="BL6:BL40" si="49">X6+AR6</f>
        <v>2655.7106174999999</v>
      </c>
      <c r="BM6" s="86">
        <f t="shared" ref="BM6:BM40" si="50">Y6+AS6</f>
        <v>4037.2732125000002</v>
      </c>
      <c r="BN6" s="86">
        <f t="shared" ref="BN6:BN40" si="51">Z6+AT6</f>
        <v>3091.5085725000004</v>
      </c>
      <c r="BO6" s="108">
        <f t="shared" ref="BO6:BO40" si="52">AA6+AU6</f>
        <v>386.53280999999998</v>
      </c>
      <c r="BP6" s="109">
        <f t="shared" ref="BP6:BP40" si="53">AB6+AV6</f>
        <v>77.306562</v>
      </c>
      <c r="BQ6" s="10">
        <v>0</v>
      </c>
      <c r="BR6" s="6">
        <v>3685000</v>
      </c>
      <c r="BS6" t="s">
        <v>167</v>
      </c>
    </row>
    <row r="7" spans="1:78" x14ac:dyDescent="0.25">
      <c r="A7" s="18"/>
      <c r="B7" s="18">
        <v>7</v>
      </c>
      <c r="C7" s="19" t="s">
        <v>10</v>
      </c>
      <c r="D7" s="60">
        <v>31401</v>
      </c>
      <c r="E7" s="47" t="s">
        <v>130</v>
      </c>
      <c r="F7" s="13" t="s">
        <v>206</v>
      </c>
      <c r="G7" s="53">
        <v>39234</v>
      </c>
      <c r="H7" s="53">
        <v>6211</v>
      </c>
      <c r="I7" s="50">
        <f t="shared" si="0"/>
        <v>45445</v>
      </c>
      <c r="J7" s="45">
        <v>0.77</v>
      </c>
      <c r="K7" s="65">
        <f t="shared" si="1"/>
        <v>30210.18</v>
      </c>
      <c r="L7" s="66">
        <f t="shared" si="2"/>
        <v>0.22999999999999998</v>
      </c>
      <c r="M7" s="67">
        <f t="shared" si="3"/>
        <v>9023.82</v>
      </c>
      <c r="N7" s="43">
        <f t="shared" si="4"/>
        <v>197.62165799999997</v>
      </c>
      <c r="O7" s="92">
        <f t="shared" si="5"/>
        <v>362.30637300000001</v>
      </c>
      <c r="P7" s="72">
        <f t="shared" si="6"/>
        <v>230.55860100000001</v>
      </c>
      <c r="Q7" s="72">
        <f t="shared" si="7"/>
        <v>32.936942999999999</v>
      </c>
      <c r="R7" s="25">
        <f t="shared" si="8"/>
        <v>6.5873885999999997</v>
      </c>
      <c r="S7" s="72">
        <f t="shared" si="9"/>
        <v>14.129948547</v>
      </c>
      <c r="T7" s="72">
        <f t="shared" si="10"/>
        <v>19.564544142000003</v>
      </c>
      <c r="U7" s="72">
        <f t="shared" si="11"/>
        <v>18.477625023000002</v>
      </c>
      <c r="V7" s="72">
        <f t="shared" si="12"/>
        <v>2.7172977975000001</v>
      </c>
      <c r="W7" s="72">
        <f t="shared" si="13"/>
        <v>0.54345955950000002</v>
      </c>
      <c r="X7" s="72">
        <f t="shared" si="14"/>
        <v>20.651463261</v>
      </c>
      <c r="Y7" s="72">
        <f t="shared" si="15"/>
        <v>28.259897093999999</v>
      </c>
      <c r="Z7" s="72">
        <f t="shared" si="16"/>
        <v>19.564544142000003</v>
      </c>
      <c r="AA7" s="72">
        <f t="shared" si="17"/>
        <v>0</v>
      </c>
      <c r="AB7" s="72">
        <f t="shared" si="18"/>
        <v>0</v>
      </c>
      <c r="AC7" s="91">
        <f t="shared" si="19"/>
        <v>162.84024619199997</v>
      </c>
      <c r="AD7" s="91">
        <f t="shared" si="20"/>
        <v>314.48193176400002</v>
      </c>
      <c r="AE7" s="91">
        <f t="shared" si="21"/>
        <v>192.51643183499999</v>
      </c>
      <c r="AF7" s="91">
        <f t="shared" si="22"/>
        <v>30.219645202500001</v>
      </c>
      <c r="AG7" s="91">
        <f t="shared" si="23"/>
        <v>6.0439290405000001</v>
      </c>
      <c r="AH7" s="39">
        <f t="shared" si="24"/>
        <v>797.62384199999985</v>
      </c>
      <c r="AI7" s="77">
        <f t="shared" si="25"/>
        <v>1462.310377</v>
      </c>
      <c r="AJ7" s="77">
        <f t="shared" si="26"/>
        <v>930.561149</v>
      </c>
      <c r="AK7" s="77">
        <f t="shared" si="27"/>
        <v>132.937307</v>
      </c>
      <c r="AL7" s="26">
        <f t="shared" si="28"/>
        <v>26.587461399999999</v>
      </c>
      <c r="AM7" s="27">
        <v>0.9</v>
      </c>
      <c r="AN7" s="27">
        <v>0.75</v>
      </c>
      <c r="AO7" s="27">
        <v>0.9</v>
      </c>
      <c r="AP7" s="27">
        <v>0.8</v>
      </c>
      <c r="AQ7" s="27">
        <v>0.8</v>
      </c>
      <c r="AR7" s="26">
        <f t="shared" si="29"/>
        <v>730.57841149229989</v>
      </c>
      <c r="AS7" s="26">
        <f t="shared" si="30"/>
        <v>1111.4061908565</v>
      </c>
      <c r="AT7" s="26">
        <f t="shared" si="31"/>
        <v>854.13489662070003</v>
      </c>
      <c r="AU7" s="26">
        <f t="shared" si="32"/>
        <v>108.52368383800001</v>
      </c>
      <c r="AV7" s="26">
        <f t="shared" si="33"/>
        <v>21.7047367676</v>
      </c>
      <c r="AW7" s="26">
        <f t="shared" si="34"/>
        <v>81.175379054699988</v>
      </c>
      <c r="AX7" s="26">
        <f t="shared" si="35"/>
        <v>370.46873028549999</v>
      </c>
      <c r="AY7" s="26">
        <f t="shared" si="36"/>
        <v>94.903877402299941</v>
      </c>
      <c r="AZ7" s="26">
        <f t="shared" si="37"/>
        <v>27.130920959500003</v>
      </c>
      <c r="BA7" s="40">
        <f t="shared" si="38"/>
        <v>5.4261841918999991</v>
      </c>
      <c r="BB7" s="37">
        <f t="shared" si="39"/>
        <v>995.24549999999977</v>
      </c>
      <c r="BC7" s="28">
        <f t="shared" si="40"/>
        <v>1824.6167500000001</v>
      </c>
      <c r="BD7" s="28">
        <f t="shared" si="41"/>
        <v>1161.1197500000001</v>
      </c>
      <c r="BE7" s="29">
        <f t="shared" si="42"/>
        <v>165.87425000000002</v>
      </c>
      <c r="BF7" s="29">
        <f t="shared" si="43"/>
        <v>33.174849999999999</v>
      </c>
      <c r="BG7" s="28">
        <f t="shared" si="44"/>
        <v>244.01562524669995</v>
      </c>
      <c r="BH7" s="28">
        <f t="shared" si="45"/>
        <v>684.95066204950001</v>
      </c>
      <c r="BI7" s="28">
        <f t="shared" si="46"/>
        <v>287.42030923729993</v>
      </c>
      <c r="BJ7" s="29">
        <f t="shared" si="47"/>
        <v>57.350566162000007</v>
      </c>
      <c r="BK7" s="29">
        <f t="shared" si="48"/>
        <v>11.470113232399999</v>
      </c>
      <c r="BL7" s="28">
        <f t="shared" si="49"/>
        <v>751.2298747532999</v>
      </c>
      <c r="BM7" s="28">
        <f t="shared" si="50"/>
        <v>1139.6660879505</v>
      </c>
      <c r="BN7" s="28">
        <f t="shared" si="51"/>
        <v>873.69944076270008</v>
      </c>
      <c r="BO7" s="29">
        <f t="shared" si="52"/>
        <v>108.52368383800001</v>
      </c>
      <c r="BP7" s="30">
        <f t="shared" si="53"/>
        <v>21.7047367676</v>
      </c>
      <c r="BQ7" s="10">
        <v>1724600</v>
      </c>
      <c r="BR7" s="6">
        <v>1538665</v>
      </c>
      <c r="BS7" t="s">
        <v>131</v>
      </c>
    </row>
    <row r="8" spans="1:78" x14ac:dyDescent="0.25">
      <c r="A8" s="18"/>
      <c r="B8" s="18">
        <v>9</v>
      </c>
      <c r="C8" s="19" t="s">
        <v>52</v>
      </c>
      <c r="D8" s="60">
        <v>25883</v>
      </c>
      <c r="E8" s="47" t="s">
        <v>11</v>
      </c>
      <c r="F8" s="13" t="s">
        <v>206</v>
      </c>
      <c r="G8" s="53">
        <v>26600</v>
      </c>
      <c r="H8" s="53">
        <v>1448</v>
      </c>
      <c r="I8" s="50">
        <f t="shared" si="0"/>
        <v>28048</v>
      </c>
      <c r="J8" s="45">
        <v>0.72</v>
      </c>
      <c r="K8" s="65">
        <f t="shared" si="1"/>
        <v>19152</v>
      </c>
      <c r="L8" s="66">
        <f t="shared" si="2"/>
        <v>0.28000000000000003</v>
      </c>
      <c r="M8" s="67">
        <f t="shared" si="3"/>
        <v>7448</v>
      </c>
      <c r="N8" s="43">
        <f t="shared" si="4"/>
        <v>163.1112</v>
      </c>
      <c r="O8" s="92">
        <f t="shared" si="5"/>
        <v>299.03719999999998</v>
      </c>
      <c r="P8" s="72">
        <f t="shared" si="6"/>
        <v>190.29640000000001</v>
      </c>
      <c r="Q8" s="72">
        <f t="shared" si="7"/>
        <v>27.185199999999998</v>
      </c>
      <c r="R8" s="25">
        <f t="shared" si="8"/>
        <v>5.4370399999999997</v>
      </c>
      <c r="S8" s="72">
        <f t="shared" si="9"/>
        <v>11.662450800000002</v>
      </c>
      <c r="T8" s="72">
        <f t="shared" si="10"/>
        <v>16.148008799999999</v>
      </c>
      <c r="U8" s="72">
        <f t="shared" si="11"/>
        <v>15.250897200000001</v>
      </c>
      <c r="V8" s="72">
        <f t="shared" si="12"/>
        <v>2.2427790000000001</v>
      </c>
      <c r="W8" s="72">
        <f t="shared" si="13"/>
        <v>0.4485558</v>
      </c>
      <c r="X8" s="72">
        <f t="shared" si="14"/>
        <v>17.045120400000002</v>
      </c>
      <c r="Y8" s="72">
        <f t="shared" si="15"/>
        <v>23.324901600000004</v>
      </c>
      <c r="Z8" s="72">
        <f t="shared" si="16"/>
        <v>16.148008799999999</v>
      </c>
      <c r="AA8" s="72">
        <f t="shared" si="17"/>
        <v>0</v>
      </c>
      <c r="AB8" s="72">
        <f t="shared" si="18"/>
        <v>0</v>
      </c>
      <c r="AC8" s="91">
        <f t="shared" si="19"/>
        <v>134.40362880000001</v>
      </c>
      <c r="AD8" s="91">
        <f t="shared" si="20"/>
        <v>259.56428959999994</v>
      </c>
      <c r="AE8" s="91">
        <f t="shared" si="21"/>
        <v>158.89749399999999</v>
      </c>
      <c r="AF8" s="91">
        <f t="shared" si="22"/>
        <v>24.942421</v>
      </c>
      <c r="AG8" s="91">
        <f t="shared" si="23"/>
        <v>4.9884841999999994</v>
      </c>
      <c r="AH8" s="39">
        <f t="shared" si="24"/>
        <v>451.14</v>
      </c>
      <c r="AI8" s="77">
        <f t="shared" si="25"/>
        <v>827.09</v>
      </c>
      <c r="AJ8" s="77">
        <f t="shared" si="26"/>
        <v>526.33000000000004</v>
      </c>
      <c r="AK8" s="77">
        <f t="shared" si="27"/>
        <v>75.19</v>
      </c>
      <c r="AL8" s="26">
        <f t="shared" si="28"/>
        <v>15.038</v>
      </c>
      <c r="AM8" s="27">
        <v>0.9</v>
      </c>
      <c r="AN8" s="27">
        <v>0.75</v>
      </c>
      <c r="AO8" s="27">
        <v>0.9</v>
      </c>
      <c r="AP8" s="27">
        <v>0.8</v>
      </c>
      <c r="AQ8" s="27">
        <v>0.8</v>
      </c>
      <c r="AR8" s="26">
        <f t="shared" si="29"/>
        <v>416.52220571999999</v>
      </c>
      <c r="AS8" s="26">
        <f t="shared" si="30"/>
        <v>632.42850659999999</v>
      </c>
      <c r="AT8" s="26">
        <f t="shared" si="31"/>
        <v>487.42280748000007</v>
      </c>
      <c r="AU8" s="26">
        <f t="shared" si="32"/>
        <v>61.946223199999999</v>
      </c>
      <c r="AV8" s="26">
        <f t="shared" si="33"/>
        <v>12.389244640000001</v>
      </c>
      <c r="AW8" s="26">
        <f t="shared" si="34"/>
        <v>46.280245079999986</v>
      </c>
      <c r="AX8" s="26">
        <f t="shared" si="35"/>
        <v>210.8095022</v>
      </c>
      <c r="AY8" s="26">
        <f t="shared" si="36"/>
        <v>54.158089720000021</v>
      </c>
      <c r="AZ8" s="26">
        <f t="shared" si="37"/>
        <v>15.486555799999998</v>
      </c>
      <c r="BA8" s="40">
        <f t="shared" si="38"/>
        <v>3.0973111599999985</v>
      </c>
      <c r="BB8" s="37">
        <f t="shared" si="39"/>
        <v>614.25119999999993</v>
      </c>
      <c r="BC8" s="28">
        <f t="shared" si="40"/>
        <v>1126.1271999999999</v>
      </c>
      <c r="BD8" s="28">
        <f t="shared" si="41"/>
        <v>716.6264000000001</v>
      </c>
      <c r="BE8" s="29">
        <f t="shared" si="42"/>
        <v>102.37519999999999</v>
      </c>
      <c r="BF8" s="29">
        <f t="shared" si="43"/>
        <v>20.47504</v>
      </c>
      <c r="BG8" s="28">
        <f t="shared" si="44"/>
        <v>180.68387387999999</v>
      </c>
      <c r="BH8" s="28">
        <f t="shared" si="45"/>
        <v>470.37379179999994</v>
      </c>
      <c r="BI8" s="28">
        <f t="shared" si="46"/>
        <v>213.05558372000002</v>
      </c>
      <c r="BJ8" s="29">
        <f t="shared" si="47"/>
        <v>40.428976800000001</v>
      </c>
      <c r="BK8" s="29">
        <f t="shared" si="48"/>
        <v>8.0857953599999988</v>
      </c>
      <c r="BL8" s="28">
        <f t="shared" si="49"/>
        <v>433.56732611999996</v>
      </c>
      <c r="BM8" s="28">
        <f t="shared" si="50"/>
        <v>655.75340819999997</v>
      </c>
      <c r="BN8" s="28">
        <f t="shared" si="51"/>
        <v>503.57081628000009</v>
      </c>
      <c r="BO8" s="29">
        <f t="shared" si="52"/>
        <v>61.946223199999999</v>
      </c>
      <c r="BP8" s="30">
        <f t="shared" si="53"/>
        <v>12.389244640000001</v>
      </c>
      <c r="BQ8" s="10">
        <v>105676</v>
      </c>
      <c r="BR8" s="6">
        <v>0</v>
      </c>
      <c r="BS8" t="s">
        <v>170</v>
      </c>
    </row>
    <row r="9" spans="1:78" x14ac:dyDescent="0.25">
      <c r="A9" s="18"/>
      <c r="B9" s="18">
        <v>10</v>
      </c>
      <c r="C9" s="19" t="s">
        <v>51</v>
      </c>
      <c r="D9" s="60">
        <v>24931</v>
      </c>
      <c r="E9" s="47" t="s">
        <v>11</v>
      </c>
      <c r="F9" s="13" t="s">
        <v>206</v>
      </c>
      <c r="G9" s="53">
        <v>26198</v>
      </c>
      <c r="H9" s="53">
        <v>356</v>
      </c>
      <c r="I9" s="50">
        <f t="shared" si="0"/>
        <v>26554</v>
      </c>
      <c r="J9" s="45">
        <v>0.75</v>
      </c>
      <c r="K9" s="65">
        <f t="shared" si="1"/>
        <v>19648.5</v>
      </c>
      <c r="L9" s="66">
        <f t="shared" si="2"/>
        <v>0.25</v>
      </c>
      <c r="M9" s="67">
        <f t="shared" si="3"/>
        <v>6549.5</v>
      </c>
      <c r="N9" s="43">
        <f t="shared" si="4"/>
        <v>143.43405000000001</v>
      </c>
      <c r="O9" s="92">
        <f t="shared" si="5"/>
        <v>262.962425</v>
      </c>
      <c r="P9" s="72">
        <f t="shared" si="6"/>
        <v>167.33972499999999</v>
      </c>
      <c r="Q9" s="72">
        <f t="shared" si="7"/>
        <v>23.905674999999999</v>
      </c>
      <c r="R9" s="25">
        <f t="shared" si="8"/>
        <v>4.7811349999999999</v>
      </c>
      <c r="S9" s="72">
        <f t="shared" si="9"/>
        <v>10.255534575</v>
      </c>
      <c r="T9" s="72">
        <f t="shared" si="10"/>
        <v>14.199970950000001</v>
      </c>
      <c r="U9" s="72">
        <f t="shared" si="11"/>
        <v>13.411083675000002</v>
      </c>
      <c r="V9" s="72">
        <f t="shared" si="12"/>
        <v>1.9722181875</v>
      </c>
      <c r="W9" s="72">
        <f t="shared" si="13"/>
        <v>0.3944436375</v>
      </c>
      <c r="X9" s="72">
        <f t="shared" si="14"/>
        <v>14.988858225000001</v>
      </c>
      <c r="Y9" s="72">
        <f t="shared" si="15"/>
        <v>20.511069150000001</v>
      </c>
      <c r="Z9" s="72">
        <f t="shared" si="16"/>
        <v>14.199970950000001</v>
      </c>
      <c r="AA9" s="72">
        <f t="shared" si="17"/>
        <v>0</v>
      </c>
      <c r="AB9" s="72">
        <f t="shared" si="18"/>
        <v>0</v>
      </c>
      <c r="AC9" s="91">
        <f t="shared" si="19"/>
        <v>118.1896572</v>
      </c>
      <c r="AD9" s="91">
        <f t="shared" si="20"/>
        <v>228.25138490000001</v>
      </c>
      <c r="AE9" s="91">
        <f t="shared" si="21"/>
        <v>139.72867037499998</v>
      </c>
      <c r="AF9" s="91">
        <f t="shared" si="22"/>
        <v>21.933456812499998</v>
      </c>
      <c r="AG9" s="91">
        <f t="shared" si="23"/>
        <v>4.3866913624999997</v>
      </c>
      <c r="AH9" s="39">
        <f t="shared" si="24"/>
        <v>438.09854999999999</v>
      </c>
      <c r="AI9" s="77">
        <f t="shared" si="25"/>
        <v>803.18067499999995</v>
      </c>
      <c r="AJ9" s="77">
        <f t="shared" si="26"/>
        <v>511.11497500000002</v>
      </c>
      <c r="AK9" s="77">
        <f t="shared" si="27"/>
        <v>73.016424999999998</v>
      </c>
      <c r="AL9" s="26">
        <f t="shared" si="28"/>
        <v>14.603285</v>
      </c>
      <c r="AM9" s="27">
        <v>0.9</v>
      </c>
      <c r="AN9" s="27">
        <v>0.75</v>
      </c>
      <c r="AO9" s="27">
        <v>0.9</v>
      </c>
      <c r="AP9" s="27">
        <v>0.8</v>
      </c>
      <c r="AQ9" s="27">
        <v>0.8</v>
      </c>
      <c r="AR9" s="26">
        <f t="shared" si="29"/>
        <v>403.51867611750004</v>
      </c>
      <c r="AS9" s="26">
        <f t="shared" si="30"/>
        <v>613.03548446249988</v>
      </c>
      <c r="AT9" s="26">
        <f t="shared" si="31"/>
        <v>472.07345280750008</v>
      </c>
      <c r="AU9" s="26">
        <f t="shared" si="32"/>
        <v>59.990914550000006</v>
      </c>
      <c r="AV9" s="26">
        <f t="shared" si="33"/>
        <v>11.998182910000001</v>
      </c>
      <c r="AW9" s="26">
        <f t="shared" si="34"/>
        <v>44.835408457499966</v>
      </c>
      <c r="AX9" s="26">
        <f t="shared" si="35"/>
        <v>204.34516148750004</v>
      </c>
      <c r="AY9" s="26">
        <f t="shared" si="36"/>
        <v>52.452605867499983</v>
      </c>
      <c r="AZ9" s="26">
        <f t="shared" si="37"/>
        <v>14.997728637499996</v>
      </c>
      <c r="BA9" s="40">
        <f t="shared" si="38"/>
        <v>2.9995457274999993</v>
      </c>
      <c r="BB9" s="37">
        <f t="shared" si="39"/>
        <v>581.5326</v>
      </c>
      <c r="BC9" s="28">
        <f t="shared" si="40"/>
        <v>1066.1431</v>
      </c>
      <c r="BD9" s="28">
        <f t="shared" si="41"/>
        <v>678.4547</v>
      </c>
      <c r="BE9" s="29">
        <f t="shared" si="42"/>
        <v>96.9221</v>
      </c>
      <c r="BF9" s="29">
        <f t="shared" si="43"/>
        <v>19.384419999999999</v>
      </c>
      <c r="BG9" s="28">
        <f t="shared" si="44"/>
        <v>163.02506565749997</v>
      </c>
      <c r="BH9" s="28">
        <f t="shared" si="45"/>
        <v>432.59654638750004</v>
      </c>
      <c r="BI9" s="28">
        <f t="shared" si="46"/>
        <v>192.18127624249996</v>
      </c>
      <c r="BJ9" s="29">
        <f t="shared" si="47"/>
        <v>36.931185449999994</v>
      </c>
      <c r="BK9" s="29">
        <f t="shared" si="48"/>
        <v>7.386237089999999</v>
      </c>
      <c r="BL9" s="28">
        <f t="shared" si="49"/>
        <v>418.50753434250004</v>
      </c>
      <c r="BM9" s="28">
        <f t="shared" si="50"/>
        <v>633.54655361249991</v>
      </c>
      <c r="BN9" s="28">
        <f t="shared" si="51"/>
        <v>486.2734237575001</v>
      </c>
      <c r="BO9" s="29">
        <f t="shared" si="52"/>
        <v>59.990914550000006</v>
      </c>
      <c r="BP9" s="30">
        <f t="shared" si="53"/>
        <v>11.998182910000001</v>
      </c>
      <c r="BQ9" s="10">
        <v>2598025</v>
      </c>
      <c r="BR9" s="6">
        <v>0</v>
      </c>
      <c r="BS9" t="s">
        <v>170</v>
      </c>
    </row>
    <row r="10" spans="1:78" ht="45" x14ac:dyDescent="0.25">
      <c r="A10" s="18"/>
      <c r="B10" s="18">
        <v>12</v>
      </c>
      <c r="C10" s="19" t="s">
        <v>54</v>
      </c>
      <c r="D10" s="60">
        <v>16854</v>
      </c>
      <c r="E10" s="57" t="s">
        <v>171</v>
      </c>
      <c r="F10" s="14" t="s">
        <v>206</v>
      </c>
      <c r="G10" s="53">
        <v>20676</v>
      </c>
      <c r="H10" s="53">
        <v>147</v>
      </c>
      <c r="I10" s="50">
        <f t="shared" si="0"/>
        <v>20823</v>
      </c>
      <c r="J10" s="45">
        <v>0.9</v>
      </c>
      <c r="K10" s="65">
        <f t="shared" si="1"/>
        <v>18608.400000000001</v>
      </c>
      <c r="L10" s="66">
        <f t="shared" si="2"/>
        <v>9.9999999999999978E-2</v>
      </c>
      <c r="M10" s="67">
        <f t="shared" si="3"/>
        <v>2067.5999999999985</v>
      </c>
      <c r="N10" s="43">
        <f t="shared" si="4"/>
        <v>45.28043999999997</v>
      </c>
      <c r="O10" s="92">
        <f t="shared" si="5"/>
        <v>83.014139999999941</v>
      </c>
      <c r="P10" s="72">
        <f t="shared" si="6"/>
        <v>52.827179999999956</v>
      </c>
      <c r="Q10" s="72">
        <f t="shared" si="7"/>
        <v>7.5467399999999945</v>
      </c>
      <c r="R10" s="25">
        <f t="shared" si="8"/>
        <v>1.5093479999999988</v>
      </c>
      <c r="S10" s="72">
        <f t="shared" si="9"/>
        <v>3.2375514599999979</v>
      </c>
      <c r="T10" s="72">
        <f t="shared" si="10"/>
        <v>4.4827635599999978</v>
      </c>
      <c r="U10" s="72">
        <f t="shared" si="11"/>
        <v>4.2337211399999966</v>
      </c>
      <c r="V10" s="72">
        <f t="shared" si="12"/>
        <v>0.62260604999999958</v>
      </c>
      <c r="W10" s="72">
        <f t="shared" si="13"/>
        <v>0.12452120999999991</v>
      </c>
      <c r="X10" s="72">
        <f t="shared" si="14"/>
        <v>4.7318059799999972</v>
      </c>
      <c r="Y10" s="72">
        <f t="shared" si="15"/>
        <v>6.4751029199999959</v>
      </c>
      <c r="Z10" s="72">
        <f t="shared" si="16"/>
        <v>4.4827635599999978</v>
      </c>
      <c r="AA10" s="72">
        <f t="shared" si="17"/>
        <v>0</v>
      </c>
      <c r="AB10" s="72">
        <f t="shared" si="18"/>
        <v>0</v>
      </c>
      <c r="AC10" s="91">
        <f t="shared" si="19"/>
        <v>37.311082559999974</v>
      </c>
      <c r="AD10" s="91">
        <f t="shared" si="20"/>
        <v>72.056273519999948</v>
      </c>
      <c r="AE10" s="91">
        <f t="shared" si="21"/>
        <v>44.110695299999961</v>
      </c>
      <c r="AF10" s="91">
        <f t="shared" si="22"/>
        <v>6.9241339499999945</v>
      </c>
      <c r="AG10" s="91">
        <f t="shared" si="23"/>
        <v>1.3848267899999989</v>
      </c>
      <c r="AH10" s="39">
        <f t="shared" si="24"/>
        <v>410.74326000000002</v>
      </c>
      <c r="AI10" s="77">
        <f t="shared" si="25"/>
        <v>753.02931000000012</v>
      </c>
      <c r="AJ10" s="77">
        <f t="shared" si="26"/>
        <v>479.20047</v>
      </c>
      <c r="AK10" s="77">
        <f t="shared" si="27"/>
        <v>68.457210000000003</v>
      </c>
      <c r="AL10" s="26">
        <f t="shared" si="28"/>
        <v>13.691442000000002</v>
      </c>
      <c r="AM10" s="27">
        <v>0.9</v>
      </c>
      <c r="AN10" s="27">
        <v>0.75</v>
      </c>
      <c r="AO10" s="27">
        <v>0.9</v>
      </c>
      <c r="AP10" s="27">
        <v>0.8</v>
      </c>
      <c r="AQ10" s="27">
        <v>0.8</v>
      </c>
      <c r="AR10" s="26">
        <f t="shared" si="29"/>
        <v>372.58273031400006</v>
      </c>
      <c r="AS10" s="26">
        <f t="shared" si="30"/>
        <v>568.13405517000001</v>
      </c>
      <c r="AT10" s="26">
        <f t="shared" si="31"/>
        <v>435.09077202600002</v>
      </c>
      <c r="AU10" s="26">
        <f t="shared" si="32"/>
        <v>55.263852840000006</v>
      </c>
      <c r="AV10" s="26">
        <f t="shared" si="33"/>
        <v>11.052770568000001</v>
      </c>
      <c r="AW10" s="26">
        <f t="shared" si="34"/>
        <v>41.398081145999981</v>
      </c>
      <c r="AX10" s="26">
        <f t="shared" si="35"/>
        <v>189.37801839000008</v>
      </c>
      <c r="AY10" s="26">
        <f t="shared" si="36"/>
        <v>48.343419113999971</v>
      </c>
      <c r="AZ10" s="26">
        <f t="shared" si="37"/>
        <v>13.81596321</v>
      </c>
      <c r="BA10" s="40">
        <f t="shared" si="38"/>
        <v>2.7631926419999999</v>
      </c>
      <c r="BB10" s="37">
        <f t="shared" si="39"/>
        <v>456.02369999999996</v>
      </c>
      <c r="BC10" s="28">
        <f t="shared" si="40"/>
        <v>836.04345000000012</v>
      </c>
      <c r="BD10" s="28">
        <f t="shared" si="41"/>
        <v>532.02764999999999</v>
      </c>
      <c r="BE10" s="29">
        <f t="shared" si="42"/>
        <v>76.003950000000003</v>
      </c>
      <c r="BF10" s="29">
        <f t="shared" si="43"/>
        <v>15.200790000000001</v>
      </c>
      <c r="BG10" s="28">
        <f t="shared" si="44"/>
        <v>78.709163705999956</v>
      </c>
      <c r="BH10" s="28">
        <f t="shared" si="45"/>
        <v>261.43429191000001</v>
      </c>
      <c r="BI10" s="28">
        <f t="shared" si="46"/>
        <v>92.454114413999932</v>
      </c>
      <c r="BJ10" s="29">
        <f t="shared" si="47"/>
        <v>20.740097159999994</v>
      </c>
      <c r="BK10" s="29">
        <f t="shared" si="48"/>
        <v>4.148019431999999</v>
      </c>
      <c r="BL10" s="28">
        <f t="shared" si="49"/>
        <v>377.31453629400005</v>
      </c>
      <c r="BM10" s="28">
        <f t="shared" si="50"/>
        <v>574.60915809000005</v>
      </c>
      <c r="BN10" s="28">
        <f t="shared" si="51"/>
        <v>439.57353558600005</v>
      </c>
      <c r="BO10" s="29">
        <f t="shared" si="52"/>
        <v>55.263852840000006</v>
      </c>
      <c r="BP10" s="30">
        <f t="shared" si="53"/>
        <v>11.052770568000001</v>
      </c>
      <c r="BQ10" s="10">
        <v>642655</v>
      </c>
      <c r="BR10" s="6">
        <v>1802080</v>
      </c>
      <c r="BS10" t="s">
        <v>132</v>
      </c>
    </row>
    <row r="11" spans="1:78" x14ac:dyDescent="0.25">
      <c r="A11" s="18"/>
      <c r="B11" s="18">
        <v>22</v>
      </c>
      <c r="C11" s="19" t="s">
        <v>64</v>
      </c>
      <c r="D11" s="60">
        <v>8887</v>
      </c>
      <c r="E11" s="47" t="s">
        <v>11</v>
      </c>
      <c r="F11" s="13" t="s">
        <v>206</v>
      </c>
      <c r="G11" s="53">
        <v>11249</v>
      </c>
      <c r="H11" s="53">
        <v>1577</v>
      </c>
      <c r="I11" s="50">
        <f t="shared" si="0"/>
        <v>12826</v>
      </c>
      <c r="J11" s="45">
        <v>0.62</v>
      </c>
      <c r="K11" s="65">
        <f t="shared" si="1"/>
        <v>6974.38</v>
      </c>
      <c r="L11" s="66">
        <f t="shared" si="2"/>
        <v>0.38</v>
      </c>
      <c r="M11" s="67">
        <f t="shared" si="3"/>
        <v>4274.62</v>
      </c>
      <c r="N11" s="43">
        <f t="shared" si="4"/>
        <v>93.614177999999995</v>
      </c>
      <c r="O11" s="92">
        <f t="shared" si="5"/>
        <v>171.62599299999999</v>
      </c>
      <c r="P11" s="72">
        <f t="shared" si="6"/>
        <v>109.21654099999998</v>
      </c>
      <c r="Q11" s="72">
        <f t="shared" si="7"/>
        <v>15.602362999999999</v>
      </c>
      <c r="R11" s="25">
        <f t="shared" si="8"/>
        <v>3.1204726000000003</v>
      </c>
      <c r="S11" s="72">
        <f t="shared" si="9"/>
        <v>6.6934137270000003</v>
      </c>
      <c r="T11" s="72">
        <f t="shared" si="10"/>
        <v>9.2678036220000006</v>
      </c>
      <c r="U11" s="72">
        <f t="shared" si="11"/>
        <v>8.7529256429999993</v>
      </c>
      <c r="V11" s="72">
        <f t="shared" si="12"/>
        <v>1.2871949475</v>
      </c>
      <c r="W11" s="72">
        <f t="shared" si="13"/>
        <v>0.25743898950000005</v>
      </c>
      <c r="X11" s="72">
        <f t="shared" si="14"/>
        <v>9.7826816010000002</v>
      </c>
      <c r="Y11" s="72">
        <f t="shared" si="15"/>
        <v>13.386827454000001</v>
      </c>
      <c r="Z11" s="72">
        <f t="shared" si="16"/>
        <v>9.2678036220000006</v>
      </c>
      <c r="AA11" s="72">
        <f t="shared" si="17"/>
        <v>0</v>
      </c>
      <c r="AB11" s="72">
        <f t="shared" si="18"/>
        <v>0</v>
      </c>
      <c r="AC11" s="91">
        <f t="shared" si="19"/>
        <v>77.138082671999996</v>
      </c>
      <c r="AD11" s="91">
        <f t="shared" si="20"/>
        <v>148.97136192399998</v>
      </c>
      <c r="AE11" s="91">
        <f t="shared" si="21"/>
        <v>91.195811734999978</v>
      </c>
      <c r="AF11" s="91">
        <f t="shared" si="22"/>
        <v>14.315168052499999</v>
      </c>
      <c r="AG11" s="91">
        <f t="shared" si="23"/>
        <v>2.8630336105</v>
      </c>
      <c r="AH11" s="39">
        <f t="shared" si="24"/>
        <v>187.27522200000004</v>
      </c>
      <c r="AI11" s="77">
        <f t="shared" si="25"/>
        <v>343.33790700000009</v>
      </c>
      <c r="AJ11" s="77">
        <f t="shared" si="26"/>
        <v>218.48775900000004</v>
      </c>
      <c r="AK11" s="77">
        <f t="shared" si="27"/>
        <v>31.212537000000008</v>
      </c>
      <c r="AL11" s="26">
        <f t="shared" si="28"/>
        <v>6.2425074</v>
      </c>
      <c r="AM11" s="27">
        <v>0.9</v>
      </c>
      <c r="AN11" s="27">
        <v>0.75</v>
      </c>
      <c r="AO11" s="27">
        <v>0.9</v>
      </c>
      <c r="AP11" s="27">
        <v>0.8</v>
      </c>
      <c r="AQ11" s="27">
        <v>0.8</v>
      </c>
      <c r="AR11" s="26">
        <f t="shared" si="29"/>
        <v>174.57177215430005</v>
      </c>
      <c r="AS11" s="26">
        <f t="shared" si="30"/>
        <v>264.45428296650005</v>
      </c>
      <c r="AT11" s="26">
        <f t="shared" si="31"/>
        <v>204.51661617870005</v>
      </c>
      <c r="AU11" s="26">
        <f t="shared" si="32"/>
        <v>25.99978555800001</v>
      </c>
      <c r="AV11" s="26">
        <f t="shared" si="33"/>
        <v>5.1999571115999998</v>
      </c>
      <c r="AW11" s="26">
        <f t="shared" si="34"/>
        <v>19.396863572699999</v>
      </c>
      <c r="AX11" s="26">
        <f t="shared" si="35"/>
        <v>88.151427655500015</v>
      </c>
      <c r="AY11" s="26">
        <f t="shared" si="36"/>
        <v>22.72406846429999</v>
      </c>
      <c r="AZ11" s="26">
        <f t="shared" si="37"/>
        <v>6.4999463894999998</v>
      </c>
      <c r="BA11" s="40">
        <f t="shared" si="38"/>
        <v>1.2999892779</v>
      </c>
      <c r="BB11" s="37">
        <f t="shared" si="39"/>
        <v>280.88940000000002</v>
      </c>
      <c r="BC11" s="28">
        <f t="shared" si="40"/>
        <v>514.96390000000008</v>
      </c>
      <c r="BD11" s="28">
        <f t="shared" si="41"/>
        <v>327.70429999999999</v>
      </c>
      <c r="BE11" s="29">
        <f t="shared" si="42"/>
        <v>46.814900000000009</v>
      </c>
      <c r="BF11" s="29">
        <f t="shared" si="43"/>
        <v>9.3629800000000003</v>
      </c>
      <c r="BG11" s="28">
        <f t="shared" si="44"/>
        <v>96.534946244699995</v>
      </c>
      <c r="BH11" s="28">
        <f t="shared" si="45"/>
        <v>237.12278957949999</v>
      </c>
      <c r="BI11" s="28">
        <f t="shared" si="46"/>
        <v>113.91988019929997</v>
      </c>
      <c r="BJ11" s="29">
        <f t="shared" si="47"/>
        <v>20.815114441999999</v>
      </c>
      <c r="BK11" s="29">
        <f t="shared" si="48"/>
        <v>4.1630228884000005</v>
      </c>
      <c r="BL11" s="28">
        <f t="shared" si="49"/>
        <v>184.35445375530006</v>
      </c>
      <c r="BM11" s="28">
        <f t="shared" si="50"/>
        <v>277.84111042050006</v>
      </c>
      <c r="BN11" s="28">
        <f t="shared" si="51"/>
        <v>213.78441980070005</v>
      </c>
      <c r="BO11" s="29">
        <f t="shared" si="52"/>
        <v>25.99978555800001</v>
      </c>
      <c r="BP11" s="30">
        <f t="shared" si="53"/>
        <v>5.1999571115999998</v>
      </c>
      <c r="BQ11" s="10">
        <v>309101</v>
      </c>
      <c r="BR11" s="6">
        <v>1140163</v>
      </c>
      <c r="BS11" t="s">
        <v>128</v>
      </c>
    </row>
    <row r="12" spans="1:78" ht="60" x14ac:dyDescent="0.25">
      <c r="A12" s="18"/>
      <c r="B12" s="20">
        <v>23</v>
      </c>
      <c r="C12" s="63" t="s">
        <v>65</v>
      </c>
      <c r="D12" s="61">
        <v>8715</v>
      </c>
      <c r="E12" s="93" t="s">
        <v>176</v>
      </c>
      <c r="F12" s="14" t="s">
        <v>206</v>
      </c>
      <c r="G12" s="55">
        <v>10165</v>
      </c>
      <c r="H12" s="55">
        <v>572</v>
      </c>
      <c r="I12" s="94">
        <f t="shared" si="0"/>
        <v>10737</v>
      </c>
      <c r="J12" s="95">
        <v>0.62</v>
      </c>
      <c r="K12" s="96">
        <f t="shared" si="1"/>
        <v>6302.3</v>
      </c>
      <c r="L12" s="97">
        <f t="shared" si="2"/>
        <v>0.38</v>
      </c>
      <c r="M12" s="98">
        <f t="shared" si="3"/>
        <v>3862.7</v>
      </c>
      <c r="N12" s="43">
        <f t="shared" si="4"/>
        <v>84.593130000000002</v>
      </c>
      <c r="O12" s="92">
        <f t="shared" si="5"/>
        <v>155.08740499999999</v>
      </c>
      <c r="P12" s="72">
        <f t="shared" si="6"/>
        <v>98.691985000000003</v>
      </c>
      <c r="Q12" s="72">
        <f t="shared" si="7"/>
        <v>14.098855</v>
      </c>
      <c r="R12" s="25">
        <f t="shared" si="8"/>
        <v>2.8197709999999998</v>
      </c>
      <c r="S12" s="72">
        <f t="shared" si="9"/>
        <v>6.0484087950000003</v>
      </c>
      <c r="T12" s="72">
        <f t="shared" si="10"/>
        <v>8.3747198699999998</v>
      </c>
      <c r="U12" s="72">
        <f t="shared" si="11"/>
        <v>7.9094576549999989</v>
      </c>
      <c r="V12" s="72">
        <f t="shared" si="12"/>
        <v>1.1631555375</v>
      </c>
      <c r="W12" s="72">
        <f t="shared" si="13"/>
        <v>0.23263110749999999</v>
      </c>
      <c r="X12" s="72">
        <f t="shared" si="14"/>
        <v>8.8399820850000008</v>
      </c>
      <c r="Y12" s="72">
        <f t="shared" si="15"/>
        <v>12.096817590000001</v>
      </c>
      <c r="Z12" s="72">
        <f t="shared" si="16"/>
        <v>8.3747198699999998</v>
      </c>
      <c r="AA12" s="72">
        <f t="shared" si="17"/>
        <v>0</v>
      </c>
      <c r="AB12" s="72">
        <f t="shared" si="18"/>
        <v>0</v>
      </c>
      <c r="AC12" s="91">
        <f t="shared" si="19"/>
        <v>69.704739119999999</v>
      </c>
      <c r="AD12" s="91">
        <f t="shared" si="20"/>
        <v>134.61586753999998</v>
      </c>
      <c r="AE12" s="91">
        <f t="shared" si="21"/>
        <v>82.407807474999998</v>
      </c>
      <c r="AF12" s="91">
        <f t="shared" si="22"/>
        <v>12.935699462500001</v>
      </c>
      <c r="AG12" s="91">
        <f t="shared" si="23"/>
        <v>2.5871398924999998</v>
      </c>
      <c r="AH12" s="39">
        <f t="shared" si="24"/>
        <v>150.54716999999999</v>
      </c>
      <c r="AI12" s="77">
        <f t="shared" si="25"/>
        <v>276.00314500000002</v>
      </c>
      <c r="AJ12" s="77">
        <f t="shared" si="26"/>
        <v>175.63836499999999</v>
      </c>
      <c r="AK12" s="77">
        <f t="shared" si="27"/>
        <v>25.091194999999999</v>
      </c>
      <c r="AL12" s="26">
        <f t="shared" si="28"/>
        <v>5.0182390000000003</v>
      </c>
      <c r="AM12" s="27">
        <v>0.9</v>
      </c>
      <c r="AN12" s="27">
        <v>0.75</v>
      </c>
      <c r="AO12" s="27">
        <v>0.9</v>
      </c>
      <c r="AP12" s="27">
        <v>0.8</v>
      </c>
      <c r="AQ12" s="27">
        <v>0.8</v>
      </c>
      <c r="AR12" s="26">
        <f t="shared" si="29"/>
        <v>140.93602091549999</v>
      </c>
      <c r="AS12" s="26">
        <f t="shared" si="30"/>
        <v>213.28339865250001</v>
      </c>
      <c r="AT12" s="26">
        <f t="shared" si="31"/>
        <v>165.1930403895</v>
      </c>
      <c r="AU12" s="26">
        <f t="shared" si="32"/>
        <v>21.00348043</v>
      </c>
      <c r="AV12" s="26">
        <f t="shared" si="33"/>
        <v>4.2006960859999998</v>
      </c>
      <c r="AW12" s="26">
        <f t="shared" si="34"/>
        <v>15.659557879499999</v>
      </c>
      <c r="AX12" s="26">
        <f t="shared" si="35"/>
        <v>71.094466217499985</v>
      </c>
      <c r="AY12" s="26">
        <f t="shared" si="36"/>
        <v>18.354782265500006</v>
      </c>
      <c r="AZ12" s="26">
        <f t="shared" si="37"/>
        <v>5.2508701074999991</v>
      </c>
      <c r="BA12" s="40">
        <f t="shared" si="38"/>
        <v>1.0501740215000002</v>
      </c>
      <c r="BB12" s="37">
        <f t="shared" si="39"/>
        <v>235.1403</v>
      </c>
      <c r="BC12" s="28">
        <f t="shared" si="40"/>
        <v>431.09055000000001</v>
      </c>
      <c r="BD12" s="28">
        <f t="shared" si="41"/>
        <v>274.33035000000001</v>
      </c>
      <c r="BE12" s="29">
        <f t="shared" si="42"/>
        <v>39.190049999999999</v>
      </c>
      <c r="BF12" s="29">
        <f t="shared" si="43"/>
        <v>7.8380100000000006</v>
      </c>
      <c r="BG12" s="28">
        <f t="shared" si="44"/>
        <v>85.364296999499999</v>
      </c>
      <c r="BH12" s="28">
        <f t="shared" si="45"/>
        <v>205.71033375749997</v>
      </c>
      <c r="BI12" s="28">
        <f t="shared" si="46"/>
        <v>100.7625897405</v>
      </c>
      <c r="BJ12" s="29">
        <f t="shared" si="47"/>
        <v>18.18656957</v>
      </c>
      <c r="BK12" s="29">
        <f t="shared" si="48"/>
        <v>3.6373139139999999</v>
      </c>
      <c r="BL12" s="28">
        <f t="shared" si="49"/>
        <v>149.7760030005</v>
      </c>
      <c r="BM12" s="28">
        <f t="shared" si="50"/>
        <v>225.38021624250001</v>
      </c>
      <c r="BN12" s="28">
        <f t="shared" si="51"/>
        <v>173.56776025950001</v>
      </c>
      <c r="BO12" s="29">
        <f t="shared" si="52"/>
        <v>21.00348043</v>
      </c>
      <c r="BP12" s="30">
        <f t="shared" si="53"/>
        <v>4.2006960859999998</v>
      </c>
      <c r="BQ12" s="102">
        <v>533865</v>
      </c>
      <c r="BR12" s="103">
        <v>0</v>
      </c>
      <c r="BS12" s="3" t="s">
        <v>131</v>
      </c>
    </row>
    <row r="13" spans="1:78" x14ac:dyDescent="0.25">
      <c r="A13" s="18"/>
      <c r="B13" s="18">
        <v>24</v>
      </c>
      <c r="C13" s="19" t="s">
        <v>66</v>
      </c>
      <c r="D13" s="60">
        <v>8047</v>
      </c>
      <c r="E13" s="47" t="s">
        <v>137</v>
      </c>
      <c r="F13" s="13" t="s">
        <v>206</v>
      </c>
      <c r="G13" s="53">
        <v>9024</v>
      </c>
      <c r="H13" s="54">
        <v>180</v>
      </c>
      <c r="I13" s="50">
        <f t="shared" si="0"/>
        <v>9204</v>
      </c>
      <c r="J13" s="45">
        <v>0.75</v>
      </c>
      <c r="K13" s="65">
        <f t="shared" si="1"/>
        <v>6768</v>
      </c>
      <c r="L13" s="66">
        <f t="shared" si="2"/>
        <v>0.25</v>
      </c>
      <c r="M13" s="67">
        <f t="shared" si="3"/>
        <v>2256</v>
      </c>
      <c r="N13" s="43">
        <f t="shared" si="4"/>
        <v>49.406399999999998</v>
      </c>
      <c r="O13" s="92">
        <f t="shared" si="5"/>
        <v>90.578400000000002</v>
      </c>
      <c r="P13" s="72">
        <f t="shared" si="6"/>
        <v>57.640799999999999</v>
      </c>
      <c r="Q13" s="72">
        <f t="shared" si="7"/>
        <v>8.2344000000000008</v>
      </c>
      <c r="R13" s="25">
        <f t="shared" si="8"/>
        <v>1.6468799999999999</v>
      </c>
      <c r="S13" s="72">
        <f t="shared" si="9"/>
        <v>3.5325576000000001</v>
      </c>
      <c r="T13" s="72">
        <f t="shared" si="10"/>
        <v>4.8912336000000005</v>
      </c>
      <c r="U13" s="72">
        <f t="shared" si="11"/>
        <v>4.6194984000000003</v>
      </c>
      <c r="V13" s="72">
        <f t="shared" si="12"/>
        <v>0.67933800000000011</v>
      </c>
      <c r="W13" s="72">
        <f t="shared" si="13"/>
        <v>0.13586760000000001</v>
      </c>
      <c r="X13" s="72">
        <f t="shared" si="14"/>
        <v>5.1629688000000007</v>
      </c>
      <c r="Y13" s="72">
        <f t="shared" si="15"/>
        <v>7.0651152000000002</v>
      </c>
      <c r="Z13" s="72">
        <f t="shared" si="16"/>
        <v>4.8912336000000005</v>
      </c>
      <c r="AA13" s="72">
        <f t="shared" si="17"/>
        <v>0</v>
      </c>
      <c r="AB13" s="72">
        <f t="shared" si="18"/>
        <v>0</v>
      </c>
      <c r="AC13" s="91">
        <f t="shared" si="19"/>
        <v>40.710873599999999</v>
      </c>
      <c r="AD13" s="91">
        <f t="shared" si="20"/>
        <v>78.622051200000001</v>
      </c>
      <c r="AE13" s="91">
        <f t="shared" si="21"/>
        <v>48.130068000000001</v>
      </c>
      <c r="AF13" s="91">
        <f t="shared" si="22"/>
        <v>7.5550620000000004</v>
      </c>
      <c r="AG13" s="91">
        <f t="shared" si="23"/>
        <v>1.5110123999999998</v>
      </c>
      <c r="AH13" s="39">
        <f t="shared" si="24"/>
        <v>152.16120000000001</v>
      </c>
      <c r="AI13" s="77">
        <f t="shared" si="25"/>
        <v>278.9622</v>
      </c>
      <c r="AJ13" s="77">
        <f t="shared" si="26"/>
        <v>177.5214</v>
      </c>
      <c r="AK13" s="77">
        <f t="shared" si="27"/>
        <v>25.360199999999999</v>
      </c>
      <c r="AL13" s="26">
        <f t="shared" si="28"/>
        <v>5.0720400000000003</v>
      </c>
      <c r="AM13" s="27">
        <v>0.9</v>
      </c>
      <c r="AN13" s="27">
        <v>0.75</v>
      </c>
      <c r="AO13" s="27">
        <v>0.9</v>
      </c>
      <c r="AP13" s="27">
        <v>0.8</v>
      </c>
      <c r="AQ13" s="27">
        <v>0.8</v>
      </c>
      <c r="AR13" s="26">
        <f t="shared" si="29"/>
        <v>140.12438184000001</v>
      </c>
      <c r="AS13" s="26">
        <f t="shared" si="30"/>
        <v>212.89007520000001</v>
      </c>
      <c r="AT13" s="26">
        <f t="shared" si="31"/>
        <v>163.92680856000001</v>
      </c>
      <c r="AU13" s="26">
        <f t="shared" si="32"/>
        <v>20.831630400000002</v>
      </c>
      <c r="AV13" s="26">
        <f t="shared" si="33"/>
        <v>4.1663260800000002</v>
      </c>
      <c r="AW13" s="26">
        <f t="shared" si="34"/>
        <v>15.569375759999986</v>
      </c>
      <c r="AX13" s="26">
        <f t="shared" si="35"/>
        <v>70.963358400000004</v>
      </c>
      <c r="AY13" s="26">
        <f t="shared" si="36"/>
        <v>18.214089839999986</v>
      </c>
      <c r="AZ13" s="26">
        <f t="shared" si="37"/>
        <v>5.2079075999999986</v>
      </c>
      <c r="BA13" s="40">
        <f t="shared" si="38"/>
        <v>1.0415815200000003</v>
      </c>
      <c r="BB13" s="37">
        <f t="shared" si="39"/>
        <v>201.5676</v>
      </c>
      <c r="BC13" s="28">
        <f t="shared" si="40"/>
        <v>369.54059999999998</v>
      </c>
      <c r="BD13" s="28">
        <f t="shared" si="41"/>
        <v>235.16219999999998</v>
      </c>
      <c r="BE13" s="29">
        <f t="shared" si="42"/>
        <v>33.5946</v>
      </c>
      <c r="BF13" s="29">
        <f t="shared" si="43"/>
        <v>6.7189200000000007</v>
      </c>
      <c r="BG13" s="28">
        <f t="shared" si="44"/>
        <v>56.280249359999985</v>
      </c>
      <c r="BH13" s="28">
        <f t="shared" si="45"/>
        <v>149.58540959999999</v>
      </c>
      <c r="BI13" s="28">
        <f t="shared" si="46"/>
        <v>66.34415783999998</v>
      </c>
      <c r="BJ13" s="29">
        <f t="shared" si="47"/>
        <v>12.762969599999998</v>
      </c>
      <c r="BK13" s="29">
        <f t="shared" si="48"/>
        <v>2.5525939200000001</v>
      </c>
      <c r="BL13" s="28">
        <f t="shared" si="49"/>
        <v>145.28735064</v>
      </c>
      <c r="BM13" s="28">
        <f t="shared" si="50"/>
        <v>219.95519040000002</v>
      </c>
      <c r="BN13" s="28">
        <f t="shared" si="51"/>
        <v>168.81804216</v>
      </c>
      <c r="BO13" s="29">
        <f t="shared" si="52"/>
        <v>20.831630400000002</v>
      </c>
      <c r="BP13" s="30">
        <f t="shared" si="53"/>
        <v>4.1663260800000002</v>
      </c>
      <c r="BQ13" s="10">
        <f>307160*0.6</f>
        <v>184296</v>
      </c>
      <c r="BR13" s="6">
        <v>0</v>
      </c>
      <c r="BS13" t="s">
        <v>128</v>
      </c>
    </row>
    <row r="14" spans="1:78" x14ac:dyDescent="0.25">
      <c r="A14" s="18"/>
      <c r="B14" s="18">
        <v>25</v>
      </c>
      <c r="C14" s="19" t="s">
        <v>77</v>
      </c>
      <c r="D14" s="60">
        <v>7887</v>
      </c>
      <c r="E14" s="47" t="s">
        <v>11</v>
      </c>
      <c r="F14" s="13" t="s">
        <v>206</v>
      </c>
      <c r="G14" s="53">
        <v>9890</v>
      </c>
      <c r="H14" s="53">
        <v>94</v>
      </c>
      <c r="I14" s="50">
        <f t="shared" si="0"/>
        <v>9984</v>
      </c>
      <c r="J14" s="45">
        <v>0.68</v>
      </c>
      <c r="K14" s="65">
        <f t="shared" si="1"/>
        <v>6725.2</v>
      </c>
      <c r="L14" s="66">
        <f t="shared" si="2"/>
        <v>0.31999999999999995</v>
      </c>
      <c r="M14" s="67">
        <f t="shared" si="3"/>
        <v>3164.8</v>
      </c>
      <c r="N14" s="43">
        <f t="shared" si="4"/>
        <v>69.309119999999993</v>
      </c>
      <c r="O14" s="92">
        <f t="shared" si="5"/>
        <v>127.06672</v>
      </c>
      <c r="P14" s="72">
        <f t="shared" si="6"/>
        <v>80.860640000000004</v>
      </c>
      <c r="Q14" s="72">
        <f t="shared" si="7"/>
        <v>11.55152</v>
      </c>
      <c r="R14" s="25">
        <f t="shared" si="8"/>
        <v>2.3103039999999999</v>
      </c>
      <c r="S14" s="72">
        <f t="shared" si="9"/>
        <v>4.9556020800000002</v>
      </c>
      <c r="T14" s="72">
        <f t="shared" si="10"/>
        <v>6.8616028800000004</v>
      </c>
      <c r="U14" s="72">
        <f t="shared" si="11"/>
        <v>6.4804027200000016</v>
      </c>
      <c r="V14" s="72">
        <f t="shared" si="12"/>
        <v>0.95300040000000008</v>
      </c>
      <c r="W14" s="72">
        <f t="shared" si="13"/>
        <v>0.19060008000000001</v>
      </c>
      <c r="X14" s="72">
        <f t="shared" si="14"/>
        <v>7.2428030400000001</v>
      </c>
      <c r="Y14" s="72">
        <f t="shared" si="15"/>
        <v>9.9112041600000005</v>
      </c>
      <c r="Z14" s="72">
        <f t="shared" si="16"/>
        <v>6.8616028800000004</v>
      </c>
      <c r="AA14" s="72">
        <f t="shared" si="17"/>
        <v>0</v>
      </c>
      <c r="AB14" s="72">
        <f t="shared" si="18"/>
        <v>0</v>
      </c>
      <c r="AC14" s="91">
        <f t="shared" si="19"/>
        <v>57.110714879999989</v>
      </c>
      <c r="AD14" s="91">
        <f t="shared" si="20"/>
        <v>110.29391296</v>
      </c>
      <c r="AE14" s="91">
        <f t="shared" si="21"/>
        <v>67.518634399999996</v>
      </c>
      <c r="AF14" s="91">
        <f t="shared" si="22"/>
        <v>10.598519599999999</v>
      </c>
      <c r="AG14" s="91">
        <f t="shared" si="23"/>
        <v>2.1197039200000001</v>
      </c>
      <c r="AH14" s="39">
        <f t="shared" si="24"/>
        <v>149.34048000000001</v>
      </c>
      <c r="AI14" s="77">
        <f t="shared" si="25"/>
        <v>273.79088000000002</v>
      </c>
      <c r="AJ14" s="77">
        <f t="shared" si="26"/>
        <v>174.23056</v>
      </c>
      <c r="AK14" s="77">
        <f t="shared" si="27"/>
        <v>24.890080000000001</v>
      </c>
      <c r="AL14" s="26">
        <f t="shared" si="28"/>
        <v>4.9780160000000002</v>
      </c>
      <c r="AM14" s="27">
        <v>0.9</v>
      </c>
      <c r="AN14" s="27">
        <v>0.75</v>
      </c>
      <c r="AO14" s="27">
        <v>0.9</v>
      </c>
      <c r="AP14" s="27">
        <v>0.1</v>
      </c>
      <c r="AQ14" s="27">
        <v>0.1</v>
      </c>
      <c r="AR14" s="26">
        <f t="shared" si="29"/>
        <v>138.86647387200003</v>
      </c>
      <c r="AS14" s="26">
        <f t="shared" si="30"/>
        <v>210.48936216000004</v>
      </c>
      <c r="AT14" s="26">
        <f t="shared" si="31"/>
        <v>162.63986644799999</v>
      </c>
      <c r="AU14" s="26">
        <f t="shared" si="32"/>
        <v>2.5843080400000003</v>
      </c>
      <c r="AV14" s="26">
        <f t="shared" si="33"/>
        <v>0.51686160800000003</v>
      </c>
      <c r="AW14" s="26">
        <f t="shared" si="34"/>
        <v>15.429608207999991</v>
      </c>
      <c r="AX14" s="26">
        <f t="shared" si="35"/>
        <v>70.163120719999995</v>
      </c>
      <c r="AY14" s="26">
        <f t="shared" si="36"/>
        <v>18.071096272000005</v>
      </c>
      <c r="AZ14" s="26">
        <f t="shared" si="37"/>
        <v>23.258772360000002</v>
      </c>
      <c r="BA14" s="40">
        <f t="shared" si="38"/>
        <v>4.6517544720000004</v>
      </c>
      <c r="BB14" s="37">
        <f t="shared" si="39"/>
        <v>218.64960000000002</v>
      </c>
      <c r="BC14" s="28">
        <f t="shared" si="40"/>
        <v>400.85760000000005</v>
      </c>
      <c r="BD14" s="28">
        <f t="shared" si="41"/>
        <v>255.09120000000001</v>
      </c>
      <c r="BE14" s="29">
        <f t="shared" si="42"/>
        <v>36.441600000000001</v>
      </c>
      <c r="BF14" s="29">
        <f t="shared" si="43"/>
        <v>7.2883200000000006</v>
      </c>
      <c r="BG14" s="28">
        <f t="shared" si="44"/>
        <v>72.54032308799998</v>
      </c>
      <c r="BH14" s="28">
        <f t="shared" si="45"/>
        <v>180.45703368</v>
      </c>
      <c r="BI14" s="28">
        <f t="shared" si="46"/>
        <v>85.589730672000002</v>
      </c>
      <c r="BJ14" s="29">
        <f t="shared" si="47"/>
        <v>33.857291959999998</v>
      </c>
      <c r="BK14" s="29">
        <f t="shared" si="48"/>
        <v>6.7714583920000004</v>
      </c>
      <c r="BL14" s="28">
        <f t="shared" si="49"/>
        <v>146.10927691200004</v>
      </c>
      <c r="BM14" s="28">
        <f t="shared" si="50"/>
        <v>220.40056632000005</v>
      </c>
      <c r="BN14" s="28">
        <f t="shared" si="51"/>
        <v>169.50146932799998</v>
      </c>
      <c r="BO14" s="29">
        <f t="shared" si="52"/>
        <v>2.5843080400000003</v>
      </c>
      <c r="BP14" s="30">
        <f t="shared" si="53"/>
        <v>0.51686160800000003</v>
      </c>
      <c r="BQ14" s="10">
        <v>1183705</v>
      </c>
      <c r="BR14" s="6">
        <v>584030</v>
      </c>
      <c r="BS14" t="s">
        <v>128</v>
      </c>
    </row>
    <row r="15" spans="1:78" x14ac:dyDescent="0.25">
      <c r="A15" s="18"/>
      <c r="B15" s="18">
        <v>26</v>
      </c>
      <c r="C15" s="19" t="s">
        <v>129</v>
      </c>
      <c r="D15" s="60">
        <v>7817</v>
      </c>
      <c r="E15" s="47" t="s">
        <v>138</v>
      </c>
      <c r="F15" s="13" t="s">
        <v>206</v>
      </c>
      <c r="G15" s="53">
        <v>9168</v>
      </c>
      <c r="H15" s="53">
        <v>181</v>
      </c>
      <c r="I15" s="50">
        <f t="shared" si="0"/>
        <v>9349</v>
      </c>
      <c r="J15" s="45">
        <v>0.66</v>
      </c>
      <c r="K15" s="65">
        <f t="shared" si="1"/>
        <v>6050.88</v>
      </c>
      <c r="L15" s="66">
        <f t="shared" si="2"/>
        <v>0.33999999999999997</v>
      </c>
      <c r="M15" s="67">
        <f t="shared" si="3"/>
        <v>3117.12</v>
      </c>
      <c r="N15" s="43">
        <f t="shared" si="4"/>
        <v>68.264927999999998</v>
      </c>
      <c r="O15" s="92">
        <f t="shared" si="5"/>
        <v>125.152368</v>
      </c>
      <c r="P15" s="72">
        <f t="shared" si="6"/>
        <v>79.642415999999997</v>
      </c>
      <c r="Q15" s="72">
        <f t="shared" si="7"/>
        <v>11.377487999999998</v>
      </c>
      <c r="R15" s="25">
        <f t="shared" si="8"/>
        <v>2.2754976</v>
      </c>
      <c r="S15" s="72">
        <f t="shared" si="9"/>
        <v>4.8809423519999999</v>
      </c>
      <c r="T15" s="72">
        <f t="shared" si="10"/>
        <v>6.758227872</v>
      </c>
      <c r="U15" s="72">
        <f t="shared" si="11"/>
        <v>6.3827707680000003</v>
      </c>
      <c r="V15" s="72">
        <f t="shared" si="12"/>
        <v>0.93864275999999991</v>
      </c>
      <c r="W15" s="72">
        <f t="shared" si="13"/>
        <v>0.18772855200000002</v>
      </c>
      <c r="X15" s="72">
        <f t="shared" si="14"/>
        <v>7.1336849759999996</v>
      </c>
      <c r="Y15" s="72">
        <f t="shared" si="15"/>
        <v>9.7618847039999999</v>
      </c>
      <c r="Z15" s="72">
        <f t="shared" si="16"/>
        <v>6.758227872</v>
      </c>
      <c r="AA15" s="72">
        <f t="shared" si="17"/>
        <v>0</v>
      </c>
      <c r="AB15" s="72">
        <f t="shared" si="18"/>
        <v>0</v>
      </c>
      <c r="AC15" s="91">
        <f t="shared" si="19"/>
        <v>56.250300672000002</v>
      </c>
      <c r="AD15" s="91">
        <f t="shared" si="20"/>
        <v>108.63225542399999</v>
      </c>
      <c r="AE15" s="91">
        <f t="shared" si="21"/>
        <v>66.501417359999991</v>
      </c>
      <c r="AF15" s="91">
        <f t="shared" si="22"/>
        <v>10.438845239999997</v>
      </c>
      <c r="AG15" s="91">
        <f t="shared" si="23"/>
        <v>2.0877690480000002</v>
      </c>
      <c r="AH15" s="39">
        <f t="shared" si="24"/>
        <v>136.478172</v>
      </c>
      <c r="AI15" s="77">
        <f t="shared" si="25"/>
        <v>250.20998200000002</v>
      </c>
      <c r="AJ15" s="77">
        <f t="shared" si="26"/>
        <v>159.22453400000001</v>
      </c>
      <c r="AK15" s="77">
        <f t="shared" si="27"/>
        <v>22.746362000000001</v>
      </c>
      <c r="AL15" s="26">
        <f t="shared" si="28"/>
        <v>4.5492724000000004</v>
      </c>
      <c r="AM15" s="27">
        <v>0.9</v>
      </c>
      <c r="AN15" s="27">
        <v>0.75</v>
      </c>
      <c r="AO15" s="27">
        <v>0.9</v>
      </c>
      <c r="AP15" s="27">
        <v>0.8</v>
      </c>
      <c r="AQ15" s="27">
        <v>0.8</v>
      </c>
      <c r="AR15" s="26">
        <f t="shared" si="29"/>
        <v>127.22320291680001</v>
      </c>
      <c r="AS15" s="26">
        <f t="shared" si="30"/>
        <v>192.72615740400005</v>
      </c>
      <c r="AT15" s="26">
        <f t="shared" si="31"/>
        <v>149.04657429120002</v>
      </c>
      <c r="AU15" s="26">
        <f t="shared" si="32"/>
        <v>18.948003808000003</v>
      </c>
      <c r="AV15" s="26">
        <f t="shared" si="33"/>
        <v>3.7896007616000009</v>
      </c>
      <c r="AW15" s="26">
        <f t="shared" si="34"/>
        <v>14.135911435200001</v>
      </c>
      <c r="AX15" s="26">
        <f t="shared" si="35"/>
        <v>64.242052467999997</v>
      </c>
      <c r="AY15" s="26">
        <f t="shared" si="36"/>
        <v>16.560730476799989</v>
      </c>
      <c r="AZ15" s="26">
        <f t="shared" si="37"/>
        <v>4.7370009519999989</v>
      </c>
      <c r="BA15" s="40">
        <f t="shared" si="38"/>
        <v>0.94740019039999979</v>
      </c>
      <c r="BB15" s="37">
        <f t="shared" si="39"/>
        <v>204.7431</v>
      </c>
      <c r="BC15" s="28">
        <f t="shared" si="40"/>
        <v>375.36234999999999</v>
      </c>
      <c r="BD15" s="28">
        <f t="shared" si="41"/>
        <v>238.86695</v>
      </c>
      <c r="BE15" s="29">
        <f t="shared" si="42"/>
        <v>34.123849999999997</v>
      </c>
      <c r="BF15" s="29">
        <f t="shared" si="43"/>
        <v>6.8247700000000009</v>
      </c>
      <c r="BG15" s="28">
        <f t="shared" si="44"/>
        <v>70.386212107200009</v>
      </c>
      <c r="BH15" s="28">
        <f t="shared" si="45"/>
        <v>172.87430789199999</v>
      </c>
      <c r="BI15" s="28">
        <f t="shared" si="46"/>
        <v>83.06214783679998</v>
      </c>
      <c r="BJ15" s="29">
        <f t="shared" si="47"/>
        <v>15.175846191999996</v>
      </c>
      <c r="BK15" s="29">
        <f t="shared" si="48"/>
        <v>3.0351692384</v>
      </c>
      <c r="BL15" s="28">
        <f t="shared" si="49"/>
        <v>134.35688789280002</v>
      </c>
      <c r="BM15" s="28">
        <f t="shared" si="50"/>
        <v>202.48804210800006</v>
      </c>
      <c r="BN15" s="28">
        <f t="shared" si="51"/>
        <v>155.80480216320001</v>
      </c>
      <c r="BO15" s="29">
        <f t="shared" si="52"/>
        <v>18.948003808000003</v>
      </c>
      <c r="BP15" s="30">
        <f t="shared" si="53"/>
        <v>3.7896007616000009</v>
      </c>
      <c r="BQ15" s="10">
        <v>0</v>
      </c>
      <c r="BR15" s="6">
        <v>0</v>
      </c>
      <c r="BS15" t="s">
        <v>3</v>
      </c>
    </row>
    <row r="16" spans="1:78" x14ac:dyDescent="0.25">
      <c r="A16" s="18"/>
      <c r="B16" s="18">
        <v>28</v>
      </c>
      <c r="C16" s="19" t="s">
        <v>67</v>
      </c>
      <c r="D16" s="60">
        <v>7667</v>
      </c>
      <c r="E16" s="47" t="s">
        <v>11</v>
      </c>
      <c r="F16" s="13" t="s">
        <v>206</v>
      </c>
      <c r="G16" s="53">
        <v>9099</v>
      </c>
      <c r="H16" s="54">
        <v>90</v>
      </c>
      <c r="I16" s="50">
        <f t="shared" si="0"/>
        <v>9189</v>
      </c>
      <c r="J16" s="45">
        <v>0.99</v>
      </c>
      <c r="K16" s="65">
        <f t="shared" si="1"/>
        <v>9008.01</v>
      </c>
      <c r="L16" s="66">
        <f t="shared" si="2"/>
        <v>1.0000000000000009E-2</v>
      </c>
      <c r="M16" s="67">
        <f t="shared" si="3"/>
        <v>90.989999999999782</v>
      </c>
      <c r="N16" s="43">
        <f t="shared" si="4"/>
        <v>1.992680999999995</v>
      </c>
      <c r="O16" s="92">
        <f t="shared" si="5"/>
        <v>3.6532484999999912</v>
      </c>
      <c r="P16" s="72">
        <f t="shared" si="6"/>
        <v>2.3247944999999945</v>
      </c>
      <c r="Q16" s="72">
        <f t="shared" si="7"/>
        <v>0.33211349999999917</v>
      </c>
      <c r="R16" s="25">
        <f t="shared" si="8"/>
        <v>6.6422699999999835E-2</v>
      </c>
      <c r="S16" s="72">
        <f t="shared" si="9"/>
        <v>0.14247669149999964</v>
      </c>
      <c r="T16" s="72">
        <f t="shared" si="10"/>
        <v>0.19727541899999951</v>
      </c>
      <c r="U16" s="72">
        <f t="shared" si="11"/>
        <v>0.18631567349999956</v>
      </c>
      <c r="V16" s="72">
        <f t="shared" si="12"/>
        <v>2.7399363749999933E-2</v>
      </c>
      <c r="W16" s="72">
        <f t="shared" si="13"/>
        <v>5.4798727499999868E-3</v>
      </c>
      <c r="X16" s="72">
        <f t="shared" si="14"/>
        <v>0.20823516449999951</v>
      </c>
      <c r="Y16" s="72">
        <f t="shared" si="15"/>
        <v>0.28495338299999928</v>
      </c>
      <c r="Z16" s="72">
        <f t="shared" si="16"/>
        <v>0.19727541899999951</v>
      </c>
      <c r="AA16" s="72">
        <f t="shared" si="17"/>
        <v>0</v>
      </c>
      <c r="AB16" s="72">
        <f t="shared" si="18"/>
        <v>0</v>
      </c>
      <c r="AC16" s="91">
        <f t="shared" si="19"/>
        <v>1.6419691439999959</v>
      </c>
      <c r="AD16" s="91">
        <f t="shared" si="20"/>
        <v>3.1710196979999923</v>
      </c>
      <c r="AE16" s="91">
        <f t="shared" si="21"/>
        <v>1.9412034074999953</v>
      </c>
      <c r="AF16" s="91">
        <f t="shared" si="22"/>
        <v>0.30471413624999921</v>
      </c>
      <c r="AG16" s="91">
        <f t="shared" si="23"/>
        <v>6.0942827249999845E-2</v>
      </c>
      <c r="AH16" s="39">
        <f t="shared" si="24"/>
        <v>199.246419</v>
      </c>
      <c r="AI16" s="77">
        <f t="shared" si="25"/>
        <v>365.2851015</v>
      </c>
      <c r="AJ16" s="77">
        <f t="shared" si="26"/>
        <v>232.45415550000004</v>
      </c>
      <c r="AK16" s="77">
        <f t="shared" si="27"/>
        <v>33.207736500000003</v>
      </c>
      <c r="AL16" s="26">
        <f t="shared" si="28"/>
        <v>6.6415473</v>
      </c>
      <c r="AM16" s="27">
        <v>0.9</v>
      </c>
      <c r="AN16" s="27">
        <v>0.75</v>
      </c>
      <c r="AO16" s="27">
        <v>0.9</v>
      </c>
      <c r="AP16" s="27">
        <v>0.1</v>
      </c>
      <c r="AQ16" s="27">
        <v>0.1</v>
      </c>
      <c r="AR16" s="26">
        <f t="shared" si="29"/>
        <v>179.45000612235</v>
      </c>
      <c r="AS16" s="26">
        <f t="shared" si="30"/>
        <v>274.11178268924999</v>
      </c>
      <c r="AT16" s="26">
        <f t="shared" si="31"/>
        <v>209.37642405615003</v>
      </c>
      <c r="AU16" s="26">
        <f t="shared" si="32"/>
        <v>3.3235135863750003</v>
      </c>
      <c r="AV16" s="26">
        <f t="shared" si="33"/>
        <v>0.66470271727499997</v>
      </c>
      <c r="AW16" s="26">
        <f t="shared" si="34"/>
        <v>19.938889569150007</v>
      </c>
      <c r="AX16" s="26">
        <f t="shared" si="35"/>
        <v>91.370594229749997</v>
      </c>
      <c r="AY16" s="26">
        <f t="shared" si="36"/>
        <v>23.264047117350003</v>
      </c>
      <c r="AZ16" s="26">
        <f t="shared" si="37"/>
        <v>29.911622277375002</v>
      </c>
      <c r="BA16" s="40">
        <f t="shared" si="38"/>
        <v>5.9823244554750001</v>
      </c>
      <c r="BB16" s="37">
        <f t="shared" si="39"/>
        <v>201.23910000000001</v>
      </c>
      <c r="BC16" s="28">
        <f t="shared" si="40"/>
        <v>368.93835000000001</v>
      </c>
      <c r="BD16" s="28">
        <f t="shared" si="41"/>
        <v>234.77895000000004</v>
      </c>
      <c r="BE16" s="29">
        <f t="shared" si="42"/>
        <v>33.539850000000001</v>
      </c>
      <c r="BF16" s="29">
        <f t="shared" si="43"/>
        <v>6.7079699999999995</v>
      </c>
      <c r="BG16" s="28">
        <f t="shared" si="44"/>
        <v>21.580858713150004</v>
      </c>
      <c r="BH16" s="28">
        <f t="shared" si="45"/>
        <v>94.541613927749992</v>
      </c>
      <c r="BI16" s="28">
        <f t="shared" si="46"/>
        <v>25.205250524849998</v>
      </c>
      <c r="BJ16" s="29">
        <f t="shared" si="47"/>
        <v>30.216336413625001</v>
      </c>
      <c r="BK16" s="29">
        <f t="shared" si="48"/>
        <v>6.043267282725</v>
      </c>
      <c r="BL16" s="28">
        <f t="shared" si="49"/>
        <v>179.65824128685</v>
      </c>
      <c r="BM16" s="28">
        <f t="shared" si="50"/>
        <v>274.39673607225001</v>
      </c>
      <c r="BN16" s="28">
        <f t="shared" si="51"/>
        <v>209.57369947515002</v>
      </c>
      <c r="BO16" s="29">
        <f t="shared" si="52"/>
        <v>3.3235135863750003</v>
      </c>
      <c r="BP16" s="30">
        <f t="shared" si="53"/>
        <v>0.66470271727499997</v>
      </c>
      <c r="BQ16" s="10">
        <v>0</v>
      </c>
      <c r="BR16" s="6">
        <v>0</v>
      </c>
      <c r="BS16" t="s">
        <v>3</v>
      </c>
    </row>
    <row r="17" spans="1:71" x14ac:dyDescent="0.25">
      <c r="A17" s="18"/>
      <c r="B17" s="18">
        <v>30</v>
      </c>
      <c r="C17" s="19" t="s">
        <v>69</v>
      </c>
      <c r="D17" s="60">
        <v>7079</v>
      </c>
      <c r="E17" s="47" t="s">
        <v>141</v>
      </c>
      <c r="F17" s="13" t="s">
        <v>206</v>
      </c>
      <c r="G17" s="53">
        <v>8872</v>
      </c>
      <c r="H17" s="53">
        <v>7775</v>
      </c>
      <c r="I17" s="50">
        <f t="shared" si="0"/>
        <v>16647</v>
      </c>
      <c r="J17" s="45">
        <v>0.89</v>
      </c>
      <c r="K17" s="65">
        <f t="shared" si="1"/>
        <v>7896.08</v>
      </c>
      <c r="L17" s="66">
        <f t="shared" si="2"/>
        <v>0.10999999999999999</v>
      </c>
      <c r="M17" s="67">
        <f t="shared" si="3"/>
        <v>975.92000000000007</v>
      </c>
      <c r="N17" s="43">
        <f t="shared" si="4"/>
        <v>21.372648000000002</v>
      </c>
      <c r="O17" s="92">
        <f t="shared" si="5"/>
        <v>39.183188000000008</v>
      </c>
      <c r="P17" s="72">
        <f t="shared" si="6"/>
        <v>24.934756000000004</v>
      </c>
      <c r="Q17" s="72">
        <f t="shared" si="7"/>
        <v>3.5621080000000003</v>
      </c>
      <c r="R17" s="25">
        <f t="shared" si="8"/>
        <v>0.7124216000000001</v>
      </c>
      <c r="S17" s="72">
        <f t="shared" si="9"/>
        <v>1.5281443320000003</v>
      </c>
      <c r="T17" s="72">
        <f t="shared" si="10"/>
        <v>2.1158921520000002</v>
      </c>
      <c r="U17" s="72">
        <f t="shared" si="11"/>
        <v>1.9983425879999999</v>
      </c>
      <c r="V17" s="72">
        <f t="shared" si="12"/>
        <v>0.29387391000000002</v>
      </c>
      <c r="W17" s="72">
        <f t="shared" si="13"/>
        <v>5.8774782000000012E-2</v>
      </c>
      <c r="X17" s="72">
        <f t="shared" si="14"/>
        <v>2.2334417160000006</v>
      </c>
      <c r="Y17" s="72">
        <f t="shared" si="15"/>
        <v>3.0562886640000007</v>
      </c>
      <c r="Z17" s="72">
        <f t="shared" si="16"/>
        <v>2.1158921520000002</v>
      </c>
      <c r="AA17" s="72">
        <f t="shared" si="17"/>
        <v>0</v>
      </c>
      <c r="AB17" s="72">
        <f t="shared" si="18"/>
        <v>0</v>
      </c>
      <c r="AC17" s="91">
        <f t="shared" si="19"/>
        <v>17.611061952</v>
      </c>
      <c r="AD17" s="91">
        <f t="shared" si="20"/>
        <v>34.011007184000007</v>
      </c>
      <c r="AE17" s="91">
        <f t="shared" si="21"/>
        <v>20.820521260000003</v>
      </c>
      <c r="AF17" s="91">
        <f t="shared" si="22"/>
        <v>3.2682340900000004</v>
      </c>
      <c r="AG17" s="91">
        <f t="shared" si="23"/>
        <v>0.65364681800000013</v>
      </c>
      <c r="AH17" s="39">
        <f t="shared" si="24"/>
        <v>343.19665199999997</v>
      </c>
      <c r="AI17" s="77">
        <f t="shared" si="25"/>
        <v>629.19386199999997</v>
      </c>
      <c r="AJ17" s="77">
        <f t="shared" si="26"/>
        <v>400.39609400000006</v>
      </c>
      <c r="AK17" s="77">
        <f t="shared" si="27"/>
        <v>57.199441999999991</v>
      </c>
      <c r="AL17" s="26">
        <f t="shared" si="28"/>
        <v>11.439888400000001</v>
      </c>
      <c r="AM17" s="27">
        <v>0.9</v>
      </c>
      <c r="AN17" s="27">
        <v>0.75</v>
      </c>
      <c r="AO17" s="27">
        <v>0.9</v>
      </c>
      <c r="AP17" s="27">
        <v>0.1</v>
      </c>
      <c r="AQ17" s="27">
        <v>0.1</v>
      </c>
      <c r="AR17" s="26">
        <f t="shared" si="29"/>
        <v>310.25231669879997</v>
      </c>
      <c r="AS17" s="26">
        <f t="shared" si="30"/>
        <v>473.48231561399996</v>
      </c>
      <c r="AT17" s="26">
        <f t="shared" si="31"/>
        <v>362.15499292920009</v>
      </c>
      <c r="AU17" s="26">
        <f t="shared" si="32"/>
        <v>5.7493315909999998</v>
      </c>
      <c r="AV17" s="26">
        <f t="shared" si="33"/>
        <v>1.1498663182000002</v>
      </c>
      <c r="AW17" s="26">
        <f t="shared" si="34"/>
        <v>34.47247963320001</v>
      </c>
      <c r="AX17" s="26">
        <f t="shared" si="35"/>
        <v>157.82743853800002</v>
      </c>
      <c r="AY17" s="26">
        <f t="shared" si="36"/>
        <v>40.239443658799985</v>
      </c>
      <c r="AZ17" s="26">
        <f t="shared" si="37"/>
        <v>51.743984318999992</v>
      </c>
      <c r="BA17" s="40">
        <f t="shared" si="38"/>
        <v>10.348796863800001</v>
      </c>
      <c r="BB17" s="37">
        <f t="shared" si="39"/>
        <v>364.5693</v>
      </c>
      <c r="BC17" s="28">
        <f t="shared" si="40"/>
        <v>668.37704999999994</v>
      </c>
      <c r="BD17" s="28">
        <f t="shared" si="41"/>
        <v>425.33085000000005</v>
      </c>
      <c r="BE17" s="29">
        <f t="shared" si="42"/>
        <v>60.761549999999993</v>
      </c>
      <c r="BF17" s="29">
        <f t="shared" si="43"/>
        <v>12.152310000000002</v>
      </c>
      <c r="BG17" s="28">
        <f t="shared" si="44"/>
        <v>52.08354158520001</v>
      </c>
      <c r="BH17" s="28">
        <f t="shared" si="45"/>
        <v>191.83844572200002</v>
      </c>
      <c r="BI17" s="28">
        <f t="shared" si="46"/>
        <v>61.059964918799992</v>
      </c>
      <c r="BJ17" s="29">
        <f t="shared" si="47"/>
        <v>55.012218408999992</v>
      </c>
      <c r="BK17" s="29">
        <f t="shared" si="48"/>
        <v>11.002443681800001</v>
      </c>
      <c r="BL17" s="28">
        <f t="shared" si="49"/>
        <v>312.48575841479999</v>
      </c>
      <c r="BM17" s="28">
        <f t="shared" si="50"/>
        <v>476.53860427799998</v>
      </c>
      <c r="BN17" s="28">
        <f t="shared" si="51"/>
        <v>364.27088508120011</v>
      </c>
      <c r="BO17" s="29">
        <f t="shared" si="52"/>
        <v>5.7493315909999998</v>
      </c>
      <c r="BP17" s="30">
        <f t="shared" si="53"/>
        <v>1.1498663182000002</v>
      </c>
      <c r="BQ17" s="10">
        <v>0</v>
      </c>
      <c r="BR17" s="6">
        <v>0</v>
      </c>
      <c r="BS17" t="s">
        <v>3</v>
      </c>
    </row>
    <row r="18" spans="1:71" x14ac:dyDescent="0.25">
      <c r="A18" s="18"/>
      <c r="B18" s="18">
        <v>31</v>
      </c>
      <c r="C18" s="19" t="s">
        <v>71</v>
      </c>
      <c r="D18" s="60">
        <v>6979</v>
      </c>
      <c r="E18" s="47" t="s">
        <v>142</v>
      </c>
      <c r="F18" s="13" t="s">
        <v>206</v>
      </c>
      <c r="G18" s="53">
        <v>8806</v>
      </c>
      <c r="H18" s="53">
        <v>0</v>
      </c>
      <c r="I18" s="50">
        <f t="shared" si="0"/>
        <v>8806</v>
      </c>
      <c r="J18" s="45">
        <v>0.83</v>
      </c>
      <c r="K18" s="65">
        <f t="shared" si="1"/>
        <v>7308.98</v>
      </c>
      <c r="L18" s="66">
        <f t="shared" si="2"/>
        <v>0.17000000000000004</v>
      </c>
      <c r="M18" s="67">
        <f t="shared" si="3"/>
        <v>1497.0200000000004</v>
      </c>
      <c r="N18" s="43">
        <f t="shared" si="4"/>
        <v>32.784738000000011</v>
      </c>
      <c r="O18" s="92">
        <f t="shared" si="5"/>
        <v>60.105353000000015</v>
      </c>
      <c r="P18" s="72">
        <f t="shared" si="6"/>
        <v>38.248861000000005</v>
      </c>
      <c r="Q18" s="72">
        <f t="shared" si="7"/>
        <v>5.4641230000000016</v>
      </c>
      <c r="R18" s="25">
        <f t="shared" si="8"/>
        <v>1.0928246000000004</v>
      </c>
      <c r="S18" s="72">
        <f t="shared" si="9"/>
        <v>2.3441087670000007</v>
      </c>
      <c r="T18" s="72">
        <f t="shared" si="10"/>
        <v>3.2456890620000012</v>
      </c>
      <c r="U18" s="72">
        <f t="shared" si="11"/>
        <v>3.0653730030000013</v>
      </c>
      <c r="V18" s="72">
        <f t="shared" si="12"/>
        <v>0.45079014750000018</v>
      </c>
      <c r="W18" s="72">
        <f t="shared" si="13"/>
        <v>9.0158029500000028E-2</v>
      </c>
      <c r="X18" s="72">
        <f t="shared" si="14"/>
        <v>3.4260051210000011</v>
      </c>
      <c r="Y18" s="72">
        <f t="shared" si="15"/>
        <v>4.6882175340000014</v>
      </c>
      <c r="Z18" s="72">
        <f t="shared" si="16"/>
        <v>3.2456890620000012</v>
      </c>
      <c r="AA18" s="72">
        <f t="shared" si="17"/>
        <v>0</v>
      </c>
      <c r="AB18" s="72">
        <f t="shared" si="18"/>
        <v>0</v>
      </c>
      <c r="AC18" s="91">
        <f t="shared" si="19"/>
        <v>27.014624112000007</v>
      </c>
      <c r="AD18" s="91">
        <f t="shared" si="20"/>
        <v>52.171446404000008</v>
      </c>
      <c r="AE18" s="91">
        <f t="shared" si="21"/>
        <v>31.937798935</v>
      </c>
      <c r="AF18" s="91">
        <f t="shared" si="22"/>
        <v>5.0133328525000014</v>
      </c>
      <c r="AG18" s="91">
        <f t="shared" si="23"/>
        <v>1.0026665705000004</v>
      </c>
      <c r="AH18" s="39">
        <f t="shared" si="24"/>
        <v>160.06666200000001</v>
      </c>
      <c r="AI18" s="77">
        <f t="shared" si="25"/>
        <v>293.45554700000002</v>
      </c>
      <c r="AJ18" s="77">
        <f t="shared" si="26"/>
        <v>186.744439</v>
      </c>
      <c r="AK18" s="77">
        <f t="shared" si="27"/>
        <v>26.677776999999995</v>
      </c>
      <c r="AL18" s="26">
        <f t="shared" si="28"/>
        <v>5.3355553999999996</v>
      </c>
      <c r="AM18" s="27">
        <v>0.9</v>
      </c>
      <c r="AN18" s="27">
        <v>0.75</v>
      </c>
      <c r="AO18" s="27">
        <v>0.9</v>
      </c>
      <c r="AP18" s="27">
        <v>0.1</v>
      </c>
      <c r="AQ18" s="27">
        <v>0.1</v>
      </c>
      <c r="AR18" s="26">
        <f t="shared" si="29"/>
        <v>146.16969369029999</v>
      </c>
      <c r="AS18" s="26">
        <f t="shared" si="30"/>
        <v>222.52592704650002</v>
      </c>
      <c r="AT18" s="26">
        <f t="shared" si="31"/>
        <v>170.8288308027</v>
      </c>
      <c r="AU18" s="26">
        <f t="shared" si="32"/>
        <v>2.71285671475</v>
      </c>
      <c r="AV18" s="26">
        <f t="shared" si="33"/>
        <v>0.54257134294999998</v>
      </c>
      <c r="AW18" s="26">
        <f t="shared" si="34"/>
        <v>16.241077076700009</v>
      </c>
      <c r="AX18" s="26">
        <f t="shared" si="35"/>
        <v>74.175309015500005</v>
      </c>
      <c r="AY18" s="26">
        <f t="shared" si="36"/>
        <v>18.980981200299993</v>
      </c>
      <c r="AZ18" s="26">
        <f t="shared" si="37"/>
        <v>24.415710432749997</v>
      </c>
      <c r="BA18" s="40">
        <f t="shared" si="38"/>
        <v>4.8831420865500004</v>
      </c>
      <c r="BB18" s="37">
        <f t="shared" si="39"/>
        <v>192.85140000000001</v>
      </c>
      <c r="BC18" s="28">
        <f t="shared" si="40"/>
        <v>353.56090000000006</v>
      </c>
      <c r="BD18" s="28">
        <f t="shared" si="41"/>
        <v>224.9933</v>
      </c>
      <c r="BE18" s="29">
        <f t="shared" si="42"/>
        <v>32.1419</v>
      </c>
      <c r="BF18" s="29">
        <f t="shared" si="43"/>
        <v>6.4283799999999998</v>
      </c>
      <c r="BG18" s="28">
        <f t="shared" si="44"/>
        <v>43.255701188700016</v>
      </c>
      <c r="BH18" s="28">
        <f t="shared" si="45"/>
        <v>126.34675541950001</v>
      </c>
      <c r="BI18" s="28">
        <f t="shared" si="46"/>
        <v>50.918780135299997</v>
      </c>
      <c r="BJ18" s="29">
        <f t="shared" si="47"/>
        <v>29.429043285249996</v>
      </c>
      <c r="BK18" s="29">
        <f t="shared" si="48"/>
        <v>5.885808657050001</v>
      </c>
      <c r="BL18" s="28">
        <f t="shared" si="49"/>
        <v>149.5956988113</v>
      </c>
      <c r="BM18" s="28">
        <f t="shared" si="50"/>
        <v>227.2141445805</v>
      </c>
      <c r="BN18" s="28">
        <f t="shared" si="51"/>
        <v>174.07451986469999</v>
      </c>
      <c r="BO18" s="29">
        <f t="shared" si="52"/>
        <v>2.71285671475</v>
      </c>
      <c r="BP18" s="30">
        <f t="shared" si="53"/>
        <v>0.54257134294999998</v>
      </c>
      <c r="BQ18" s="10">
        <f>661100*0.6+26400+33000</f>
        <v>456060</v>
      </c>
      <c r="BR18" s="6" t="s">
        <v>6</v>
      </c>
      <c r="BS18" t="s">
        <v>132</v>
      </c>
    </row>
    <row r="19" spans="1:71" s="3" customFormat="1" x14ac:dyDescent="0.25">
      <c r="A19" s="18"/>
      <c r="B19" s="18">
        <v>32</v>
      </c>
      <c r="C19" s="19" t="s">
        <v>72</v>
      </c>
      <c r="D19" s="60">
        <v>6110</v>
      </c>
      <c r="E19" s="47" t="s">
        <v>143</v>
      </c>
      <c r="F19" s="13" t="s">
        <v>206</v>
      </c>
      <c r="G19" s="53">
        <v>4970</v>
      </c>
      <c r="H19" s="53">
        <v>2421</v>
      </c>
      <c r="I19" s="50">
        <f t="shared" si="0"/>
        <v>7391</v>
      </c>
      <c r="J19" s="45">
        <v>0.7</v>
      </c>
      <c r="K19" s="65">
        <f t="shared" si="1"/>
        <v>3479</v>
      </c>
      <c r="L19" s="66">
        <f t="shared" si="2"/>
        <v>0.30000000000000004</v>
      </c>
      <c r="M19" s="67">
        <f t="shared" si="3"/>
        <v>1491</v>
      </c>
      <c r="N19" s="43">
        <f t="shared" si="4"/>
        <v>32.652900000000002</v>
      </c>
      <c r="O19" s="92">
        <f t="shared" si="5"/>
        <v>59.86365</v>
      </c>
      <c r="P19" s="72">
        <f t="shared" si="6"/>
        <v>38.095050000000001</v>
      </c>
      <c r="Q19" s="72">
        <f t="shared" si="7"/>
        <v>5.4421499999999998</v>
      </c>
      <c r="R19" s="25">
        <f t="shared" si="8"/>
        <v>1.08843</v>
      </c>
      <c r="S19" s="72">
        <f t="shared" si="9"/>
        <v>2.33468235</v>
      </c>
      <c r="T19" s="72">
        <f t="shared" si="10"/>
        <v>3.2326371000000003</v>
      </c>
      <c r="U19" s="72">
        <f t="shared" si="11"/>
        <v>3.0530461500000001</v>
      </c>
      <c r="V19" s="72">
        <f t="shared" si="12"/>
        <v>0.44897737500000001</v>
      </c>
      <c r="W19" s="72">
        <f t="shared" si="13"/>
        <v>8.9795475E-2</v>
      </c>
      <c r="X19" s="72">
        <f t="shared" si="14"/>
        <v>3.4122280500000004</v>
      </c>
      <c r="Y19" s="72">
        <f t="shared" si="15"/>
        <v>4.6693647</v>
      </c>
      <c r="Z19" s="72">
        <f t="shared" si="16"/>
        <v>3.2326371000000003</v>
      </c>
      <c r="AA19" s="72">
        <f t="shared" si="17"/>
        <v>0</v>
      </c>
      <c r="AB19" s="72">
        <f t="shared" si="18"/>
        <v>0</v>
      </c>
      <c r="AC19" s="91">
        <f t="shared" si="19"/>
        <v>26.905989600000002</v>
      </c>
      <c r="AD19" s="91">
        <f t="shared" si="20"/>
        <v>51.961648199999999</v>
      </c>
      <c r="AE19" s="91">
        <f t="shared" si="21"/>
        <v>31.809366749999999</v>
      </c>
      <c r="AF19" s="91">
        <f t="shared" si="22"/>
        <v>4.9931726249999997</v>
      </c>
      <c r="AG19" s="91">
        <f t="shared" si="23"/>
        <v>0.99863452500000005</v>
      </c>
      <c r="AH19" s="39">
        <f t="shared" si="24"/>
        <v>129.21</v>
      </c>
      <c r="AI19" s="77">
        <f t="shared" si="25"/>
        <v>236.88499999999999</v>
      </c>
      <c r="AJ19" s="77">
        <f t="shared" si="26"/>
        <v>150.745</v>
      </c>
      <c r="AK19" s="77">
        <f t="shared" si="27"/>
        <v>21.535</v>
      </c>
      <c r="AL19" s="26">
        <f t="shared" si="28"/>
        <v>4.3070000000000004</v>
      </c>
      <c r="AM19" s="27">
        <v>0.9</v>
      </c>
      <c r="AN19" s="27">
        <v>0.75</v>
      </c>
      <c r="AO19" s="27">
        <v>0.9</v>
      </c>
      <c r="AP19" s="27">
        <v>0.1</v>
      </c>
      <c r="AQ19" s="27">
        <v>0.1</v>
      </c>
      <c r="AR19" s="26">
        <f t="shared" si="29"/>
        <v>118.39021411500002</v>
      </c>
      <c r="AS19" s="26">
        <f t="shared" si="30"/>
        <v>180.08822782499999</v>
      </c>
      <c r="AT19" s="26">
        <f t="shared" si="31"/>
        <v>138.41824153500002</v>
      </c>
      <c r="AU19" s="26">
        <f t="shared" si="32"/>
        <v>2.1983977375000001</v>
      </c>
      <c r="AV19" s="26">
        <f t="shared" si="33"/>
        <v>0.43967954750000005</v>
      </c>
      <c r="AW19" s="26">
        <f t="shared" si="34"/>
        <v>13.154468234999996</v>
      </c>
      <c r="AX19" s="26">
        <f t="shared" si="35"/>
        <v>60.029409275000006</v>
      </c>
      <c r="AY19" s="26">
        <f t="shared" si="36"/>
        <v>15.379804614999983</v>
      </c>
      <c r="AZ19" s="26">
        <f t="shared" si="37"/>
        <v>19.7855796375</v>
      </c>
      <c r="BA19" s="40">
        <f t="shared" si="38"/>
        <v>3.9571159275000003</v>
      </c>
      <c r="BB19" s="37">
        <f t="shared" si="39"/>
        <v>161.86290000000002</v>
      </c>
      <c r="BC19" s="28">
        <f t="shared" si="40"/>
        <v>296.74865</v>
      </c>
      <c r="BD19" s="28">
        <f t="shared" si="41"/>
        <v>188.84005000000002</v>
      </c>
      <c r="BE19" s="29">
        <f t="shared" si="42"/>
        <v>26.977150000000002</v>
      </c>
      <c r="BF19" s="29">
        <f t="shared" si="43"/>
        <v>5.3954300000000002</v>
      </c>
      <c r="BG19" s="28">
        <f t="shared" si="44"/>
        <v>40.060457834999994</v>
      </c>
      <c r="BH19" s="28">
        <f t="shared" si="45"/>
        <v>111.99105747500001</v>
      </c>
      <c r="BI19" s="28">
        <f t="shared" si="46"/>
        <v>47.189171364999979</v>
      </c>
      <c r="BJ19" s="29">
        <f t="shared" si="47"/>
        <v>24.778752262499999</v>
      </c>
      <c r="BK19" s="29">
        <f t="shared" si="48"/>
        <v>4.9557504525000002</v>
      </c>
      <c r="BL19" s="28">
        <f t="shared" si="49"/>
        <v>121.80244216500002</v>
      </c>
      <c r="BM19" s="28">
        <f t="shared" si="50"/>
        <v>184.75759252499998</v>
      </c>
      <c r="BN19" s="28">
        <f t="shared" si="51"/>
        <v>141.65087863500003</v>
      </c>
      <c r="BO19" s="29">
        <f t="shared" si="52"/>
        <v>2.1983977375000001</v>
      </c>
      <c r="BP19" s="30">
        <f t="shared" si="53"/>
        <v>0.43967954750000005</v>
      </c>
      <c r="BQ19" s="10">
        <f>199232+189399</f>
        <v>388631</v>
      </c>
      <c r="BR19" s="6">
        <v>0</v>
      </c>
      <c r="BS19" t="s">
        <v>128</v>
      </c>
    </row>
    <row r="20" spans="1:71" ht="45" x14ac:dyDescent="0.25">
      <c r="A20" s="18"/>
      <c r="B20" s="18">
        <v>34</v>
      </c>
      <c r="C20" s="19" t="s">
        <v>76</v>
      </c>
      <c r="D20" s="60">
        <v>5990</v>
      </c>
      <c r="E20" s="57" t="s">
        <v>177</v>
      </c>
      <c r="F20" s="14" t="s">
        <v>206</v>
      </c>
      <c r="G20" s="53">
        <v>4382</v>
      </c>
      <c r="H20" s="53">
        <v>0</v>
      </c>
      <c r="I20" s="50">
        <f t="shared" si="0"/>
        <v>4382</v>
      </c>
      <c r="J20" s="45">
        <v>0.77</v>
      </c>
      <c r="K20" s="65">
        <f t="shared" si="1"/>
        <v>3374.14</v>
      </c>
      <c r="L20" s="66">
        <f t="shared" si="2"/>
        <v>0.22999999999999998</v>
      </c>
      <c r="M20" s="67">
        <f t="shared" si="3"/>
        <v>1007.8600000000001</v>
      </c>
      <c r="N20" s="43">
        <f t="shared" si="4"/>
        <v>22.072134000000005</v>
      </c>
      <c r="O20" s="92">
        <f t="shared" si="5"/>
        <v>40.465579000000005</v>
      </c>
      <c r="P20" s="72">
        <f t="shared" si="6"/>
        <v>25.750823000000004</v>
      </c>
      <c r="Q20" s="72">
        <f t="shared" si="7"/>
        <v>3.6786890000000008</v>
      </c>
      <c r="R20" s="25">
        <f t="shared" si="8"/>
        <v>0.7357378</v>
      </c>
      <c r="S20" s="72">
        <f t="shared" si="9"/>
        <v>1.5781575810000006</v>
      </c>
      <c r="T20" s="72">
        <f t="shared" si="10"/>
        <v>2.1851412660000005</v>
      </c>
      <c r="U20" s="72">
        <f t="shared" si="11"/>
        <v>2.063744529</v>
      </c>
      <c r="V20" s="72">
        <f t="shared" si="12"/>
        <v>0.30349184250000005</v>
      </c>
      <c r="W20" s="72">
        <f t="shared" si="13"/>
        <v>6.0698368500000002E-2</v>
      </c>
      <c r="X20" s="72">
        <f t="shared" si="14"/>
        <v>2.3065380030000004</v>
      </c>
      <c r="Y20" s="72">
        <f t="shared" si="15"/>
        <v>3.1563151620000012</v>
      </c>
      <c r="Z20" s="72">
        <f t="shared" si="16"/>
        <v>2.1851412660000005</v>
      </c>
      <c r="AA20" s="72">
        <f t="shared" si="17"/>
        <v>0</v>
      </c>
      <c r="AB20" s="72">
        <f t="shared" si="18"/>
        <v>0</v>
      </c>
      <c r="AC20" s="91">
        <f t="shared" si="19"/>
        <v>18.187438416000006</v>
      </c>
      <c r="AD20" s="91">
        <f t="shared" si="20"/>
        <v>35.124122572000005</v>
      </c>
      <c r="AE20" s="91">
        <f t="shared" si="21"/>
        <v>21.501937205000004</v>
      </c>
      <c r="AF20" s="91">
        <f t="shared" si="22"/>
        <v>3.3751971575000006</v>
      </c>
      <c r="AG20" s="91">
        <f t="shared" si="23"/>
        <v>0.67503943150000001</v>
      </c>
      <c r="AH20" s="39">
        <f t="shared" si="24"/>
        <v>73.893665999999996</v>
      </c>
      <c r="AI20" s="77">
        <f t="shared" si="25"/>
        <v>135.471721</v>
      </c>
      <c r="AJ20" s="77">
        <f t="shared" si="26"/>
        <v>86.209277</v>
      </c>
      <c r="AK20" s="77">
        <f t="shared" si="27"/>
        <v>12.315611000000001</v>
      </c>
      <c r="AL20" s="26">
        <f t="shared" si="28"/>
        <v>2.4631221999999999</v>
      </c>
      <c r="AM20" s="27">
        <v>0.9</v>
      </c>
      <c r="AN20" s="27">
        <v>0.75</v>
      </c>
      <c r="AO20" s="27">
        <v>0.9</v>
      </c>
      <c r="AP20" s="27">
        <v>0.1</v>
      </c>
      <c r="AQ20" s="27">
        <v>0.1</v>
      </c>
      <c r="AR20" s="26">
        <f t="shared" si="29"/>
        <v>67.924641222899993</v>
      </c>
      <c r="AS20" s="26">
        <f t="shared" si="30"/>
        <v>103.2426466995</v>
      </c>
      <c r="AT20" s="26">
        <f t="shared" si="31"/>
        <v>79.445719376100001</v>
      </c>
      <c r="AU20" s="26">
        <f t="shared" si="32"/>
        <v>1.2619102842500001</v>
      </c>
      <c r="AV20" s="26">
        <f t="shared" si="33"/>
        <v>0.25238205685000004</v>
      </c>
      <c r="AW20" s="26">
        <f t="shared" si="34"/>
        <v>7.5471823581000024</v>
      </c>
      <c r="AX20" s="26">
        <f t="shared" si="35"/>
        <v>34.41421556649999</v>
      </c>
      <c r="AY20" s="26">
        <f t="shared" si="36"/>
        <v>8.8273021529000033</v>
      </c>
      <c r="AZ20" s="26">
        <f t="shared" si="37"/>
        <v>11.35719255825</v>
      </c>
      <c r="BA20" s="40">
        <f t="shared" si="38"/>
        <v>2.27143851165</v>
      </c>
      <c r="BB20" s="37">
        <f t="shared" si="39"/>
        <v>95.965800000000002</v>
      </c>
      <c r="BC20" s="28">
        <f t="shared" si="40"/>
        <v>175.93729999999999</v>
      </c>
      <c r="BD20" s="28">
        <f t="shared" si="41"/>
        <v>111.96010000000001</v>
      </c>
      <c r="BE20" s="29">
        <f t="shared" si="42"/>
        <v>15.994300000000001</v>
      </c>
      <c r="BF20" s="29">
        <f t="shared" si="43"/>
        <v>3.1988599999999998</v>
      </c>
      <c r="BG20" s="28">
        <f t="shared" si="44"/>
        <v>25.734620774100009</v>
      </c>
      <c r="BH20" s="28">
        <f t="shared" si="45"/>
        <v>69.538338138499995</v>
      </c>
      <c r="BI20" s="28">
        <f t="shared" si="46"/>
        <v>30.329239357900008</v>
      </c>
      <c r="BJ20" s="29">
        <f t="shared" si="47"/>
        <v>14.732389715750001</v>
      </c>
      <c r="BK20" s="29">
        <f t="shared" si="48"/>
        <v>2.9464779431500001</v>
      </c>
      <c r="BL20" s="28">
        <f t="shared" si="49"/>
        <v>70.231179225899993</v>
      </c>
      <c r="BM20" s="28">
        <f t="shared" si="50"/>
        <v>106.3989618615</v>
      </c>
      <c r="BN20" s="28">
        <f t="shared" si="51"/>
        <v>81.630860642100004</v>
      </c>
      <c r="BO20" s="29">
        <f t="shared" si="52"/>
        <v>1.2619102842500001</v>
      </c>
      <c r="BP20" s="30">
        <f t="shared" si="53"/>
        <v>0.25238205685000004</v>
      </c>
      <c r="BQ20" s="10">
        <v>0</v>
      </c>
      <c r="BR20" s="6">
        <v>913100</v>
      </c>
      <c r="BS20" t="s">
        <v>128</v>
      </c>
    </row>
    <row r="21" spans="1:71" ht="30" x14ac:dyDescent="0.25">
      <c r="A21" s="18"/>
      <c r="B21" s="18">
        <v>43</v>
      </c>
      <c r="C21" s="19" t="s">
        <v>84</v>
      </c>
      <c r="D21" s="60">
        <v>3819</v>
      </c>
      <c r="E21" s="57" t="s">
        <v>147</v>
      </c>
      <c r="F21" s="14" t="s">
        <v>206</v>
      </c>
      <c r="G21" s="53">
        <v>4298</v>
      </c>
      <c r="H21" s="54">
        <v>0</v>
      </c>
      <c r="I21" s="50">
        <f t="shared" si="0"/>
        <v>4298</v>
      </c>
      <c r="J21" s="45">
        <v>0.4</v>
      </c>
      <c r="K21" s="65">
        <f t="shared" si="1"/>
        <v>1719.2</v>
      </c>
      <c r="L21" s="66">
        <f t="shared" si="2"/>
        <v>0.6</v>
      </c>
      <c r="M21" s="67">
        <f t="shared" si="3"/>
        <v>2578.8000000000002</v>
      </c>
      <c r="N21" s="43">
        <f t="shared" si="4"/>
        <v>56.475720000000003</v>
      </c>
      <c r="O21" s="92">
        <f t="shared" si="5"/>
        <v>103.53882</v>
      </c>
      <c r="P21" s="72">
        <f t="shared" si="6"/>
        <v>65.888339999999999</v>
      </c>
      <c r="Q21" s="72">
        <f t="shared" si="7"/>
        <v>9.4126200000000004</v>
      </c>
      <c r="R21" s="25">
        <f t="shared" si="8"/>
        <v>1.8825240000000003</v>
      </c>
      <c r="S21" s="72">
        <f t="shared" si="9"/>
        <v>4.0380139800000006</v>
      </c>
      <c r="T21" s="72">
        <f t="shared" si="10"/>
        <v>5.5910962800000004</v>
      </c>
      <c r="U21" s="72">
        <f t="shared" si="11"/>
        <v>5.2804798200000009</v>
      </c>
      <c r="V21" s="72">
        <f t="shared" si="12"/>
        <v>0.77654115000000012</v>
      </c>
      <c r="W21" s="72">
        <f t="shared" si="13"/>
        <v>0.15530823000000002</v>
      </c>
      <c r="X21" s="72">
        <f t="shared" si="14"/>
        <v>5.9017127399999998</v>
      </c>
      <c r="Y21" s="72">
        <f t="shared" si="15"/>
        <v>8.0760279600000011</v>
      </c>
      <c r="Z21" s="72">
        <f t="shared" si="16"/>
        <v>5.5910962800000004</v>
      </c>
      <c r="AA21" s="72">
        <f t="shared" si="17"/>
        <v>0</v>
      </c>
      <c r="AB21" s="72">
        <f t="shared" si="18"/>
        <v>0</v>
      </c>
      <c r="AC21" s="91">
        <f t="shared" si="19"/>
        <v>46.53599328</v>
      </c>
      <c r="AD21" s="91">
        <f t="shared" si="20"/>
        <v>89.871695759999994</v>
      </c>
      <c r="AE21" s="91">
        <f t="shared" si="21"/>
        <v>55.016763899999994</v>
      </c>
      <c r="AF21" s="91">
        <f t="shared" si="22"/>
        <v>8.6360788500000005</v>
      </c>
      <c r="AG21" s="91">
        <f t="shared" si="23"/>
        <v>1.7272157700000004</v>
      </c>
      <c r="AH21" s="39">
        <f t="shared" si="24"/>
        <v>37.650480000000002</v>
      </c>
      <c r="AI21" s="77">
        <f t="shared" si="25"/>
        <v>69.025880000000001</v>
      </c>
      <c r="AJ21" s="77">
        <f t="shared" si="26"/>
        <v>43.925559999999997</v>
      </c>
      <c r="AK21" s="77">
        <f t="shared" si="27"/>
        <v>6.27508</v>
      </c>
      <c r="AL21" s="26">
        <f t="shared" si="28"/>
        <v>1.2550159999999999</v>
      </c>
      <c r="AM21" s="27">
        <v>0.9</v>
      </c>
      <c r="AN21" s="27">
        <v>0.75</v>
      </c>
      <c r="AO21" s="27">
        <v>0.9</v>
      </c>
      <c r="AP21" s="27">
        <v>0.1</v>
      </c>
      <c r="AQ21" s="27">
        <v>0.1</v>
      </c>
      <c r="AR21" s="26">
        <f t="shared" si="29"/>
        <v>37.519644582000005</v>
      </c>
      <c r="AS21" s="26">
        <f t="shared" si="30"/>
        <v>55.962732209999999</v>
      </c>
      <c r="AT21" s="26">
        <f t="shared" si="31"/>
        <v>44.285435838000005</v>
      </c>
      <c r="AU21" s="26">
        <f t="shared" si="32"/>
        <v>0.70516211500000003</v>
      </c>
      <c r="AV21" s="26">
        <f t="shared" si="33"/>
        <v>0.14103242299999999</v>
      </c>
      <c r="AW21" s="26">
        <f t="shared" si="34"/>
        <v>4.168849397999999</v>
      </c>
      <c r="AX21" s="26">
        <f t="shared" si="35"/>
        <v>18.654244070000004</v>
      </c>
      <c r="AY21" s="26">
        <f t="shared" si="36"/>
        <v>4.9206039819999958</v>
      </c>
      <c r="AZ21" s="26">
        <f t="shared" si="37"/>
        <v>6.3464590349999996</v>
      </c>
      <c r="BA21" s="40">
        <f t="shared" si="38"/>
        <v>1.2692918069999999</v>
      </c>
      <c r="BB21" s="37">
        <f t="shared" si="39"/>
        <v>94.126200000000011</v>
      </c>
      <c r="BC21" s="28">
        <f t="shared" si="40"/>
        <v>172.56470000000002</v>
      </c>
      <c r="BD21" s="28">
        <f t="shared" si="41"/>
        <v>109.81389999999999</v>
      </c>
      <c r="BE21" s="29">
        <f t="shared" si="42"/>
        <v>15.6877</v>
      </c>
      <c r="BF21" s="29">
        <f t="shared" si="43"/>
        <v>3.1375400000000004</v>
      </c>
      <c r="BG21" s="28">
        <f t="shared" si="44"/>
        <v>50.704842677999999</v>
      </c>
      <c r="BH21" s="28">
        <f t="shared" si="45"/>
        <v>108.52593983</v>
      </c>
      <c r="BI21" s="28">
        <f t="shared" si="46"/>
        <v>59.93736788199999</v>
      </c>
      <c r="BJ21" s="29">
        <f t="shared" si="47"/>
        <v>14.982537884999999</v>
      </c>
      <c r="BK21" s="29">
        <f t="shared" si="48"/>
        <v>2.996507577</v>
      </c>
      <c r="BL21" s="28">
        <f t="shared" si="49"/>
        <v>43.421357322000006</v>
      </c>
      <c r="BM21" s="28">
        <f t="shared" si="50"/>
        <v>64.038760170000003</v>
      </c>
      <c r="BN21" s="28">
        <f t="shared" si="51"/>
        <v>49.876532118000007</v>
      </c>
      <c r="BO21" s="29">
        <f t="shared" si="52"/>
        <v>0.70516211500000003</v>
      </c>
      <c r="BP21" s="30">
        <f t="shared" si="53"/>
        <v>0.14103242299999999</v>
      </c>
      <c r="BQ21" s="10">
        <v>1273920</v>
      </c>
      <c r="BR21" s="6">
        <v>317000</v>
      </c>
      <c r="BS21" t="s">
        <v>128</v>
      </c>
    </row>
    <row r="22" spans="1:71" x14ac:dyDescent="0.25">
      <c r="A22" s="18"/>
      <c r="B22" s="18">
        <v>47</v>
      </c>
      <c r="C22" s="19" t="s">
        <v>91</v>
      </c>
      <c r="D22" s="60">
        <v>3343</v>
      </c>
      <c r="E22" s="57" t="s">
        <v>11</v>
      </c>
      <c r="F22" s="14" t="s">
        <v>206</v>
      </c>
      <c r="G22" s="53">
        <v>3978</v>
      </c>
      <c r="H22" s="54">
        <v>81</v>
      </c>
      <c r="I22" s="50">
        <f t="shared" si="0"/>
        <v>4059</v>
      </c>
      <c r="J22" s="45">
        <v>0.44</v>
      </c>
      <c r="K22" s="65">
        <f t="shared" si="1"/>
        <v>1750.32</v>
      </c>
      <c r="L22" s="66">
        <f t="shared" si="2"/>
        <v>0.56000000000000005</v>
      </c>
      <c r="M22" s="67">
        <f t="shared" si="3"/>
        <v>2227.6800000000003</v>
      </c>
      <c r="N22" s="43">
        <f t="shared" si="4"/>
        <v>48.786192000000007</v>
      </c>
      <c r="O22" s="92">
        <f t="shared" si="5"/>
        <v>89.441352000000009</v>
      </c>
      <c r="P22" s="72">
        <f t="shared" si="6"/>
        <v>56.917224000000012</v>
      </c>
      <c r="Q22" s="72">
        <f t="shared" si="7"/>
        <v>8.1310320000000011</v>
      </c>
      <c r="R22" s="25">
        <f t="shared" si="8"/>
        <v>1.6262064000000001</v>
      </c>
      <c r="S22" s="72">
        <f t="shared" si="9"/>
        <v>3.4882127280000006</v>
      </c>
      <c r="T22" s="72">
        <f t="shared" si="10"/>
        <v>4.8298330080000005</v>
      </c>
      <c r="U22" s="72">
        <f t="shared" si="11"/>
        <v>4.5615089520000014</v>
      </c>
      <c r="V22" s="72">
        <f t="shared" si="12"/>
        <v>0.67081014000000017</v>
      </c>
      <c r="W22" s="72">
        <f t="shared" si="13"/>
        <v>0.13416202800000002</v>
      </c>
      <c r="X22" s="72">
        <f t="shared" si="14"/>
        <v>5.0981570640000005</v>
      </c>
      <c r="Y22" s="72">
        <f t="shared" si="15"/>
        <v>6.9764254560000012</v>
      </c>
      <c r="Z22" s="72">
        <f t="shared" si="16"/>
        <v>4.8298330080000005</v>
      </c>
      <c r="AA22" s="72">
        <f t="shared" si="17"/>
        <v>0</v>
      </c>
      <c r="AB22" s="72">
        <f t="shared" si="18"/>
        <v>0</v>
      </c>
      <c r="AC22" s="91">
        <f t="shared" si="19"/>
        <v>40.199822208000008</v>
      </c>
      <c r="AD22" s="91">
        <f t="shared" si="20"/>
        <v>77.635093536000014</v>
      </c>
      <c r="AE22" s="91">
        <f t="shared" si="21"/>
        <v>47.525882040000006</v>
      </c>
      <c r="AF22" s="91">
        <f t="shared" si="22"/>
        <v>7.4602218600000008</v>
      </c>
      <c r="AG22" s="91">
        <f t="shared" si="23"/>
        <v>1.4920443720000001</v>
      </c>
      <c r="AH22" s="39">
        <f t="shared" si="24"/>
        <v>40.105907999999999</v>
      </c>
      <c r="AI22" s="77">
        <f t="shared" si="25"/>
        <v>73.527497999999994</v>
      </c>
      <c r="AJ22" s="77">
        <f t="shared" si="26"/>
        <v>46.790225999999997</v>
      </c>
      <c r="AK22" s="77">
        <f t="shared" si="27"/>
        <v>6.6843180000000002</v>
      </c>
      <c r="AL22" s="26">
        <f t="shared" si="28"/>
        <v>1.3368635999999998</v>
      </c>
      <c r="AM22" s="27">
        <v>0.9</v>
      </c>
      <c r="AN22" s="27">
        <v>0.75</v>
      </c>
      <c r="AO22" s="27">
        <v>0.9</v>
      </c>
      <c r="AP22" s="27">
        <v>0.1</v>
      </c>
      <c r="AQ22" s="27">
        <v>0.1</v>
      </c>
      <c r="AR22" s="26">
        <f t="shared" si="29"/>
        <v>39.234708655200002</v>
      </c>
      <c r="AS22" s="26">
        <f t="shared" si="30"/>
        <v>58.767998255999991</v>
      </c>
      <c r="AT22" s="26">
        <f t="shared" si="31"/>
        <v>46.216561456800001</v>
      </c>
      <c r="AU22" s="26">
        <f t="shared" si="32"/>
        <v>0.73551281400000013</v>
      </c>
      <c r="AV22" s="26">
        <f t="shared" si="33"/>
        <v>0.14710256279999998</v>
      </c>
      <c r="AW22" s="26">
        <f t="shared" si="34"/>
        <v>4.3594120727999979</v>
      </c>
      <c r="AX22" s="26">
        <f t="shared" si="35"/>
        <v>19.589332751999997</v>
      </c>
      <c r="AY22" s="26">
        <f t="shared" si="36"/>
        <v>5.1351734952000001</v>
      </c>
      <c r="AZ22" s="26">
        <f t="shared" si="37"/>
        <v>6.6196153260000008</v>
      </c>
      <c r="BA22" s="40">
        <f t="shared" si="38"/>
        <v>1.3239230651999998</v>
      </c>
      <c r="BB22" s="37">
        <f t="shared" si="39"/>
        <v>88.892099999999999</v>
      </c>
      <c r="BC22" s="28">
        <f t="shared" si="40"/>
        <v>162.96885</v>
      </c>
      <c r="BD22" s="28">
        <f t="shared" si="41"/>
        <v>103.70745000000001</v>
      </c>
      <c r="BE22" s="29">
        <f t="shared" si="42"/>
        <v>14.815350000000002</v>
      </c>
      <c r="BF22" s="29">
        <f t="shared" si="43"/>
        <v>2.9630700000000001</v>
      </c>
      <c r="BG22" s="28">
        <f t="shared" si="44"/>
        <v>44.559234280800005</v>
      </c>
      <c r="BH22" s="28">
        <f t="shared" si="45"/>
        <v>97.224426288000018</v>
      </c>
      <c r="BI22" s="28">
        <f t="shared" si="46"/>
        <v>52.661055535200006</v>
      </c>
      <c r="BJ22" s="29">
        <f t="shared" si="47"/>
        <v>14.079837186000002</v>
      </c>
      <c r="BK22" s="29">
        <f t="shared" si="48"/>
        <v>2.8159674371999999</v>
      </c>
      <c r="BL22" s="28">
        <f t="shared" si="49"/>
        <v>44.332865719200001</v>
      </c>
      <c r="BM22" s="28">
        <f t="shared" si="50"/>
        <v>65.744423711999985</v>
      </c>
      <c r="BN22" s="28">
        <f t="shared" si="51"/>
        <v>51.046394464800002</v>
      </c>
      <c r="BO22" s="29">
        <f t="shared" si="52"/>
        <v>0.73551281400000013</v>
      </c>
      <c r="BP22" s="30">
        <f t="shared" si="53"/>
        <v>0.14710256279999998</v>
      </c>
      <c r="BQ22" s="10">
        <v>763250</v>
      </c>
      <c r="BR22" s="6">
        <v>74000</v>
      </c>
      <c r="BS22" t="s">
        <v>128</v>
      </c>
    </row>
    <row r="23" spans="1:71" x14ac:dyDescent="0.25">
      <c r="A23" s="18"/>
      <c r="B23" s="18">
        <v>50</v>
      </c>
      <c r="C23" s="19" t="s">
        <v>94</v>
      </c>
      <c r="D23" s="60">
        <v>3106</v>
      </c>
      <c r="E23" s="47" t="s">
        <v>149</v>
      </c>
      <c r="F23" s="13" t="s">
        <v>206</v>
      </c>
      <c r="G23" s="53">
        <v>3732</v>
      </c>
      <c r="H23" s="54">
        <v>429</v>
      </c>
      <c r="I23" s="50">
        <f t="shared" si="0"/>
        <v>4161</v>
      </c>
      <c r="J23" s="45">
        <v>0.56999999999999995</v>
      </c>
      <c r="K23" s="65">
        <f t="shared" si="1"/>
        <v>2127.2399999999998</v>
      </c>
      <c r="L23" s="66">
        <f t="shared" si="2"/>
        <v>0.43000000000000005</v>
      </c>
      <c r="M23" s="67">
        <f t="shared" si="3"/>
        <v>1604.7600000000002</v>
      </c>
      <c r="N23" s="43">
        <f t="shared" si="4"/>
        <v>35.144244</v>
      </c>
      <c r="O23" s="92">
        <f t="shared" si="5"/>
        <v>64.431114000000008</v>
      </c>
      <c r="P23" s="72">
        <f t="shared" si="6"/>
        <v>41.001618000000008</v>
      </c>
      <c r="Q23" s="72">
        <f t="shared" si="7"/>
        <v>5.857374000000001</v>
      </c>
      <c r="R23" s="25">
        <f t="shared" si="8"/>
        <v>1.1714748000000001</v>
      </c>
      <c r="S23" s="72">
        <f t="shared" si="9"/>
        <v>2.5128134460000009</v>
      </c>
      <c r="T23" s="72">
        <f t="shared" si="10"/>
        <v>3.4792801560000006</v>
      </c>
      <c r="U23" s="72">
        <f t="shared" si="11"/>
        <v>3.285986814000001</v>
      </c>
      <c r="V23" s="72">
        <f t="shared" si="12"/>
        <v>0.48323335500000009</v>
      </c>
      <c r="W23" s="72">
        <f t="shared" si="13"/>
        <v>9.6646671000000017E-2</v>
      </c>
      <c r="X23" s="72">
        <f t="shared" si="14"/>
        <v>3.6725734980000007</v>
      </c>
      <c r="Y23" s="72">
        <f t="shared" si="15"/>
        <v>5.0256268920000018</v>
      </c>
      <c r="Z23" s="72">
        <f t="shared" si="16"/>
        <v>3.4792801560000006</v>
      </c>
      <c r="AA23" s="72">
        <f t="shared" si="17"/>
        <v>0</v>
      </c>
      <c r="AB23" s="72">
        <f t="shared" si="18"/>
        <v>0</v>
      </c>
      <c r="AC23" s="91">
        <f t="shared" si="19"/>
        <v>28.958857055999996</v>
      </c>
      <c r="AD23" s="91">
        <f t="shared" si="20"/>
        <v>55.926206952000001</v>
      </c>
      <c r="AE23" s="91">
        <f t="shared" si="21"/>
        <v>34.236351030000009</v>
      </c>
      <c r="AF23" s="91">
        <f t="shared" si="22"/>
        <v>5.3741406450000007</v>
      </c>
      <c r="AG23" s="91">
        <f t="shared" si="23"/>
        <v>1.0748281290000001</v>
      </c>
      <c r="AH23" s="39">
        <f t="shared" si="24"/>
        <v>55.981656000000001</v>
      </c>
      <c r="AI23" s="77">
        <f t="shared" si="25"/>
        <v>102.63303599999999</v>
      </c>
      <c r="AJ23" s="77">
        <f t="shared" si="26"/>
        <v>65.311931999999999</v>
      </c>
      <c r="AK23" s="77">
        <f t="shared" si="27"/>
        <v>9.3302759999999996</v>
      </c>
      <c r="AL23" s="26">
        <f t="shared" si="28"/>
        <v>1.8660551999999999</v>
      </c>
      <c r="AM23" s="27">
        <v>0.9</v>
      </c>
      <c r="AN23" s="27">
        <v>0.75</v>
      </c>
      <c r="AO23" s="27">
        <v>0.9</v>
      </c>
      <c r="AP23" s="27">
        <v>0.1</v>
      </c>
      <c r="AQ23" s="27">
        <v>0.1</v>
      </c>
      <c r="AR23" s="26">
        <f t="shared" si="29"/>
        <v>52.645022501400007</v>
      </c>
      <c r="AS23" s="26">
        <f t="shared" si="30"/>
        <v>79.584237116999986</v>
      </c>
      <c r="AT23" s="26">
        <f t="shared" si="31"/>
        <v>61.738126932599997</v>
      </c>
      <c r="AU23" s="26">
        <f t="shared" si="32"/>
        <v>0.98135093549999997</v>
      </c>
      <c r="AV23" s="26">
        <f t="shared" si="33"/>
        <v>0.19627018709999999</v>
      </c>
      <c r="AW23" s="26">
        <f t="shared" si="34"/>
        <v>5.8494469445999968</v>
      </c>
      <c r="AX23" s="26">
        <f t="shared" si="35"/>
        <v>26.528079039000005</v>
      </c>
      <c r="AY23" s="26">
        <f t="shared" si="36"/>
        <v>6.8597918813999996</v>
      </c>
      <c r="AZ23" s="26">
        <f t="shared" si="37"/>
        <v>8.8321584194999989</v>
      </c>
      <c r="BA23" s="40">
        <f t="shared" si="38"/>
        <v>1.7664316839</v>
      </c>
      <c r="BB23" s="37">
        <f t="shared" si="39"/>
        <v>91.125900000000001</v>
      </c>
      <c r="BC23" s="28">
        <f t="shared" si="40"/>
        <v>167.06414999999998</v>
      </c>
      <c r="BD23" s="28">
        <f t="shared" si="41"/>
        <v>106.31355000000001</v>
      </c>
      <c r="BE23" s="29">
        <f t="shared" si="42"/>
        <v>15.187650000000001</v>
      </c>
      <c r="BF23" s="29">
        <f t="shared" si="43"/>
        <v>3.0375300000000003</v>
      </c>
      <c r="BG23" s="28">
        <f t="shared" si="44"/>
        <v>34.808304000599989</v>
      </c>
      <c r="BH23" s="28">
        <f t="shared" si="45"/>
        <v>82.454285991000006</v>
      </c>
      <c r="BI23" s="28">
        <f t="shared" si="46"/>
        <v>41.096142911400008</v>
      </c>
      <c r="BJ23" s="29">
        <f t="shared" si="47"/>
        <v>14.2062990645</v>
      </c>
      <c r="BK23" s="29">
        <f t="shared" si="48"/>
        <v>2.8412598129000002</v>
      </c>
      <c r="BL23" s="28">
        <f t="shared" si="49"/>
        <v>56.317595999400005</v>
      </c>
      <c r="BM23" s="28">
        <f t="shared" si="50"/>
        <v>84.609864008999992</v>
      </c>
      <c r="BN23" s="28">
        <f t="shared" si="51"/>
        <v>65.217407088599998</v>
      </c>
      <c r="BO23" s="29">
        <f t="shared" si="52"/>
        <v>0.98135093549999997</v>
      </c>
      <c r="BP23" s="30">
        <f t="shared" si="53"/>
        <v>0.19627018709999999</v>
      </c>
      <c r="BQ23" s="10">
        <v>996000</v>
      </c>
      <c r="BR23" s="6">
        <v>500000</v>
      </c>
      <c r="BS23" t="s">
        <v>128</v>
      </c>
    </row>
    <row r="24" spans="1:71" x14ac:dyDescent="0.25">
      <c r="A24" s="18"/>
      <c r="B24" s="18">
        <v>54</v>
      </c>
      <c r="C24" s="19" t="s">
        <v>103</v>
      </c>
      <c r="D24" s="60">
        <v>2898</v>
      </c>
      <c r="E24" s="47" t="s">
        <v>184</v>
      </c>
      <c r="F24" s="13" t="s">
        <v>206</v>
      </c>
      <c r="G24" s="53">
        <v>2502</v>
      </c>
      <c r="H24" s="54">
        <v>401</v>
      </c>
      <c r="I24" s="50">
        <f t="shared" si="0"/>
        <v>2903</v>
      </c>
      <c r="J24" s="45">
        <v>0.96</v>
      </c>
      <c r="K24" s="65">
        <f t="shared" si="1"/>
        <v>2401.92</v>
      </c>
      <c r="L24" s="66">
        <f t="shared" si="2"/>
        <v>4.0000000000000036E-2</v>
      </c>
      <c r="M24" s="67">
        <f t="shared" si="3"/>
        <v>100.07999999999993</v>
      </c>
      <c r="N24" s="43">
        <f t="shared" si="4"/>
        <v>2.1917519999999988</v>
      </c>
      <c r="O24" s="92">
        <f t="shared" si="5"/>
        <v>4.0182119999999975</v>
      </c>
      <c r="P24" s="72">
        <f t="shared" si="6"/>
        <v>2.5570439999999981</v>
      </c>
      <c r="Q24" s="72">
        <f t="shared" si="7"/>
        <v>0.36529199999999973</v>
      </c>
      <c r="R24" s="25">
        <f t="shared" si="8"/>
        <v>7.3058399999999954E-2</v>
      </c>
      <c r="S24" s="72">
        <f t="shared" si="9"/>
        <v>0.15671026799999987</v>
      </c>
      <c r="T24" s="72">
        <f t="shared" si="10"/>
        <v>0.21698344799999983</v>
      </c>
      <c r="U24" s="72">
        <f t="shared" si="11"/>
        <v>0.20492881199999988</v>
      </c>
      <c r="V24" s="72">
        <f t="shared" si="12"/>
        <v>3.013658999999998E-2</v>
      </c>
      <c r="W24" s="72">
        <f t="shared" si="13"/>
        <v>6.0273179999999968E-3</v>
      </c>
      <c r="X24" s="72">
        <f t="shared" si="14"/>
        <v>0.22903808399999981</v>
      </c>
      <c r="Y24" s="72">
        <f t="shared" si="15"/>
        <v>0.31342053599999975</v>
      </c>
      <c r="Z24" s="72">
        <f t="shared" si="16"/>
        <v>0.21698344799999983</v>
      </c>
      <c r="AA24" s="72">
        <f t="shared" si="17"/>
        <v>0</v>
      </c>
      <c r="AB24" s="72">
        <f t="shared" si="18"/>
        <v>0</v>
      </c>
      <c r="AC24" s="91">
        <f t="shared" si="19"/>
        <v>1.806003647999999</v>
      </c>
      <c r="AD24" s="91">
        <f t="shared" si="20"/>
        <v>3.487808015999998</v>
      </c>
      <c r="AE24" s="91">
        <f t="shared" si="21"/>
        <v>2.1351317399999985</v>
      </c>
      <c r="AF24" s="91">
        <f t="shared" si="22"/>
        <v>0.33515540999999976</v>
      </c>
      <c r="AG24" s="91">
        <f t="shared" si="23"/>
        <v>6.7031081999999964E-2</v>
      </c>
      <c r="AH24" s="39">
        <f t="shared" si="24"/>
        <v>61.383948000000011</v>
      </c>
      <c r="AI24" s="77">
        <f t="shared" si="25"/>
        <v>112.537238</v>
      </c>
      <c r="AJ24" s="77">
        <f t="shared" si="26"/>
        <v>71.614605999999995</v>
      </c>
      <c r="AK24" s="77">
        <f t="shared" si="27"/>
        <v>10.230658</v>
      </c>
      <c r="AL24" s="26">
        <f t="shared" si="28"/>
        <v>2.0461316000000003</v>
      </c>
      <c r="AM24" s="27">
        <v>0.9</v>
      </c>
      <c r="AN24" s="27">
        <v>0.75</v>
      </c>
      <c r="AO24" s="27">
        <v>0.9</v>
      </c>
      <c r="AP24" s="27">
        <v>0.1</v>
      </c>
      <c r="AQ24" s="27">
        <v>0.1</v>
      </c>
      <c r="AR24" s="26">
        <f t="shared" si="29"/>
        <v>55.386592441200008</v>
      </c>
      <c r="AS24" s="26">
        <f t="shared" si="30"/>
        <v>84.565666085999993</v>
      </c>
      <c r="AT24" s="26">
        <f t="shared" si="31"/>
        <v>64.637581330800003</v>
      </c>
      <c r="AU24" s="26">
        <f t="shared" si="32"/>
        <v>1.026079459</v>
      </c>
      <c r="AV24" s="26">
        <f t="shared" si="33"/>
        <v>0.20521589180000005</v>
      </c>
      <c r="AW24" s="26">
        <f t="shared" si="34"/>
        <v>6.1540658268000001</v>
      </c>
      <c r="AX24" s="26">
        <f t="shared" si="35"/>
        <v>28.188555362000002</v>
      </c>
      <c r="AY24" s="26">
        <f t="shared" si="36"/>
        <v>7.1819534811999972</v>
      </c>
      <c r="AZ24" s="26">
        <f t="shared" si="37"/>
        <v>9.2347151309999997</v>
      </c>
      <c r="BA24" s="40">
        <f t="shared" si="38"/>
        <v>1.8469430262000004</v>
      </c>
      <c r="BB24" s="37">
        <f t="shared" si="39"/>
        <v>63.575700000000012</v>
      </c>
      <c r="BC24" s="28">
        <f t="shared" si="40"/>
        <v>116.55544999999999</v>
      </c>
      <c r="BD24" s="28">
        <f t="shared" si="41"/>
        <v>74.17165</v>
      </c>
      <c r="BE24" s="29">
        <f t="shared" si="42"/>
        <v>10.59595</v>
      </c>
      <c r="BF24" s="29">
        <f t="shared" si="43"/>
        <v>2.1191900000000001</v>
      </c>
      <c r="BG24" s="28">
        <f t="shared" si="44"/>
        <v>7.9600694747999992</v>
      </c>
      <c r="BH24" s="28">
        <f t="shared" si="45"/>
        <v>31.676363378000001</v>
      </c>
      <c r="BI24" s="28">
        <f t="shared" si="46"/>
        <v>9.3170852211999957</v>
      </c>
      <c r="BJ24" s="29">
        <f t="shared" si="47"/>
        <v>9.5698705410000002</v>
      </c>
      <c r="BK24" s="29">
        <f t="shared" si="48"/>
        <v>1.9139741082000004</v>
      </c>
      <c r="BL24" s="28">
        <f t="shared" si="49"/>
        <v>55.615630525200011</v>
      </c>
      <c r="BM24" s="28">
        <f t="shared" si="50"/>
        <v>84.879086621999988</v>
      </c>
      <c r="BN24" s="28">
        <f t="shared" si="51"/>
        <v>64.854564778799997</v>
      </c>
      <c r="BO24" s="29">
        <f t="shared" si="52"/>
        <v>1.026079459</v>
      </c>
      <c r="BP24" s="30">
        <f t="shared" si="53"/>
        <v>0.20521589180000005</v>
      </c>
      <c r="BQ24" s="10">
        <v>0</v>
      </c>
      <c r="BR24" s="6">
        <v>0</v>
      </c>
      <c r="BS24" t="s">
        <v>128</v>
      </c>
    </row>
    <row r="25" spans="1:71" x14ac:dyDescent="0.25">
      <c r="A25" s="18"/>
      <c r="B25" s="18">
        <v>55</v>
      </c>
      <c r="C25" s="19" t="s">
        <v>95</v>
      </c>
      <c r="D25" s="60">
        <v>2873</v>
      </c>
      <c r="E25" s="47" t="s">
        <v>11</v>
      </c>
      <c r="F25" s="13" t="s">
        <v>206</v>
      </c>
      <c r="G25" s="53">
        <v>2895</v>
      </c>
      <c r="H25" s="54">
        <v>200</v>
      </c>
      <c r="I25" s="50">
        <f t="shared" si="0"/>
        <v>3095</v>
      </c>
      <c r="J25" s="45">
        <v>0.52</v>
      </c>
      <c r="K25" s="65">
        <f t="shared" si="1"/>
        <v>1505.4</v>
      </c>
      <c r="L25" s="66">
        <f t="shared" si="2"/>
        <v>0.48</v>
      </c>
      <c r="M25" s="67">
        <f t="shared" si="3"/>
        <v>1389.6</v>
      </c>
      <c r="N25" s="43">
        <f t="shared" si="4"/>
        <v>30.43224</v>
      </c>
      <c r="O25" s="92">
        <f t="shared" si="5"/>
        <v>55.792439999999999</v>
      </c>
      <c r="P25" s="72">
        <f t="shared" si="6"/>
        <v>35.504280000000001</v>
      </c>
      <c r="Q25" s="72">
        <f t="shared" si="7"/>
        <v>5.0720400000000003</v>
      </c>
      <c r="R25" s="25">
        <f t="shared" si="8"/>
        <v>1.014408</v>
      </c>
      <c r="S25" s="72">
        <f t="shared" si="9"/>
        <v>2.1759051600000001</v>
      </c>
      <c r="T25" s="72">
        <f t="shared" si="10"/>
        <v>3.0127917599999998</v>
      </c>
      <c r="U25" s="72">
        <f t="shared" si="11"/>
        <v>2.8454144399999994</v>
      </c>
      <c r="V25" s="72">
        <f t="shared" si="12"/>
        <v>0.41844330000000007</v>
      </c>
      <c r="W25" s="72">
        <f t="shared" si="13"/>
        <v>8.3688659999999998E-2</v>
      </c>
      <c r="X25" s="72">
        <f t="shared" si="14"/>
        <v>3.1801690800000006</v>
      </c>
      <c r="Y25" s="72">
        <f t="shared" si="15"/>
        <v>4.3518103200000002</v>
      </c>
      <c r="Z25" s="72">
        <f t="shared" si="16"/>
        <v>3.0127917599999998</v>
      </c>
      <c r="AA25" s="72">
        <f t="shared" si="17"/>
        <v>0</v>
      </c>
      <c r="AB25" s="72">
        <f t="shared" si="18"/>
        <v>0</v>
      </c>
      <c r="AC25" s="91">
        <f t="shared" si="19"/>
        <v>25.076165760000002</v>
      </c>
      <c r="AD25" s="91">
        <f t="shared" si="20"/>
        <v>48.427837920000002</v>
      </c>
      <c r="AE25" s="91">
        <f t="shared" si="21"/>
        <v>29.646073800000003</v>
      </c>
      <c r="AF25" s="91">
        <f t="shared" si="22"/>
        <v>4.6535967000000005</v>
      </c>
      <c r="AG25" s="91">
        <f t="shared" si="23"/>
        <v>0.93071934000000001</v>
      </c>
      <c r="AH25" s="39">
        <f t="shared" si="24"/>
        <v>37.348260000000003</v>
      </c>
      <c r="AI25" s="77">
        <f t="shared" si="25"/>
        <v>68.471810000000005</v>
      </c>
      <c r="AJ25" s="77">
        <f t="shared" si="26"/>
        <v>43.572969999999998</v>
      </c>
      <c r="AK25" s="77">
        <f t="shared" si="27"/>
        <v>6.22471</v>
      </c>
      <c r="AL25" s="26">
        <f t="shared" si="28"/>
        <v>1.244942</v>
      </c>
      <c r="AM25" s="27">
        <v>0.9</v>
      </c>
      <c r="AN25" s="27">
        <v>0.75</v>
      </c>
      <c r="AO25" s="27">
        <v>0.9</v>
      </c>
      <c r="AP25" s="27">
        <v>0.1</v>
      </c>
      <c r="AQ25" s="27">
        <v>0.1</v>
      </c>
      <c r="AR25" s="26">
        <f t="shared" si="29"/>
        <v>35.571748644000003</v>
      </c>
      <c r="AS25" s="26">
        <f t="shared" si="30"/>
        <v>53.613451320000003</v>
      </c>
      <c r="AT25" s="26">
        <f t="shared" si="31"/>
        <v>41.776545995999996</v>
      </c>
      <c r="AU25" s="26">
        <f t="shared" si="32"/>
        <v>0.66431532999999998</v>
      </c>
      <c r="AV25" s="26">
        <f t="shared" si="33"/>
        <v>0.132863066</v>
      </c>
      <c r="AW25" s="26">
        <f t="shared" si="34"/>
        <v>3.9524165159999995</v>
      </c>
      <c r="AX25" s="26">
        <f t="shared" si="35"/>
        <v>17.871150440000001</v>
      </c>
      <c r="AY25" s="26">
        <f t="shared" si="36"/>
        <v>4.6418384440000011</v>
      </c>
      <c r="AZ25" s="26">
        <f t="shared" si="37"/>
        <v>5.9788379699999998</v>
      </c>
      <c r="BA25" s="40">
        <f t="shared" si="38"/>
        <v>1.1957675939999999</v>
      </c>
      <c r="BB25" s="37">
        <f t="shared" si="39"/>
        <v>67.780500000000004</v>
      </c>
      <c r="BC25" s="28">
        <f t="shared" si="40"/>
        <v>124.26425</v>
      </c>
      <c r="BD25" s="28">
        <f t="shared" si="41"/>
        <v>79.077249999999992</v>
      </c>
      <c r="BE25" s="29">
        <f t="shared" si="42"/>
        <v>11.296749999999999</v>
      </c>
      <c r="BF25" s="29">
        <f t="shared" si="43"/>
        <v>2.25935</v>
      </c>
      <c r="BG25" s="28">
        <f t="shared" si="44"/>
        <v>29.028582276000002</v>
      </c>
      <c r="BH25" s="28">
        <f t="shared" si="45"/>
        <v>66.29898836000001</v>
      </c>
      <c r="BI25" s="28">
        <f t="shared" si="46"/>
        <v>34.287912244000005</v>
      </c>
      <c r="BJ25" s="29">
        <f t="shared" si="47"/>
        <v>10.63243467</v>
      </c>
      <c r="BK25" s="29">
        <f t="shared" si="48"/>
        <v>2.1264869339999999</v>
      </c>
      <c r="BL25" s="28">
        <f t="shared" si="49"/>
        <v>38.751917724000002</v>
      </c>
      <c r="BM25" s="28">
        <f t="shared" si="50"/>
        <v>57.965261640000001</v>
      </c>
      <c r="BN25" s="28">
        <f t="shared" si="51"/>
        <v>44.789337755999995</v>
      </c>
      <c r="BO25" s="29">
        <f t="shared" si="52"/>
        <v>0.66431532999999998</v>
      </c>
      <c r="BP25" s="30">
        <f t="shared" si="53"/>
        <v>0.132863066</v>
      </c>
      <c r="BQ25" s="10">
        <v>0</v>
      </c>
      <c r="BR25" s="6">
        <v>246000</v>
      </c>
      <c r="BS25" t="s">
        <v>128</v>
      </c>
    </row>
    <row r="26" spans="1:71" x14ac:dyDescent="0.25">
      <c r="A26" s="18"/>
      <c r="B26" s="18">
        <v>57</v>
      </c>
      <c r="C26" s="19" t="s">
        <v>102</v>
      </c>
      <c r="D26" s="60">
        <v>2725</v>
      </c>
      <c r="E26" s="57" t="s">
        <v>155</v>
      </c>
      <c r="F26" s="14" t="s">
        <v>206</v>
      </c>
      <c r="G26" s="53">
        <v>3233</v>
      </c>
      <c r="H26" s="54">
        <v>0</v>
      </c>
      <c r="I26" s="50">
        <f t="shared" si="0"/>
        <v>3233</v>
      </c>
      <c r="J26" s="45">
        <v>0.34</v>
      </c>
      <c r="K26" s="65">
        <f t="shared" si="1"/>
        <v>1099.22</v>
      </c>
      <c r="L26" s="66">
        <f t="shared" si="2"/>
        <v>0.65999999999999992</v>
      </c>
      <c r="M26" s="67">
        <f t="shared" si="3"/>
        <v>2133.7799999999997</v>
      </c>
      <c r="N26" s="43">
        <f t="shared" si="4"/>
        <v>46.729781999999993</v>
      </c>
      <c r="O26" s="92">
        <f t="shared" si="5"/>
        <v>85.671266999999986</v>
      </c>
      <c r="P26" s="72">
        <f t="shared" si="6"/>
        <v>54.518078999999993</v>
      </c>
      <c r="Q26" s="72">
        <f t="shared" si="7"/>
        <v>7.7882969999999982</v>
      </c>
      <c r="R26" s="25">
        <f t="shared" si="8"/>
        <v>1.5576593999999999</v>
      </c>
      <c r="S26" s="72">
        <f t="shared" si="9"/>
        <v>3.3411794129999994</v>
      </c>
      <c r="T26" s="72">
        <f t="shared" si="10"/>
        <v>4.6262484179999994</v>
      </c>
      <c r="U26" s="72">
        <f t="shared" si="11"/>
        <v>4.369234617</v>
      </c>
      <c r="V26" s="72">
        <f t="shared" si="12"/>
        <v>0.64253450249999988</v>
      </c>
      <c r="W26" s="72">
        <f t="shared" si="13"/>
        <v>0.12850690049999999</v>
      </c>
      <c r="X26" s="72">
        <f t="shared" si="14"/>
        <v>4.8832622189999997</v>
      </c>
      <c r="Y26" s="72">
        <f t="shared" si="15"/>
        <v>6.6823588259999989</v>
      </c>
      <c r="Z26" s="72">
        <f t="shared" si="16"/>
        <v>4.6262484179999994</v>
      </c>
      <c r="AA26" s="72">
        <f t="shared" si="17"/>
        <v>0</v>
      </c>
      <c r="AB26" s="72">
        <f t="shared" si="18"/>
        <v>0</v>
      </c>
      <c r="AC26" s="91">
        <f t="shared" si="19"/>
        <v>38.505340367999992</v>
      </c>
      <c r="AD26" s="91">
        <f t="shared" si="20"/>
        <v>74.362659755999985</v>
      </c>
      <c r="AE26" s="91">
        <f t="shared" si="21"/>
        <v>45.522595964999994</v>
      </c>
      <c r="AF26" s="91">
        <f t="shared" si="22"/>
        <v>7.145762497499998</v>
      </c>
      <c r="AG26" s="91">
        <f t="shared" si="23"/>
        <v>1.4291524995</v>
      </c>
      <c r="AH26" s="39">
        <f t="shared" si="24"/>
        <v>24.072918000000001</v>
      </c>
      <c r="AI26" s="77">
        <f t="shared" si="25"/>
        <v>44.133682999999998</v>
      </c>
      <c r="AJ26" s="77">
        <f t="shared" si="26"/>
        <v>28.085071000000003</v>
      </c>
      <c r="AK26" s="77">
        <f t="shared" si="27"/>
        <v>4.0121530000000005</v>
      </c>
      <c r="AL26" s="26">
        <f t="shared" si="28"/>
        <v>0.80243059999999999</v>
      </c>
      <c r="AM26" s="27">
        <v>0.9</v>
      </c>
      <c r="AN26" s="27">
        <v>0.75</v>
      </c>
      <c r="AO26" s="27">
        <v>0.9</v>
      </c>
      <c r="AP26" s="27">
        <v>0.1</v>
      </c>
      <c r="AQ26" s="27">
        <v>0.1</v>
      </c>
      <c r="AR26" s="26">
        <f t="shared" si="29"/>
        <v>24.6726876717</v>
      </c>
      <c r="AS26" s="26">
        <f t="shared" si="30"/>
        <v>36.569948563499992</v>
      </c>
      <c r="AT26" s="26">
        <f t="shared" si="31"/>
        <v>29.208875055300002</v>
      </c>
      <c r="AU26" s="26">
        <f t="shared" si="32"/>
        <v>0.46546875025000012</v>
      </c>
      <c r="AV26" s="26">
        <f t="shared" si="33"/>
        <v>9.3093750050000007E-2</v>
      </c>
      <c r="AW26" s="26">
        <f t="shared" si="34"/>
        <v>2.7414097413</v>
      </c>
      <c r="AX26" s="26">
        <f t="shared" si="35"/>
        <v>12.189982854500002</v>
      </c>
      <c r="AY26" s="26">
        <f t="shared" si="36"/>
        <v>3.245430561700001</v>
      </c>
      <c r="AZ26" s="26">
        <f t="shared" si="37"/>
        <v>4.1892187522500004</v>
      </c>
      <c r="BA26" s="40">
        <f t="shared" si="38"/>
        <v>0.83784375045000004</v>
      </c>
      <c r="BB26" s="37">
        <f t="shared" si="39"/>
        <v>70.802699999999987</v>
      </c>
      <c r="BC26" s="28">
        <f t="shared" si="40"/>
        <v>129.80494999999999</v>
      </c>
      <c r="BD26" s="28">
        <f t="shared" si="41"/>
        <v>82.603149999999999</v>
      </c>
      <c r="BE26" s="29">
        <f t="shared" si="42"/>
        <v>11.800449999999998</v>
      </c>
      <c r="BF26" s="29">
        <f t="shared" si="43"/>
        <v>2.36009</v>
      </c>
      <c r="BG26" s="28">
        <f t="shared" si="44"/>
        <v>41.246750109299995</v>
      </c>
      <c r="BH26" s="28">
        <f t="shared" si="45"/>
        <v>86.552642610499987</v>
      </c>
      <c r="BI26" s="28">
        <f t="shared" si="46"/>
        <v>48.768026526699998</v>
      </c>
      <c r="BJ26" s="29">
        <f t="shared" si="47"/>
        <v>11.334981249749998</v>
      </c>
      <c r="BK26" s="29">
        <f t="shared" si="48"/>
        <v>2.26699624995</v>
      </c>
      <c r="BL26" s="28">
        <f t="shared" si="49"/>
        <v>29.555949890699999</v>
      </c>
      <c r="BM26" s="28">
        <f t="shared" si="50"/>
        <v>43.25230738949999</v>
      </c>
      <c r="BN26" s="28">
        <f t="shared" si="51"/>
        <v>33.835123473300001</v>
      </c>
      <c r="BO26" s="29">
        <f t="shared" si="52"/>
        <v>0.46546875025000012</v>
      </c>
      <c r="BP26" s="30">
        <f t="shared" si="53"/>
        <v>9.3093750050000007E-2</v>
      </c>
      <c r="BQ26" s="10">
        <v>1332000</v>
      </c>
      <c r="BR26" s="6">
        <v>0</v>
      </c>
      <c r="BS26" t="s">
        <v>131</v>
      </c>
    </row>
    <row r="27" spans="1:71" x14ac:dyDescent="0.25">
      <c r="A27" s="18"/>
      <c r="B27" s="18">
        <v>61</v>
      </c>
      <c r="C27" s="19" t="s">
        <v>97</v>
      </c>
      <c r="D27" s="60">
        <v>2571</v>
      </c>
      <c r="E27" s="47" t="s">
        <v>149</v>
      </c>
      <c r="F27" s="13" t="s">
        <v>206</v>
      </c>
      <c r="G27" s="53">
        <v>2762</v>
      </c>
      <c r="H27" s="54">
        <v>840</v>
      </c>
      <c r="I27" s="50">
        <f t="shared" si="0"/>
        <v>3602</v>
      </c>
      <c r="J27" s="45">
        <v>0.4</v>
      </c>
      <c r="K27" s="65">
        <f t="shared" si="1"/>
        <v>1104.8</v>
      </c>
      <c r="L27" s="66">
        <f t="shared" si="2"/>
        <v>0.6</v>
      </c>
      <c r="M27" s="67">
        <f t="shared" si="3"/>
        <v>1657.2</v>
      </c>
      <c r="N27" s="43">
        <f t="shared" si="4"/>
        <v>36.292679999999997</v>
      </c>
      <c r="O27" s="92">
        <f t="shared" si="5"/>
        <v>66.536580000000001</v>
      </c>
      <c r="P27" s="72">
        <f t="shared" si="6"/>
        <v>42.341459999999998</v>
      </c>
      <c r="Q27" s="72">
        <f t="shared" si="7"/>
        <v>6.0487799999999998</v>
      </c>
      <c r="R27" s="25">
        <f t="shared" si="8"/>
        <v>1.2097560000000001</v>
      </c>
      <c r="S27" s="72">
        <f t="shared" si="9"/>
        <v>2.5949266200000003</v>
      </c>
      <c r="T27" s="72">
        <f t="shared" si="10"/>
        <v>3.5929753199999999</v>
      </c>
      <c r="U27" s="72">
        <f t="shared" si="11"/>
        <v>3.3933655800000002</v>
      </c>
      <c r="V27" s="72">
        <f t="shared" si="12"/>
        <v>0.49902435000000001</v>
      </c>
      <c r="W27" s="72">
        <f t="shared" si="13"/>
        <v>9.9804870000000004E-2</v>
      </c>
      <c r="X27" s="72">
        <f t="shared" si="14"/>
        <v>3.7925850600000004</v>
      </c>
      <c r="Y27" s="72">
        <f t="shared" si="15"/>
        <v>5.1898532400000006</v>
      </c>
      <c r="Z27" s="72">
        <f t="shared" si="16"/>
        <v>3.5929753199999999</v>
      </c>
      <c r="AA27" s="72">
        <f t="shared" si="17"/>
        <v>0</v>
      </c>
      <c r="AB27" s="72">
        <f t="shared" si="18"/>
        <v>0</v>
      </c>
      <c r="AC27" s="91">
        <f t="shared" si="19"/>
        <v>29.905168319999994</v>
      </c>
      <c r="AD27" s="91">
        <f t="shared" si="20"/>
        <v>57.753751440000002</v>
      </c>
      <c r="AE27" s="91">
        <f t="shared" si="21"/>
        <v>35.355119099999996</v>
      </c>
      <c r="AF27" s="91">
        <f t="shared" si="22"/>
        <v>5.5497556499999998</v>
      </c>
      <c r="AG27" s="91">
        <f t="shared" si="23"/>
        <v>1.10995113</v>
      </c>
      <c r="AH27" s="39">
        <f t="shared" si="24"/>
        <v>42.591119999999997</v>
      </c>
      <c r="AI27" s="77">
        <f t="shared" si="25"/>
        <v>78.08372</v>
      </c>
      <c r="AJ27" s="77">
        <f t="shared" si="26"/>
        <v>49.689639999999997</v>
      </c>
      <c r="AK27" s="77">
        <f t="shared" si="27"/>
        <v>7.0985199999999997</v>
      </c>
      <c r="AL27" s="26">
        <f t="shared" si="28"/>
        <v>1.4197040000000001</v>
      </c>
      <c r="AM27" s="27">
        <v>0.9</v>
      </c>
      <c r="AN27" s="27">
        <v>0.75</v>
      </c>
      <c r="AO27" s="27">
        <v>0.9</v>
      </c>
      <c r="AP27" s="27">
        <v>0.1</v>
      </c>
      <c r="AQ27" s="27">
        <v>0.1</v>
      </c>
      <c r="AR27" s="26">
        <f t="shared" si="29"/>
        <v>40.667441957999998</v>
      </c>
      <c r="AS27" s="26">
        <f t="shared" si="30"/>
        <v>61.257521489999995</v>
      </c>
      <c r="AT27" s="26">
        <f t="shared" si="31"/>
        <v>47.774705021999999</v>
      </c>
      <c r="AU27" s="26">
        <f t="shared" si="32"/>
        <v>0.75975443500000006</v>
      </c>
      <c r="AV27" s="26">
        <f t="shared" si="33"/>
        <v>0.15195088700000003</v>
      </c>
      <c r="AW27" s="26">
        <f t="shared" si="34"/>
        <v>4.5186046620000013</v>
      </c>
      <c r="AX27" s="26">
        <f t="shared" si="35"/>
        <v>20.419173829999998</v>
      </c>
      <c r="AY27" s="26">
        <f t="shared" si="36"/>
        <v>5.3083005579999991</v>
      </c>
      <c r="AZ27" s="26">
        <f t="shared" si="37"/>
        <v>6.8377899150000001</v>
      </c>
      <c r="BA27" s="40">
        <f t="shared" si="38"/>
        <v>1.3675579830000002</v>
      </c>
      <c r="BB27" s="37">
        <f t="shared" si="39"/>
        <v>78.883799999999994</v>
      </c>
      <c r="BC27" s="28">
        <f t="shared" si="40"/>
        <v>144.62029999999999</v>
      </c>
      <c r="BD27" s="28">
        <f t="shared" si="41"/>
        <v>92.031099999999995</v>
      </c>
      <c r="BE27" s="29">
        <f t="shared" si="42"/>
        <v>13.1473</v>
      </c>
      <c r="BF27" s="29">
        <f t="shared" si="43"/>
        <v>2.6294599999999999</v>
      </c>
      <c r="BG27" s="28">
        <f t="shared" si="44"/>
        <v>34.423772981999996</v>
      </c>
      <c r="BH27" s="28">
        <f t="shared" si="45"/>
        <v>78.172925270000007</v>
      </c>
      <c r="BI27" s="28">
        <f t="shared" si="46"/>
        <v>40.663419657999995</v>
      </c>
      <c r="BJ27" s="29">
        <f t="shared" si="47"/>
        <v>12.387545565</v>
      </c>
      <c r="BK27" s="29">
        <f t="shared" si="48"/>
        <v>2.477509113</v>
      </c>
      <c r="BL27" s="28">
        <f t="shared" si="49"/>
        <v>44.460027017999998</v>
      </c>
      <c r="BM27" s="28">
        <f t="shared" si="50"/>
        <v>66.447374729999993</v>
      </c>
      <c r="BN27" s="28">
        <f t="shared" si="51"/>
        <v>51.367680342</v>
      </c>
      <c r="BO27" s="29">
        <f t="shared" si="52"/>
        <v>0.75975443500000006</v>
      </c>
      <c r="BP27" s="30">
        <f t="shared" si="53"/>
        <v>0.15195088700000003</v>
      </c>
      <c r="BQ27" s="10" t="s">
        <v>169</v>
      </c>
      <c r="BR27" s="6" t="s">
        <v>169</v>
      </c>
    </row>
    <row r="28" spans="1:71" s="3" customFormat="1" x14ac:dyDescent="0.25">
      <c r="A28" s="18"/>
      <c r="B28" s="18">
        <v>62</v>
      </c>
      <c r="C28" s="19" t="s">
        <v>96</v>
      </c>
      <c r="D28" s="60">
        <v>2490</v>
      </c>
      <c r="E28" s="47" t="s">
        <v>187</v>
      </c>
      <c r="F28" s="13" t="s">
        <v>206</v>
      </c>
      <c r="G28" s="53">
        <v>2979</v>
      </c>
      <c r="H28" s="53">
        <v>239</v>
      </c>
      <c r="I28" s="50">
        <f t="shared" si="0"/>
        <v>3218</v>
      </c>
      <c r="J28" s="45">
        <v>0.55000000000000004</v>
      </c>
      <c r="K28" s="65">
        <f t="shared" si="1"/>
        <v>1638.45</v>
      </c>
      <c r="L28" s="66">
        <f t="shared" si="2"/>
        <v>0.44999999999999996</v>
      </c>
      <c r="M28" s="67">
        <f t="shared" si="3"/>
        <v>1340.55</v>
      </c>
      <c r="N28" s="43">
        <f t="shared" si="4"/>
        <v>29.358045000000001</v>
      </c>
      <c r="O28" s="92">
        <f t="shared" si="5"/>
        <v>53.823082499999998</v>
      </c>
      <c r="P28" s="72">
        <f t="shared" si="6"/>
        <v>34.2510525</v>
      </c>
      <c r="Q28" s="72">
        <f t="shared" si="7"/>
        <v>4.8930075000000004</v>
      </c>
      <c r="R28" s="25">
        <f t="shared" si="8"/>
        <v>0.97860150000000001</v>
      </c>
      <c r="S28" s="72">
        <f t="shared" si="9"/>
        <v>2.0991002174999998</v>
      </c>
      <c r="T28" s="72">
        <f t="shared" si="10"/>
        <v>2.9064464549999998</v>
      </c>
      <c r="U28" s="72">
        <f t="shared" si="11"/>
        <v>2.7449772074999998</v>
      </c>
      <c r="V28" s="72">
        <f t="shared" si="12"/>
        <v>0.40367311875000006</v>
      </c>
      <c r="W28" s="72">
        <f t="shared" si="13"/>
        <v>8.0734623749999998E-2</v>
      </c>
      <c r="X28" s="72">
        <f t="shared" si="14"/>
        <v>3.0679157025000006</v>
      </c>
      <c r="Y28" s="72">
        <f t="shared" si="15"/>
        <v>4.1982004349999995</v>
      </c>
      <c r="Z28" s="72">
        <f t="shared" si="16"/>
        <v>2.9064464549999998</v>
      </c>
      <c r="AA28" s="72">
        <f t="shared" si="17"/>
        <v>0</v>
      </c>
      <c r="AB28" s="72">
        <f t="shared" si="18"/>
        <v>0</v>
      </c>
      <c r="AC28" s="91">
        <f t="shared" si="19"/>
        <v>24.19102908</v>
      </c>
      <c r="AD28" s="91">
        <f t="shared" si="20"/>
        <v>46.71843561</v>
      </c>
      <c r="AE28" s="91">
        <f t="shared" si="21"/>
        <v>28.599628837499999</v>
      </c>
      <c r="AF28" s="91">
        <f t="shared" si="22"/>
        <v>4.48933438125</v>
      </c>
      <c r="AG28" s="91">
        <f t="shared" si="23"/>
        <v>0.89786687625000006</v>
      </c>
      <c r="AH28" s="39">
        <f t="shared" si="24"/>
        <v>41.116154999999999</v>
      </c>
      <c r="AI28" s="77">
        <f t="shared" si="25"/>
        <v>75.379617499999995</v>
      </c>
      <c r="AJ28" s="77">
        <f t="shared" si="26"/>
        <v>47.968847500000003</v>
      </c>
      <c r="AK28" s="77">
        <f t="shared" si="27"/>
        <v>6.8526924999999999</v>
      </c>
      <c r="AL28" s="26">
        <f t="shared" si="28"/>
        <v>1.3705385000000001</v>
      </c>
      <c r="AM28" s="27">
        <v>0.9</v>
      </c>
      <c r="AN28" s="27">
        <v>0.75</v>
      </c>
      <c r="AO28" s="27">
        <v>0.9</v>
      </c>
      <c r="AP28" s="27">
        <v>0.1</v>
      </c>
      <c r="AQ28" s="27">
        <v>0.1</v>
      </c>
      <c r="AR28" s="26">
        <f t="shared" si="29"/>
        <v>38.893729695750004</v>
      </c>
      <c r="AS28" s="26">
        <f t="shared" si="30"/>
        <v>58.714547966249995</v>
      </c>
      <c r="AT28" s="26">
        <f t="shared" si="31"/>
        <v>45.64244223675</v>
      </c>
      <c r="AU28" s="26">
        <f t="shared" si="32"/>
        <v>0.72563656187500003</v>
      </c>
      <c r="AV28" s="26">
        <f t="shared" si="33"/>
        <v>0.14512731237500001</v>
      </c>
      <c r="AW28" s="26">
        <f t="shared" si="34"/>
        <v>4.3215255217499973</v>
      </c>
      <c r="AX28" s="26">
        <f t="shared" si="35"/>
        <v>19.571515988749994</v>
      </c>
      <c r="AY28" s="26">
        <f t="shared" si="36"/>
        <v>5.0713824707500024</v>
      </c>
      <c r="AZ28" s="26">
        <f t="shared" si="37"/>
        <v>6.5307290568749998</v>
      </c>
      <c r="BA28" s="40">
        <f t="shared" si="38"/>
        <v>1.306145811375</v>
      </c>
      <c r="BB28" s="37">
        <f t="shared" si="39"/>
        <v>70.474199999999996</v>
      </c>
      <c r="BC28" s="28">
        <f t="shared" si="40"/>
        <v>129.20269999999999</v>
      </c>
      <c r="BD28" s="28">
        <f t="shared" si="41"/>
        <v>82.219899999999996</v>
      </c>
      <c r="BE28" s="29">
        <f t="shared" si="42"/>
        <v>11.745699999999999</v>
      </c>
      <c r="BF28" s="29">
        <f t="shared" si="43"/>
        <v>2.3491400000000002</v>
      </c>
      <c r="BG28" s="28">
        <f t="shared" si="44"/>
        <v>28.512554601749997</v>
      </c>
      <c r="BH28" s="28">
        <f t="shared" si="45"/>
        <v>66.289951598749994</v>
      </c>
      <c r="BI28" s="28">
        <f t="shared" si="46"/>
        <v>33.671011308250002</v>
      </c>
      <c r="BJ28" s="29">
        <f t="shared" si="47"/>
        <v>11.020063438125</v>
      </c>
      <c r="BK28" s="29">
        <f t="shared" si="48"/>
        <v>2.2040126876250001</v>
      </c>
      <c r="BL28" s="28">
        <f t="shared" si="49"/>
        <v>41.961645398250006</v>
      </c>
      <c r="BM28" s="28">
        <f t="shared" si="50"/>
        <v>62.912748401249992</v>
      </c>
      <c r="BN28" s="28">
        <f t="shared" si="51"/>
        <v>48.548888691750001</v>
      </c>
      <c r="BO28" s="29">
        <f t="shared" si="52"/>
        <v>0.72563656187500003</v>
      </c>
      <c r="BP28" s="30">
        <f t="shared" si="53"/>
        <v>0.14512731237500001</v>
      </c>
      <c r="BQ28" s="10">
        <f>554320+170849</f>
        <v>725169</v>
      </c>
      <c r="BR28" s="6">
        <f>866290+205455</f>
        <v>1071745</v>
      </c>
      <c r="BS28" t="s">
        <v>199</v>
      </c>
    </row>
    <row r="29" spans="1:71" x14ac:dyDescent="0.25">
      <c r="A29" s="18"/>
      <c r="B29" s="18">
        <v>65</v>
      </c>
      <c r="C29" s="19" t="s">
        <v>99</v>
      </c>
      <c r="D29" s="60">
        <v>2317</v>
      </c>
      <c r="E29" s="47" t="s">
        <v>158</v>
      </c>
      <c r="F29" s="13" t="s">
        <v>206</v>
      </c>
      <c r="G29" s="53">
        <v>2949</v>
      </c>
      <c r="H29" s="54">
        <v>0</v>
      </c>
      <c r="I29" s="50">
        <f t="shared" si="0"/>
        <v>2949</v>
      </c>
      <c r="J29" s="45">
        <v>0.42</v>
      </c>
      <c r="K29" s="65">
        <f t="shared" si="1"/>
        <v>1238.58</v>
      </c>
      <c r="L29" s="66">
        <f t="shared" si="2"/>
        <v>0.58000000000000007</v>
      </c>
      <c r="M29" s="67">
        <f t="shared" si="3"/>
        <v>1710.42</v>
      </c>
      <c r="N29" s="43">
        <f t="shared" si="4"/>
        <v>37.45819800000001</v>
      </c>
      <c r="O29" s="92">
        <f t="shared" si="5"/>
        <v>68.673362999999995</v>
      </c>
      <c r="P29" s="72">
        <f t="shared" si="6"/>
        <v>43.701231</v>
      </c>
      <c r="Q29" s="72">
        <f t="shared" si="7"/>
        <v>6.2430329999999996</v>
      </c>
      <c r="R29" s="25">
        <f t="shared" si="8"/>
        <v>1.2486066</v>
      </c>
      <c r="S29" s="72">
        <f t="shared" si="9"/>
        <v>2.6782611570000001</v>
      </c>
      <c r="T29" s="72">
        <f t="shared" si="10"/>
        <v>3.7083616020000005</v>
      </c>
      <c r="U29" s="72">
        <f t="shared" si="11"/>
        <v>3.5023415130000002</v>
      </c>
      <c r="V29" s="72">
        <f t="shared" si="12"/>
        <v>0.51505022249999999</v>
      </c>
      <c r="W29" s="72">
        <f t="shared" si="13"/>
        <v>0.10301004450000001</v>
      </c>
      <c r="X29" s="72">
        <f t="shared" si="14"/>
        <v>3.9143816910000009</v>
      </c>
      <c r="Y29" s="72">
        <f t="shared" si="15"/>
        <v>5.3565223140000002</v>
      </c>
      <c r="Z29" s="72">
        <f t="shared" si="16"/>
        <v>3.7083616020000005</v>
      </c>
      <c r="AA29" s="72">
        <f t="shared" si="17"/>
        <v>0</v>
      </c>
      <c r="AB29" s="72">
        <f t="shared" si="18"/>
        <v>0</v>
      </c>
      <c r="AC29" s="91">
        <f t="shared" si="19"/>
        <v>30.865555152000006</v>
      </c>
      <c r="AD29" s="91">
        <f t="shared" si="20"/>
        <v>59.608479083999995</v>
      </c>
      <c r="AE29" s="91">
        <f t="shared" si="21"/>
        <v>36.490527884999999</v>
      </c>
      <c r="AF29" s="91">
        <f t="shared" si="22"/>
        <v>5.7279827774999994</v>
      </c>
      <c r="AG29" s="91">
        <f t="shared" si="23"/>
        <v>1.1455965555000001</v>
      </c>
      <c r="AH29" s="39">
        <f t="shared" si="24"/>
        <v>27.124901999999995</v>
      </c>
      <c r="AI29" s="77">
        <f t="shared" si="25"/>
        <v>49.728986999999989</v>
      </c>
      <c r="AJ29" s="77">
        <f t="shared" si="26"/>
        <v>31.645718999999996</v>
      </c>
      <c r="AK29" s="77">
        <f t="shared" si="27"/>
        <v>4.5208170000000001</v>
      </c>
      <c r="AL29" s="26">
        <f t="shared" si="28"/>
        <v>0.90416339999999995</v>
      </c>
      <c r="AM29" s="27">
        <v>0.9</v>
      </c>
      <c r="AN29" s="27">
        <v>0.75</v>
      </c>
      <c r="AO29" s="27">
        <v>0.9</v>
      </c>
      <c r="AP29" s="27">
        <v>0.1</v>
      </c>
      <c r="AQ29" s="27">
        <v>0.1</v>
      </c>
      <c r="AR29" s="26">
        <f t="shared" si="29"/>
        <v>26.822846841299999</v>
      </c>
      <c r="AS29" s="26">
        <f t="shared" si="30"/>
        <v>40.078011451499997</v>
      </c>
      <c r="AT29" s="26">
        <f t="shared" si="31"/>
        <v>31.633254461699998</v>
      </c>
      <c r="AU29" s="26">
        <f t="shared" si="32"/>
        <v>0.50358672225000001</v>
      </c>
      <c r="AV29" s="26">
        <f t="shared" si="33"/>
        <v>0.10071734445000001</v>
      </c>
      <c r="AW29" s="26">
        <f t="shared" si="34"/>
        <v>2.9803163156999979</v>
      </c>
      <c r="AX29" s="26">
        <f t="shared" si="35"/>
        <v>13.359337150499996</v>
      </c>
      <c r="AY29" s="26">
        <f t="shared" si="36"/>
        <v>3.514806051299999</v>
      </c>
      <c r="AZ29" s="26">
        <f t="shared" si="37"/>
        <v>4.5322805002500006</v>
      </c>
      <c r="BA29" s="40">
        <f t="shared" si="38"/>
        <v>0.90645610004999999</v>
      </c>
      <c r="BB29" s="37">
        <f t="shared" si="39"/>
        <v>64.583100000000002</v>
      </c>
      <c r="BC29" s="28">
        <f t="shared" si="40"/>
        <v>118.40234999999998</v>
      </c>
      <c r="BD29" s="28">
        <f t="shared" si="41"/>
        <v>75.346949999999993</v>
      </c>
      <c r="BE29" s="29">
        <f t="shared" si="42"/>
        <v>10.76385</v>
      </c>
      <c r="BF29" s="29">
        <f t="shared" si="43"/>
        <v>2.1527699999999999</v>
      </c>
      <c r="BG29" s="28">
        <f t="shared" si="44"/>
        <v>33.845871467700007</v>
      </c>
      <c r="BH29" s="28">
        <f t="shared" si="45"/>
        <v>72.967816234499992</v>
      </c>
      <c r="BI29" s="28">
        <f t="shared" si="46"/>
        <v>40.005333936299998</v>
      </c>
      <c r="BJ29" s="29">
        <f t="shared" si="47"/>
        <v>10.260263277749999</v>
      </c>
      <c r="BK29" s="29">
        <f t="shared" si="48"/>
        <v>2.0520526555499998</v>
      </c>
      <c r="BL29" s="28">
        <f t="shared" si="49"/>
        <v>30.737228532300001</v>
      </c>
      <c r="BM29" s="28">
        <f t="shared" si="50"/>
        <v>45.434533765499999</v>
      </c>
      <c r="BN29" s="28">
        <f t="shared" si="51"/>
        <v>35.341616063700002</v>
      </c>
      <c r="BO29" s="29">
        <f t="shared" si="52"/>
        <v>0.50358672225000001</v>
      </c>
      <c r="BP29" s="30">
        <f t="shared" si="53"/>
        <v>0.10071734445000001</v>
      </c>
      <c r="BQ29" s="10">
        <f>1788000*0.6+40200</f>
        <v>1113000</v>
      </c>
      <c r="BR29" s="6">
        <v>106800</v>
      </c>
      <c r="BS29" t="s">
        <v>159</v>
      </c>
    </row>
    <row r="30" spans="1:71" x14ac:dyDescent="0.25">
      <c r="A30" s="18"/>
      <c r="B30" s="18">
        <v>66</v>
      </c>
      <c r="C30" s="19" t="s">
        <v>108</v>
      </c>
      <c r="D30" s="60">
        <v>2293</v>
      </c>
      <c r="E30" s="47" t="s">
        <v>160</v>
      </c>
      <c r="F30" s="13" t="s">
        <v>206</v>
      </c>
      <c r="G30" s="53">
        <v>2810</v>
      </c>
      <c r="H30" s="54">
        <v>67</v>
      </c>
      <c r="I30" s="50">
        <f t="shared" si="0"/>
        <v>2877</v>
      </c>
      <c r="J30" s="45">
        <v>0.47</v>
      </c>
      <c r="K30" s="65">
        <f t="shared" si="1"/>
        <v>1320.7</v>
      </c>
      <c r="L30" s="66">
        <f t="shared" si="2"/>
        <v>0.53</v>
      </c>
      <c r="M30" s="67">
        <f t="shared" si="3"/>
        <v>1489.3</v>
      </c>
      <c r="N30" s="43">
        <f t="shared" si="4"/>
        <v>32.615670000000001</v>
      </c>
      <c r="O30" s="92">
        <f t="shared" si="5"/>
        <v>59.795394999999999</v>
      </c>
      <c r="P30" s="72">
        <f t="shared" si="6"/>
        <v>38.051614999999998</v>
      </c>
      <c r="Q30" s="72">
        <f t="shared" si="7"/>
        <v>5.4359450000000002</v>
      </c>
      <c r="R30" s="25">
        <f t="shared" si="8"/>
        <v>1.087189</v>
      </c>
      <c r="S30" s="72">
        <f t="shared" si="9"/>
        <v>2.3320204049999997</v>
      </c>
      <c r="T30" s="72">
        <f t="shared" si="10"/>
        <v>3.2289513300000001</v>
      </c>
      <c r="U30" s="72">
        <f t="shared" si="11"/>
        <v>3.0495651450000003</v>
      </c>
      <c r="V30" s="72">
        <f t="shared" si="12"/>
        <v>0.44846546250000002</v>
      </c>
      <c r="W30" s="72">
        <f t="shared" si="13"/>
        <v>8.9693092500000002E-2</v>
      </c>
      <c r="X30" s="72">
        <f t="shared" si="14"/>
        <v>3.4083375149999999</v>
      </c>
      <c r="Y30" s="72">
        <f t="shared" si="15"/>
        <v>4.6640408099999995</v>
      </c>
      <c r="Z30" s="72">
        <f t="shared" si="16"/>
        <v>3.2289513300000001</v>
      </c>
      <c r="AA30" s="72">
        <f t="shared" si="17"/>
        <v>0</v>
      </c>
      <c r="AB30" s="72">
        <f t="shared" si="18"/>
        <v>0</v>
      </c>
      <c r="AC30" s="91">
        <f t="shared" si="19"/>
        <v>26.87531208</v>
      </c>
      <c r="AD30" s="91">
        <f t="shared" si="20"/>
        <v>51.902402859999995</v>
      </c>
      <c r="AE30" s="91">
        <f t="shared" si="21"/>
        <v>31.773098524999995</v>
      </c>
      <c r="AF30" s="91">
        <f t="shared" si="22"/>
        <v>4.9874795375000005</v>
      </c>
      <c r="AG30" s="91">
        <f t="shared" si="23"/>
        <v>0.99749590749999995</v>
      </c>
      <c r="AH30" s="39">
        <f t="shared" si="24"/>
        <v>30.390630000000002</v>
      </c>
      <c r="AI30" s="77">
        <f t="shared" si="25"/>
        <v>55.716155000000001</v>
      </c>
      <c r="AJ30" s="77">
        <f t="shared" si="26"/>
        <v>35.455734999999997</v>
      </c>
      <c r="AK30" s="77">
        <f t="shared" si="27"/>
        <v>5.065105</v>
      </c>
      <c r="AL30" s="26">
        <f t="shared" si="28"/>
        <v>1.0130209999999999</v>
      </c>
      <c r="AM30" s="27">
        <v>0.9</v>
      </c>
      <c r="AN30" s="27">
        <v>0.75</v>
      </c>
      <c r="AO30" s="27">
        <v>0.9</v>
      </c>
      <c r="AP30" s="27">
        <v>0.1</v>
      </c>
      <c r="AQ30" s="27">
        <v>0.1</v>
      </c>
      <c r="AR30" s="26">
        <f t="shared" si="29"/>
        <v>29.450385364500004</v>
      </c>
      <c r="AS30" s="26">
        <f t="shared" si="30"/>
        <v>44.208829747500005</v>
      </c>
      <c r="AT30" s="26">
        <f t="shared" si="31"/>
        <v>34.654770130499998</v>
      </c>
      <c r="AU30" s="26">
        <f t="shared" si="32"/>
        <v>0.55135704625000004</v>
      </c>
      <c r="AV30" s="26">
        <f t="shared" si="33"/>
        <v>0.11027140924999999</v>
      </c>
      <c r="AW30" s="26">
        <f t="shared" si="34"/>
        <v>3.2722650404999989</v>
      </c>
      <c r="AX30" s="26">
        <f t="shared" si="35"/>
        <v>14.736276582499997</v>
      </c>
      <c r="AY30" s="26">
        <f t="shared" si="36"/>
        <v>3.8505300145000021</v>
      </c>
      <c r="AZ30" s="26">
        <f t="shared" si="37"/>
        <v>4.96221341625</v>
      </c>
      <c r="BA30" s="40">
        <f t="shared" si="38"/>
        <v>0.99244268324999985</v>
      </c>
      <c r="BB30" s="37">
        <f t="shared" si="39"/>
        <v>63.006300000000003</v>
      </c>
      <c r="BC30" s="28">
        <f t="shared" si="40"/>
        <v>115.51155</v>
      </c>
      <c r="BD30" s="28">
        <f t="shared" si="41"/>
        <v>73.507350000000002</v>
      </c>
      <c r="BE30" s="29">
        <f t="shared" si="42"/>
        <v>10.501049999999999</v>
      </c>
      <c r="BF30" s="29">
        <f t="shared" si="43"/>
        <v>2.1002099999999997</v>
      </c>
      <c r="BG30" s="28">
        <f t="shared" si="44"/>
        <v>30.147577120499999</v>
      </c>
      <c r="BH30" s="28">
        <f t="shared" si="45"/>
        <v>66.638679442499992</v>
      </c>
      <c r="BI30" s="28">
        <f t="shared" si="46"/>
        <v>35.623628539499997</v>
      </c>
      <c r="BJ30" s="29">
        <f t="shared" si="47"/>
        <v>9.9496929537500005</v>
      </c>
      <c r="BK30" s="29">
        <f t="shared" si="48"/>
        <v>1.9899385907499998</v>
      </c>
      <c r="BL30" s="28">
        <f t="shared" si="49"/>
        <v>32.858722879500007</v>
      </c>
      <c r="BM30" s="28">
        <f t="shared" si="50"/>
        <v>48.872870557500008</v>
      </c>
      <c r="BN30" s="28">
        <f t="shared" si="51"/>
        <v>37.883721460499999</v>
      </c>
      <c r="BO30" s="29">
        <f t="shared" si="52"/>
        <v>0.55135704625000004</v>
      </c>
      <c r="BP30" s="30">
        <f t="shared" si="53"/>
        <v>0.11027140924999999</v>
      </c>
      <c r="BQ30" s="10">
        <f>107556+105543+30068</f>
        <v>243167</v>
      </c>
      <c r="BR30" s="6">
        <v>103948</v>
      </c>
      <c r="BS30" t="s">
        <v>128</v>
      </c>
    </row>
    <row r="31" spans="1:71" x14ac:dyDescent="0.25">
      <c r="A31" s="18"/>
      <c r="B31" s="18">
        <v>67</v>
      </c>
      <c r="C31" s="19" t="s">
        <v>109</v>
      </c>
      <c r="D31" s="60">
        <v>2204</v>
      </c>
      <c r="E31" s="47" t="s">
        <v>11</v>
      </c>
      <c r="F31" s="13" t="s">
        <v>206</v>
      </c>
      <c r="G31" s="53">
        <v>2530</v>
      </c>
      <c r="H31" s="54">
        <v>0</v>
      </c>
      <c r="I31" s="50">
        <f t="shared" si="0"/>
        <v>2530</v>
      </c>
      <c r="J31" s="45">
        <v>0.43</v>
      </c>
      <c r="K31" s="65">
        <f t="shared" si="1"/>
        <v>1087.9000000000001</v>
      </c>
      <c r="L31" s="66">
        <f t="shared" si="2"/>
        <v>0.57000000000000006</v>
      </c>
      <c r="M31" s="67">
        <f t="shared" si="3"/>
        <v>1442.1</v>
      </c>
      <c r="N31" s="43">
        <f t="shared" si="4"/>
        <v>31.581990000000001</v>
      </c>
      <c r="O31" s="92">
        <f t="shared" si="5"/>
        <v>57.900314999999999</v>
      </c>
      <c r="P31" s="72">
        <f t="shared" si="6"/>
        <v>36.845655000000001</v>
      </c>
      <c r="Q31" s="72">
        <f t="shared" si="7"/>
        <v>5.2636649999999996</v>
      </c>
      <c r="R31" s="25">
        <f t="shared" si="8"/>
        <v>1.0527329999999999</v>
      </c>
      <c r="S31" s="72">
        <f t="shared" si="9"/>
        <v>2.2581122850000002</v>
      </c>
      <c r="T31" s="72">
        <f t="shared" si="10"/>
        <v>3.1266170099999999</v>
      </c>
      <c r="U31" s="72">
        <f t="shared" si="11"/>
        <v>2.9529160649999993</v>
      </c>
      <c r="V31" s="72">
        <f t="shared" si="12"/>
        <v>0.43425236249999999</v>
      </c>
      <c r="W31" s="72">
        <f t="shared" si="13"/>
        <v>8.6850472499999998E-2</v>
      </c>
      <c r="X31" s="72">
        <f t="shared" si="14"/>
        <v>3.3003179549999997</v>
      </c>
      <c r="Y31" s="72">
        <f t="shared" si="15"/>
        <v>4.5162245700000003</v>
      </c>
      <c r="Z31" s="72">
        <f t="shared" si="16"/>
        <v>3.1266170099999999</v>
      </c>
      <c r="AA31" s="72">
        <f t="shared" si="17"/>
        <v>0</v>
      </c>
      <c r="AB31" s="72">
        <f t="shared" si="18"/>
        <v>0</v>
      </c>
      <c r="AC31" s="91">
        <f t="shared" si="19"/>
        <v>26.023559760000001</v>
      </c>
      <c r="AD31" s="91">
        <f t="shared" si="20"/>
        <v>50.257473420000004</v>
      </c>
      <c r="AE31" s="91">
        <f t="shared" si="21"/>
        <v>30.766121925000004</v>
      </c>
      <c r="AF31" s="91">
        <f t="shared" si="22"/>
        <v>4.8294126374999999</v>
      </c>
      <c r="AG31" s="91">
        <f t="shared" si="23"/>
        <v>0.96588252749999992</v>
      </c>
      <c r="AH31" s="39">
        <f t="shared" si="24"/>
        <v>23.825010000000002</v>
      </c>
      <c r="AI31" s="77">
        <f t="shared" si="25"/>
        <v>43.679185000000004</v>
      </c>
      <c r="AJ31" s="77">
        <f t="shared" si="26"/>
        <v>27.795845</v>
      </c>
      <c r="AK31" s="77">
        <f t="shared" si="27"/>
        <v>3.9708350000000001</v>
      </c>
      <c r="AL31" s="26">
        <f t="shared" si="28"/>
        <v>0.79416700000000007</v>
      </c>
      <c r="AM31" s="27">
        <v>0.9</v>
      </c>
      <c r="AN31" s="27">
        <v>0.75</v>
      </c>
      <c r="AO31" s="27">
        <v>0.9</v>
      </c>
      <c r="AP31" s="27">
        <v>0.1</v>
      </c>
      <c r="AQ31" s="27">
        <v>0.1</v>
      </c>
      <c r="AR31" s="26">
        <f t="shared" si="29"/>
        <v>23.474810056500001</v>
      </c>
      <c r="AS31" s="26">
        <f t="shared" si="30"/>
        <v>35.104351507499999</v>
      </c>
      <c r="AT31" s="26">
        <f t="shared" si="31"/>
        <v>27.6738849585</v>
      </c>
      <c r="AU31" s="26">
        <f t="shared" si="32"/>
        <v>0.44050873624999998</v>
      </c>
      <c r="AV31" s="26">
        <f t="shared" si="33"/>
        <v>8.8101747250000015E-2</v>
      </c>
      <c r="AW31" s="26">
        <f t="shared" si="34"/>
        <v>2.6083122285000009</v>
      </c>
      <c r="AX31" s="26">
        <f t="shared" si="35"/>
        <v>11.701450502500002</v>
      </c>
      <c r="AY31" s="26">
        <f t="shared" si="36"/>
        <v>3.0748761064999997</v>
      </c>
      <c r="AZ31" s="26">
        <f t="shared" si="37"/>
        <v>3.9645786262499998</v>
      </c>
      <c r="BA31" s="40">
        <f t="shared" si="38"/>
        <v>0.79291572525000009</v>
      </c>
      <c r="BB31" s="37">
        <f t="shared" si="39"/>
        <v>55.407000000000004</v>
      </c>
      <c r="BC31" s="28">
        <f t="shared" si="40"/>
        <v>101.5795</v>
      </c>
      <c r="BD31" s="28">
        <f t="shared" si="41"/>
        <v>64.641500000000008</v>
      </c>
      <c r="BE31" s="29">
        <f t="shared" si="42"/>
        <v>9.2345000000000006</v>
      </c>
      <c r="BF31" s="29">
        <f t="shared" si="43"/>
        <v>1.8469</v>
      </c>
      <c r="BG31" s="28">
        <f t="shared" si="44"/>
        <v>28.631871988500002</v>
      </c>
      <c r="BH31" s="28">
        <f t="shared" si="45"/>
        <v>61.958923922500006</v>
      </c>
      <c r="BI31" s="28">
        <f t="shared" si="46"/>
        <v>33.840998031500007</v>
      </c>
      <c r="BJ31" s="29">
        <f t="shared" si="47"/>
        <v>8.7939912637499997</v>
      </c>
      <c r="BK31" s="29">
        <f t="shared" si="48"/>
        <v>1.7587982527500001</v>
      </c>
      <c r="BL31" s="28">
        <f t="shared" si="49"/>
        <v>26.775128011500001</v>
      </c>
      <c r="BM31" s="28">
        <f t="shared" si="50"/>
        <v>39.620576077499997</v>
      </c>
      <c r="BN31" s="28">
        <f t="shared" si="51"/>
        <v>30.800501968500001</v>
      </c>
      <c r="BO31" s="29">
        <f t="shared" si="52"/>
        <v>0.44050873624999998</v>
      </c>
      <c r="BP31" s="30">
        <f t="shared" si="53"/>
        <v>8.8101747250000015E-2</v>
      </c>
      <c r="BQ31" s="10">
        <f>173190+(525750+322450+79500+142000+327250+455850+112050+66000+130650+156925+154950)*0.6</f>
        <v>1657215</v>
      </c>
      <c r="BR31" s="6">
        <f>156000+82500+152950</f>
        <v>391450</v>
      </c>
      <c r="BS31" t="s">
        <v>132</v>
      </c>
    </row>
    <row r="32" spans="1:71" ht="30" x14ac:dyDescent="0.25">
      <c r="A32" s="18"/>
      <c r="B32" s="18">
        <v>68</v>
      </c>
      <c r="C32" s="19" t="s">
        <v>110</v>
      </c>
      <c r="D32" s="60">
        <v>2168</v>
      </c>
      <c r="E32" s="57" t="s">
        <v>147</v>
      </c>
      <c r="F32" s="14" t="s">
        <v>206</v>
      </c>
      <c r="G32" s="53">
        <v>2650</v>
      </c>
      <c r="H32" s="54">
        <v>150</v>
      </c>
      <c r="I32" s="50">
        <f t="shared" si="0"/>
        <v>2800</v>
      </c>
      <c r="J32" s="45">
        <v>0.31</v>
      </c>
      <c r="K32" s="65">
        <f t="shared" si="1"/>
        <v>821.5</v>
      </c>
      <c r="L32" s="66">
        <f t="shared" si="2"/>
        <v>0.69</v>
      </c>
      <c r="M32" s="67">
        <f t="shared" si="3"/>
        <v>1828.5</v>
      </c>
      <c r="N32" s="43">
        <f t="shared" si="4"/>
        <v>40.044150000000002</v>
      </c>
      <c r="O32" s="92">
        <f t="shared" si="5"/>
        <v>73.414275000000004</v>
      </c>
      <c r="P32" s="72">
        <f t="shared" si="6"/>
        <v>46.718175000000002</v>
      </c>
      <c r="Q32" s="72">
        <f t="shared" si="7"/>
        <v>6.6740250000000003</v>
      </c>
      <c r="R32" s="25">
        <f t="shared" si="8"/>
        <v>1.334805</v>
      </c>
      <c r="S32" s="72">
        <f t="shared" si="9"/>
        <v>2.8631567250000001</v>
      </c>
      <c r="T32" s="72">
        <f t="shared" si="10"/>
        <v>3.9643708499999999</v>
      </c>
      <c r="U32" s="72">
        <f t="shared" si="11"/>
        <v>3.7441280250000002</v>
      </c>
      <c r="V32" s="72">
        <f t="shared" si="12"/>
        <v>0.55060706250000002</v>
      </c>
      <c r="W32" s="72">
        <f t="shared" si="13"/>
        <v>0.1101214125</v>
      </c>
      <c r="X32" s="72">
        <f t="shared" si="14"/>
        <v>4.1846136749999996</v>
      </c>
      <c r="Y32" s="72">
        <f t="shared" si="15"/>
        <v>5.7263134500000001</v>
      </c>
      <c r="Z32" s="72">
        <f t="shared" si="16"/>
        <v>3.9643708499999999</v>
      </c>
      <c r="AA32" s="72">
        <f t="shared" si="17"/>
        <v>0</v>
      </c>
      <c r="AB32" s="72">
        <f t="shared" si="18"/>
        <v>0</v>
      </c>
      <c r="AC32" s="91">
        <f t="shared" si="19"/>
        <v>32.996379599999997</v>
      </c>
      <c r="AD32" s="91">
        <f t="shared" si="20"/>
        <v>63.72359070000001</v>
      </c>
      <c r="AE32" s="91">
        <f t="shared" si="21"/>
        <v>39.009676124999999</v>
      </c>
      <c r="AF32" s="91">
        <f t="shared" si="22"/>
        <v>6.1234179375000002</v>
      </c>
      <c r="AG32" s="91">
        <f t="shared" si="23"/>
        <v>1.2246835874999999</v>
      </c>
      <c r="AH32" s="39">
        <f t="shared" si="24"/>
        <v>21.275849999999998</v>
      </c>
      <c r="AI32" s="77">
        <f t="shared" si="25"/>
        <v>39.005724999999998</v>
      </c>
      <c r="AJ32" s="77">
        <f t="shared" si="26"/>
        <v>24.821825</v>
      </c>
      <c r="AK32" s="77">
        <f t="shared" si="27"/>
        <v>3.5459749999999999</v>
      </c>
      <c r="AL32" s="26">
        <f t="shared" si="28"/>
        <v>0.70919500000000002</v>
      </c>
      <c r="AM32" s="27">
        <v>0.9</v>
      </c>
      <c r="AN32" s="27">
        <v>0.75</v>
      </c>
      <c r="AO32" s="27">
        <v>0.9</v>
      </c>
      <c r="AP32" s="27">
        <v>0.1</v>
      </c>
      <c r="AQ32" s="27">
        <v>0.1</v>
      </c>
      <c r="AR32" s="26">
        <f t="shared" si="29"/>
        <v>21.725106052499999</v>
      </c>
      <c r="AS32" s="26">
        <f t="shared" si="30"/>
        <v>32.227571887499998</v>
      </c>
      <c r="AT32" s="26">
        <f t="shared" si="31"/>
        <v>25.709357722499998</v>
      </c>
      <c r="AU32" s="26">
        <f t="shared" si="32"/>
        <v>0.40965820624999999</v>
      </c>
      <c r="AV32" s="26">
        <f t="shared" si="33"/>
        <v>8.1931641250000006E-2</v>
      </c>
      <c r="AW32" s="26">
        <f t="shared" si="34"/>
        <v>2.4139006724999987</v>
      </c>
      <c r="AX32" s="26">
        <f t="shared" si="35"/>
        <v>10.742523962500002</v>
      </c>
      <c r="AY32" s="26">
        <f t="shared" si="36"/>
        <v>2.8565953025000006</v>
      </c>
      <c r="AZ32" s="26">
        <f t="shared" si="37"/>
        <v>3.6869238562499995</v>
      </c>
      <c r="BA32" s="40">
        <f t="shared" si="38"/>
        <v>0.73738477125000002</v>
      </c>
      <c r="BB32" s="37">
        <f t="shared" si="39"/>
        <v>61.32</v>
      </c>
      <c r="BC32" s="28">
        <f t="shared" si="40"/>
        <v>112.42</v>
      </c>
      <c r="BD32" s="28">
        <f t="shared" si="41"/>
        <v>71.540000000000006</v>
      </c>
      <c r="BE32" s="29">
        <f t="shared" si="42"/>
        <v>10.220000000000001</v>
      </c>
      <c r="BF32" s="29">
        <f t="shared" si="43"/>
        <v>2.044</v>
      </c>
      <c r="BG32" s="28">
        <f t="shared" si="44"/>
        <v>35.410280272499996</v>
      </c>
      <c r="BH32" s="28">
        <f t="shared" si="45"/>
        <v>74.466114662500019</v>
      </c>
      <c r="BI32" s="28">
        <f t="shared" si="46"/>
        <v>41.866271427499996</v>
      </c>
      <c r="BJ32" s="29">
        <f t="shared" si="47"/>
        <v>9.8103417937500001</v>
      </c>
      <c r="BK32" s="29">
        <f t="shared" si="48"/>
        <v>1.9620683587499999</v>
      </c>
      <c r="BL32" s="28">
        <f t="shared" si="49"/>
        <v>25.909719727499997</v>
      </c>
      <c r="BM32" s="28">
        <f t="shared" si="50"/>
        <v>37.953885337499997</v>
      </c>
      <c r="BN32" s="28">
        <f t="shared" si="51"/>
        <v>29.673728572499996</v>
      </c>
      <c r="BO32" s="29">
        <f t="shared" si="52"/>
        <v>0.40965820624999999</v>
      </c>
      <c r="BP32" s="30">
        <f t="shared" si="53"/>
        <v>8.1931641250000006E-2</v>
      </c>
      <c r="BQ32" s="10">
        <v>423770</v>
      </c>
      <c r="BR32" s="6">
        <v>75905</v>
      </c>
      <c r="BS32" t="s">
        <v>135</v>
      </c>
    </row>
    <row r="33" spans="1:71" x14ac:dyDescent="0.25">
      <c r="A33" s="18"/>
      <c r="B33" s="18">
        <v>74</v>
      </c>
      <c r="C33" s="19" t="s">
        <v>5</v>
      </c>
      <c r="D33" s="60">
        <v>2042</v>
      </c>
      <c r="E33" s="47" t="s">
        <v>164</v>
      </c>
      <c r="F33" s="13" t="s">
        <v>206</v>
      </c>
      <c r="G33" s="53">
        <v>2289</v>
      </c>
      <c r="H33" s="54">
        <v>386</v>
      </c>
      <c r="I33" s="50">
        <f t="shared" si="0"/>
        <v>2675</v>
      </c>
      <c r="J33" s="45">
        <v>0.57999999999999996</v>
      </c>
      <c r="K33" s="65">
        <f t="shared" si="1"/>
        <v>1327.62</v>
      </c>
      <c r="L33" s="66">
        <f t="shared" si="2"/>
        <v>0.42000000000000004</v>
      </c>
      <c r="M33" s="67">
        <f t="shared" si="3"/>
        <v>961.38000000000011</v>
      </c>
      <c r="N33" s="43">
        <f t="shared" si="4"/>
        <v>21.054221999999999</v>
      </c>
      <c r="O33" s="92">
        <f t="shared" si="5"/>
        <v>38.599407000000006</v>
      </c>
      <c r="P33" s="72">
        <f t="shared" si="6"/>
        <v>24.563259000000002</v>
      </c>
      <c r="Q33" s="72">
        <f t="shared" si="7"/>
        <v>3.5090370000000006</v>
      </c>
      <c r="R33" s="25">
        <f t="shared" si="8"/>
        <v>0.70180739999999997</v>
      </c>
      <c r="S33" s="72">
        <f t="shared" si="9"/>
        <v>1.5053768730000003</v>
      </c>
      <c r="T33" s="72">
        <f t="shared" si="10"/>
        <v>2.0843679780000004</v>
      </c>
      <c r="U33" s="72">
        <f t="shared" si="11"/>
        <v>1.9685697570000005</v>
      </c>
      <c r="V33" s="72">
        <f t="shared" si="12"/>
        <v>0.28949555250000009</v>
      </c>
      <c r="W33" s="72">
        <f t="shared" si="13"/>
        <v>5.7899110500000003E-2</v>
      </c>
      <c r="X33" s="72">
        <f t="shared" si="14"/>
        <v>2.2001661990000003</v>
      </c>
      <c r="Y33" s="72">
        <f t="shared" si="15"/>
        <v>3.0107537460000007</v>
      </c>
      <c r="Z33" s="72">
        <f t="shared" si="16"/>
        <v>2.0843679780000004</v>
      </c>
      <c r="AA33" s="72">
        <f t="shared" si="17"/>
        <v>0</v>
      </c>
      <c r="AB33" s="72">
        <f t="shared" si="18"/>
        <v>0</v>
      </c>
      <c r="AC33" s="91">
        <f t="shared" si="19"/>
        <v>17.348678927999998</v>
      </c>
      <c r="AD33" s="91">
        <f t="shared" si="20"/>
        <v>33.504285276000005</v>
      </c>
      <c r="AE33" s="91">
        <f t="shared" si="21"/>
        <v>20.510321265000002</v>
      </c>
      <c r="AF33" s="91">
        <f t="shared" si="22"/>
        <v>3.2195414475000006</v>
      </c>
      <c r="AG33" s="91">
        <f t="shared" si="23"/>
        <v>0.64390828950000001</v>
      </c>
      <c r="AH33" s="39">
        <f t="shared" si="24"/>
        <v>37.528278</v>
      </c>
      <c r="AI33" s="77">
        <f t="shared" si="25"/>
        <v>68.801843000000005</v>
      </c>
      <c r="AJ33" s="77">
        <f t="shared" si="26"/>
        <v>43.782991000000003</v>
      </c>
      <c r="AK33" s="77">
        <f t="shared" si="27"/>
        <v>6.2547129999999989</v>
      </c>
      <c r="AL33" s="26">
        <f t="shared" si="28"/>
        <v>1.2509425999999999</v>
      </c>
      <c r="AM33" s="27">
        <v>0.9</v>
      </c>
      <c r="AN33" s="27">
        <v>0.75</v>
      </c>
      <c r="AO33" s="27">
        <v>0.9</v>
      </c>
      <c r="AP33" s="27">
        <v>0.1</v>
      </c>
      <c r="AQ33" s="27">
        <v>0.1</v>
      </c>
      <c r="AR33" s="26">
        <f t="shared" si="29"/>
        <v>35.130289385700003</v>
      </c>
      <c r="AS33" s="26">
        <f t="shared" si="30"/>
        <v>53.164658233500006</v>
      </c>
      <c r="AT33" s="26">
        <f t="shared" si="31"/>
        <v>41.176404681299999</v>
      </c>
      <c r="AU33" s="26">
        <f t="shared" si="32"/>
        <v>0.65442085524999993</v>
      </c>
      <c r="AV33" s="26">
        <f t="shared" si="33"/>
        <v>0.13088417105</v>
      </c>
      <c r="AW33" s="26">
        <f t="shared" si="34"/>
        <v>3.9033654873000003</v>
      </c>
      <c r="AX33" s="26">
        <f t="shared" si="35"/>
        <v>17.721552744500002</v>
      </c>
      <c r="AY33" s="26">
        <f t="shared" si="36"/>
        <v>4.5751560757000007</v>
      </c>
      <c r="AZ33" s="26">
        <f t="shared" si="37"/>
        <v>5.8897876972499992</v>
      </c>
      <c r="BA33" s="40">
        <f t="shared" si="38"/>
        <v>1.1779575394499999</v>
      </c>
      <c r="BB33" s="37">
        <f t="shared" si="39"/>
        <v>58.582499999999996</v>
      </c>
      <c r="BC33" s="28">
        <f t="shared" si="40"/>
        <v>107.40125</v>
      </c>
      <c r="BD33" s="28">
        <f t="shared" si="41"/>
        <v>68.346249999999998</v>
      </c>
      <c r="BE33" s="29">
        <f t="shared" si="42"/>
        <v>9.7637499999999999</v>
      </c>
      <c r="BF33" s="29">
        <f t="shared" si="43"/>
        <v>1.95275</v>
      </c>
      <c r="BG33" s="28">
        <f t="shared" si="44"/>
        <v>21.252044415299999</v>
      </c>
      <c r="BH33" s="28">
        <f t="shared" si="45"/>
        <v>51.225838020500007</v>
      </c>
      <c r="BI33" s="28">
        <f t="shared" si="46"/>
        <v>25.085477340700002</v>
      </c>
      <c r="BJ33" s="29">
        <f t="shared" si="47"/>
        <v>9.1093291447499993</v>
      </c>
      <c r="BK33" s="29">
        <f t="shared" si="48"/>
        <v>1.82186582895</v>
      </c>
      <c r="BL33" s="28">
        <f t="shared" si="49"/>
        <v>37.330455584700005</v>
      </c>
      <c r="BM33" s="28">
        <f t="shared" si="50"/>
        <v>56.175411979500005</v>
      </c>
      <c r="BN33" s="28">
        <f t="shared" si="51"/>
        <v>43.260772659300002</v>
      </c>
      <c r="BO33" s="29">
        <f t="shared" si="52"/>
        <v>0.65442085524999993</v>
      </c>
      <c r="BP33" s="30">
        <f t="shared" si="53"/>
        <v>0.13088417105</v>
      </c>
      <c r="BQ33" s="10">
        <f>376200*0.6</f>
        <v>225720</v>
      </c>
      <c r="BR33" s="6">
        <f>447600*0.6</f>
        <v>268560</v>
      </c>
      <c r="BS33" t="s">
        <v>131</v>
      </c>
    </row>
    <row r="34" spans="1:71" x14ac:dyDescent="0.25">
      <c r="A34" s="18"/>
      <c r="B34" s="18">
        <v>75</v>
      </c>
      <c r="C34" s="19" t="s">
        <v>114</v>
      </c>
      <c r="D34" s="60">
        <v>1987</v>
      </c>
      <c r="E34" s="47" t="s">
        <v>188</v>
      </c>
      <c r="F34" s="13" t="s">
        <v>206</v>
      </c>
      <c r="G34" s="53">
        <v>2192</v>
      </c>
      <c r="H34" s="53">
        <v>4470</v>
      </c>
      <c r="I34" s="50">
        <f t="shared" si="0"/>
        <v>6662</v>
      </c>
      <c r="J34" s="45">
        <v>0.93</v>
      </c>
      <c r="K34" s="65">
        <f t="shared" si="1"/>
        <v>2038.56</v>
      </c>
      <c r="L34" s="66">
        <f t="shared" si="2"/>
        <v>6.9999999999999951E-2</v>
      </c>
      <c r="M34" s="67">
        <f t="shared" si="3"/>
        <v>153.44000000000005</v>
      </c>
      <c r="N34" s="43">
        <f t="shared" si="4"/>
        <v>3.3603360000000015</v>
      </c>
      <c r="O34" s="92">
        <f t="shared" si="5"/>
        <v>6.1606160000000019</v>
      </c>
      <c r="P34" s="72">
        <f t="shared" si="6"/>
        <v>3.920392000000001</v>
      </c>
      <c r="Q34" s="72">
        <f t="shared" si="7"/>
        <v>0.56005600000000022</v>
      </c>
      <c r="R34" s="25">
        <f t="shared" si="8"/>
        <v>0.11201120000000005</v>
      </c>
      <c r="S34" s="72">
        <f t="shared" si="9"/>
        <v>0.2402640240000001</v>
      </c>
      <c r="T34" s="72">
        <f t="shared" si="10"/>
        <v>0.33267326400000019</v>
      </c>
      <c r="U34" s="72">
        <f t="shared" si="11"/>
        <v>0.31419141600000011</v>
      </c>
      <c r="V34" s="72">
        <f t="shared" si="12"/>
        <v>4.6204620000000023E-2</v>
      </c>
      <c r="W34" s="72">
        <f t="shared" si="13"/>
        <v>9.2409240000000045E-3</v>
      </c>
      <c r="X34" s="72">
        <f t="shared" si="14"/>
        <v>0.35115511200000016</v>
      </c>
      <c r="Y34" s="72">
        <f t="shared" si="15"/>
        <v>0.48052804800000021</v>
      </c>
      <c r="Z34" s="72">
        <f t="shared" si="16"/>
        <v>0.33267326400000019</v>
      </c>
      <c r="AA34" s="72">
        <f t="shared" si="17"/>
        <v>0</v>
      </c>
      <c r="AB34" s="72">
        <f t="shared" si="18"/>
        <v>0</v>
      </c>
      <c r="AC34" s="91">
        <f t="shared" si="19"/>
        <v>2.7689168640000013</v>
      </c>
      <c r="AD34" s="91">
        <f t="shared" si="20"/>
        <v>5.3474146880000015</v>
      </c>
      <c r="AE34" s="91">
        <f t="shared" si="21"/>
        <v>3.2735273200000004</v>
      </c>
      <c r="AF34" s="91">
        <f t="shared" si="22"/>
        <v>0.51385138000000019</v>
      </c>
      <c r="AG34" s="91">
        <f t="shared" si="23"/>
        <v>0.10277027600000005</v>
      </c>
      <c r="AH34" s="39">
        <f t="shared" si="24"/>
        <v>142.537464</v>
      </c>
      <c r="AI34" s="77">
        <f t="shared" si="25"/>
        <v>261.31868400000002</v>
      </c>
      <c r="AJ34" s="77">
        <f t="shared" si="26"/>
        <v>166.29370799999998</v>
      </c>
      <c r="AK34" s="77">
        <f t="shared" si="27"/>
        <v>23.756243999999995</v>
      </c>
      <c r="AL34" s="26">
        <f t="shared" si="28"/>
        <v>4.7512487999999999</v>
      </c>
      <c r="AM34" s="27">
        <v>0.9</v>
      </c>
      <c r="AN34" s="27">
        <v>0.75</v>
      </c>
      <c r="AO34" s="27">
        <v>0.9</v>
      </c>
      <c r="AP34" s="27">
        <v>0.1</v>
      </c>
      <c r="AQ34" s="27">
        <v>0.1</v>
      </c>
      <c r="AR34" s="26">
        <f t="shared" si="29"/>
        <v>128.4999552216</v>
      </c>
      <c r="AS34" s="26">
        <f t="shared" si="30"/>
        <v>196.23851794800001</v>
      </c>
      <c r="AT34" s="26">
        <f t="shared" si="31"/>
        <v>149.94710947439998</v>
      </c>
      <c r="AU34" s="26">
        <f t="shared" si="32"/>
        <v>2.3802448619999996</v>
      </c>
      <c r="AV34" s="26">
        <f t="shared" si="33"/>
        <v>0.47604897240000005</v>
      </c>
      <c r="AW34" s="26">
        <f t="shared" si="34"/>
        <v>14.277772802399994</v>
      </c>
      <c r="AX34" s="26">
        <f t="shared" si="35"/>
        <v>65.412839316000003</v>
      </c>
      <c r="AY34" s="26">
        <f t="shared" si="36"/>
        <v>16.660789941600001</v>
      </c>
      <c r="AZ34" s="26">
        <f t="shared" si="37"/>
        <v>21.422203757999995</v>
      </c>
      <c r="BA34" s="40">
        <f t="shared" si="38"/>
        <v>4.2844407516</v>
      </c>
      <c r="BB34" s="37">
        <f t="shared" si="39"/>
        <v>145.89779999999999</v>
      </c>
      <c r="BC34" s="28">
        <f t="shared" si="40"/>
        <v>267.47930000000002</v>
      </c>
      <c r="BD34" s="28">
        <f t="shared" si="41"/>
        <v>170.21409999999997</v>
      </c>
      <c r="BE34" s="29">
        <f t="shared" si="42"/>
        <v>24.316299999999995</v>
      </c>
      <c r="BF34" s="29">
        <f t="shared" si="43"/>
        <v>4.8632600000000004</v>
      </c>
      <c r="BG34" s="28">
        <f t="shared" si="44"/>
        <v>17.046689666399995</v>
      </c>
      <c r="BH34" s="28">
        <f t="shared" si="45"/>
        <v>70.760254004000004</v>
      </c>
      <c r="BI34" s="28">
        <f t="shared" si="46"/>
        <v>19.9343172616</v>
      </c>
      <c r="BJ34" s="29">
        <f t="shared" si="47"/>
        <v>21.936055137999993</v>
      </c>
      <c r="BK34" s="29">
        <f t="shared" si="48"/>
        <v>4.3872110276000003</v>
      </c>
      <c r="BL34" s="28">
        <f t="shared" si="49"/>
        <v>128.85111033359999</v>
      </c>
      <c r="BM34" s="28">
        <f t="shared" si="50"/>
        <v>196.71904599600001</v>
      </c>
      <c r="BN34" s="28">
        <f t="shared" si="51"/>
        <v>150.27978273839997</v>
      </c>
      <c r="BO34" s="29">
        <f t="shared" si="52"/>
        <v>2.3802448619999996</v>
      </c>
      <c r="BP34" s="30">
        <f t="shared" si="53"/>
        <v>0.47604897240000005</v>
      </c>
      <c r="BQ34" s="10">
        <v>0</v>
      </c>
      <c r="BR34" s="6">
        <v>228780</v>
      </c>
    </row>
    <row r="35" spans="1:71" x14ac:dyDescent="0.25">
      <c r="A35" s="18"/>
      <c r="B35" s="18">
        <v>76</v>
      </c>
      <c r="C35" s="19" t="s">
        <v>112</v>
      </c>
      <c r="D35" s="60">
        <v>1985</v>
      </c>
      <c r="E35" s="47" t="s">
        <v>11</v>
      </c>
      <c r="F35" s="13" t="s">
        <v>206</v>
      </c>
      <c r="G35" s="53">
        <v>2182</v>
      </c>
      <c r="H35" s="54">
        <v>0</v>
      </c>
      <c r="I35" s="50">
        <f t="shared" si="0"/>
        <v>2182</v>
      </c>
      <c r="J35" s="45">
        <v>0.5</v>
      </c>
      <c r="K35" s="65">
        <f t="shared" si="1"/>
        <v>1091</v>
      </c>
      <c r="L35" s="66">
        <f t="shared" si="2"/>
        <v>0.5</v>
      </c>
      <c r="M35" s="67">
        <f t="shared" si="3"/>
        <v>1091</v>
      </c>
      <c r="N35" s="43">
        <f t="shared" si="4"/>
        <v>23.892900000000001</v>
      </c>
      <c r="O35" s="92">
        <f t="shared" si="5"/>
        <v>43.803649999999998</v>
      </c>
      <c r="P35" s="72">
        <f t="shared" si="6"/>
        <v>27.875050000000002</v>
      </c>
      <c r="Q35" s="72">
        <f t="shared" si="7"/>
        <v>3.9821499999999999</v>
      </c>
      <c r="R35" s="25">
        <f t="shared" si="8"/>
        <v>0.79642999999999997</v>
      </c>
      <c r="S35" s="72">
        <f t="shared" si="9"/>
        <v>1.7083423500000001</v>
      </c>
      <c r="T35" s="72">
        <f t="shared" si="10"/>
        <v>2.3653971</v>
      </c>
      <c r="U35" s="72">
        <f t="shared" si="11"/>
        <v>2.2339861500000002</v>
      </c>
      <c r="V35" s="72">
        <f t="shared" si="12"/>
        <v>0.32852737500000001</v>
      </c>
      <c r="W35" s="72">
        <f t="shared" si="13"/>
        <v>6.5705474999999999E-2</v>
      </c>
      <c r="X35" s="72">
        <f t="shared" si="14"/>
        <v>2.4968080500000003</v>
      </c>
      <c r="Y35" s="72">
        <f t="shared" si="15"/>
        <v>3.4166847000000002</v>
      </c>
      <c r="Z35" s="72">
        <f t="shared" si="16"/>
        <v>2.3653971</v>
      </c>
      <c r="AA35" s="72">
        <f t="shared" si="17"/>
        <v>0</v>
      </c>
      <c r="AB35" s="72">
        <f t="shared" si="18"/>
        <v>0</v>
      </c>
      <c r="AC35" s="91">
        <f t="shared" si="19"/>
        <v>19.687749600000004</v>
      </c>
      <c r="AD35" s="91">
        <f t="shared" si="20"/>
        <v>38.021568199999997</v>
      </c>
      <c r="AE35" s="91">
        <f t="shared" si="21"/>
        <v>23.275666750000003</v>
      </c>
      <c r="AF35" s="91">
        <f t="shared" si="22"/>
        <v>3.6536226249999997</v>
      </c>
      <c r="AG35" s="91">
        <f t="shared" si="23"/>
        <v>0.73072452499999996</v>
      </c>
      <c r="AH35" s="39">
        <f t="shared" si="24"/>
        <v>23.892900000000001</v>
      </c>
      <c r="AI35" s="77">
        <f t="shared" si="25"/>
        <v>43.803649999999998</v>
      </c>
      <c r="AJ35" s="77">
        <f t="shared" si="26"/>
        <v>27.875050000000002</v>
      </c>
      <c r="AK35" s="77">
        <f t="shared" si="27"/>
        <v>3.9821499999999999</v>
      </c>
      <c r="AL35" s="26">
        <f t="shared" si="28"/>
        <v>0.79642999999999997</v>
      </c>
      <c r="AM35" s="27">
        <v>0.9</v>
      </c>
      <c r="AN35" s="27">
        <v>0.75</v>
      </c>
      <c r="AO35" s="27">
        <v>0.9</v>
      </c>
      <c r="AP35" s="27">
        <v>0.1</v>
      </c>
      <c r="AQ35" s="27">
        <v>0.1</v>
      </c>
      <c r="AR35" s="26">
        <f t="shared" si="29"/>
        <v>23.041118115</v>
      </c>
      <c r="AS35" s="26">
        <f t="shared" si="30"/>
        <v>34.626785325</v>
      </c>
      <c r="AT35" s="26">
        <f t="shared" si="31"/>
        <v>27.098132535000001</v>
      </c>
      <c r="AU35" s="26">
        <f t="shared" si="32"/>
        <v>0.43106773750000005</v>
      </c>
      <c r="AV35" s="26">
        <f t="shared" si="33"/>
        <v>8.6213547500000001E-2</v>
      </c>
      <c r="AW35" s="26">
        <f t="shared" si="34"/>
        <v>2.560124235</v>
      </c>
      <c r="AX35" s="26">
        <f t="shared" si="35"/>
        <v>11.542261775</v>
      </c>
      <c r="AY35" s="26">
        <f t="shared" si="36"/>
        <v>3.0109036150000001</v>
      </c>
      <c r="AZ35" s="26">
        <f t="shared" si="37"/>
        <v>3.8796096374999998</v>
      </c>
      <c r="BA35" s="40">
        <f t="shared" si="38"/>
        <v>0.7759219275</v>
      </c>
      <c r="BB35" s="37">
        <f t="shared" si="39"/>
        <v>47.785800000000002</v>
      </c>
      <c r="BC35" s="28">
        <f t="shared" si="40"/>
        <v>87.607299999999995</v>
      </c>
      <c r="BD35" s="28">
        <f t="shared" si="41"/>
        <v>55.750100000000003</v>
      </c>
      <c r="BE35" s="29">
        <f t="shared" si="42"/>
        <v>7.9642999999999997</v>
      </c>
      <c r="BF35" s="29">
        <f t="shared" si="43"/>
        <v>1.5928599999999999</v>
      </c>
      <c r="BG35" s="28">
        <f t="shared" si="44"/>
        <v>22.247873835000004</v>
      </c>
      <c r="BH35" s="28">
        <f t="shared" si="45"/>
        <v>49.563829974999997</v>
      </c>
      <c r="BI35" s="28">
        <f t="shared" si="46"/>
        <v>26.286570365000003</v>
      </c>
      <c r="BJ35" s="29">
        <f t="shared" si="47"/>
        <v>7.5332322624999994</v>
      </c>
      <c r="BK35" s="29">
        <f t="shared" si="48"/>
        <v>1.5066464525000001</v>
      </c>
      <c r="BL35" s="28">
        <f t="shared" si="49"/>
        <v>25.537926165000002</v>
      </c>
      <c r="BM35" s="28">
        <f t="shared" si="50"/>
        <v>38.043470024999998</v>
      </c>
      <c r="BN35" s="28">
        <f t="shared" si="51"/>
        <v>29.463529635</v>
      </c>
      <c r="BO35" s="29">
        <f t="shared" si="52"/>
        <v>0.43106773750000005</v>
      </c>
      <c r="BP35" s="30">
        <f t="shared" si="53"/>
        <v>8.6213547500000001E-2</v>
      </c>
      <c r="BQ35" s="10">
        <f>1475500*0.6</f>
        <v>885300</v>
      </c>
      <c r="BR35" s="6">
        <f>310200*0.6</f>
        <v>186120</v>
      </c>
      <c r="BS35" t="s">
        <v>128</v>
      </c>
    </row>
    <row r="36" spans="1:71" x14ac:dyDescent="0.25">
      <c r="A36" s="18"/>
      <c r="B36" s="18">
        <v>77</v>
      </c>
      <c r="C36" s="19" t="s">
        <v>113</v>
      </c>
      <c r="D36" s="60">
        <v>1951</v>
      </c>
      <c r="E36" s="47" t="s">
        <v>189</v>
      </c>
      <c r="F36" s="13" t="s">
        <v>206</v>
      </c>
      <c r="G36" s="53">
        <v>2497</v>
      </c>
      <c r="H36" s="54">
        <v>9</v>
      </c>
      <c r="I36" s="50">
        <f t="shared" si="0"/>
        <v>2506</v>
      </c>
      <c r="J36" s="45">
        <v>0.48</v>
      </c>
      <c r="K36" s="65">
        <f t="shared" si="1"/>
        <v>1198.56</v>
      </c>
      <c r="L36" s="66">
        <f t="shared" si="2"/>
        <v>0.52</v>
      </c>
      <c r="M36" s="67">
        <f t="shared" si="3"/>
        <v>1298.44</v>
      </c>
      <c r="N36" s="43">
        <f t="shared" si="4"/>
        <v>28.435836000000005</v>
      </c>
      <c r="O36" s="92">
        <f t="shared" si="5"/>
        <v>52.132365999999998</v>
      </c>
      <c r="P36" s="72">
        <f t="shared" si="6"/>
        <v>33.175142000000001</v>
      </c>
      <c r="Q36" s="72">
        <f t="shared" si="7"/>
        <v>4.7393060000000009</v>
      </c>
      <c r="R36" s="25">
        <f t="shared" si="8"/>
        <v>0.94786120000000007</v>
      </c>
      <c r="S36" s="72">
        <f t="shared" si="9"/>
        <v>2.0331622740000004</v>
      </c>
      <c r="T36" s="72">
        <f t="shared" si="10"/>
        <v>2.8151477640000007</v>
      </c>
      <c r="U36" s="72">
        <f t="shared" si="11"/>
        <v>2.6587506660000004</v>
      </c>
      <c r="V36" s="72">
        <f t="shared" si="12"/>
        <v>0.39099274500000009</v>
      </c>
      <c r="W36" s="72">
        <f t="shared" si="13"/>
        <v>7.8198549000000006E-2</v>
      </c>
      <c r="X36" s="72">
        <f t="shared" si="14"/>
        <v>2.9715448620000005</v>
      </c>
      <c r="Y36" s="72">
        <f t="shared" si="15"/>
        <v>4.0663245480000008</v>
      </c>
      <c r="Z36" s="72">
        <f t="shared" si="16"/>
        <v>2.8151477640000007</v>
      </c>
      <c r="AA36" s="72">
        <f t="shared" si="17"/>
        <v>0</v>
      </c>
      <c r="AB36" s="72">
        <f t="shared" si="18"/>
        <v>0</v>
      </c>
      <c r="AC36" s="91">
        <f t="shared" si="19"/>
        <v>23.431128864000001</v>
      </c>
      <c r="AD36" s="91">
        <f t="shared" si="20"/>
        <v>45.250893687999991</v>
      </c>
      <c r="AE36" s="91">
        <f t="shared" si="21"/>
        <v>27.701243570000003</v>
      </c>
      <c r="AF36" s="91">
        <f t="shared" si="22"/>
        <v>4.3483132550000008</v>
      </c>
      <c r="AG36" s="91">
        <f t="shared" si="23"/>
        <v>0.86966265100000006</v>
      </c>
      <c r="AH36" s="39">
        <f t="shared" si="24"/>
        <v>26.445563999999997</v>
      </c>
      <c r="AI36" s="77">
        <f t="shared" si="25"/>
        <v>48.483533999999999</v>
      </c>
      <c r="AJ36" s="77">
        <f t="shared" si="26"/>
        <v>30.853158000000001</v>
      </c>
      <c r="AK36" s="77">
        <f t="shared" si="27"/>
        <v>4.4075939999999987</v>
      </c>
      <c r="AL36" s="26">
        <f t="shared" si="28"/>
        <v>0.88151879999999994</v>
      </c>
      <c r="AM36" s="27">
        <v>0.9</v>
      </c>
      <c r="AN36" s="27">
        <v>0.75</v>
      </c>
      <c r="AO36" s="27">
        <v>0.9</v>
      </c>
      <c r="AP36" s="27">
        <v>0.1</v>
      </c>
      <c r="AQ36" s="27">
        <v>0.1</v>
      </c>
      <c r="AR36" s="26">
        <f t="shared" si="29"/>
        <v>25.630853646599999</v>
      </c>
      <c r="AS36" s="26">
        <f t="shared" si="30"/>
        <v>38.474011322999999</v>
      </c>
      <c r="AT36" s="26">
        <f t="shared" si="31"/>
        <v>30.160717799400004</v>
      </c>
      <c r="AU36" s="26">
        <f t="shared" si="32"/>
        <v>0.47985867449999992</v>
      </c>
      <c r="AV36" s="26">
        <f t="shared" si="33"/>
        <v>9.5971734899999994E-2</v>
      </c>
      <c r="AW36" s="26">
        <f t="shared" si="34"/>
        <v>2.8478726273999975</v>
      </c>
      <c r="AX36" s="26">
        <f t="shared" si="35"/>
        <v>12.824670441000002</v>
      </c>
      <c r="AY36" s="26">
        <f t="shared" si="36"/>
        <v>3.3511908665999997</v>
      </c>
      <c r="AZ36" s="26">
        <f t="shared" si="37"/>
        <v>4.3187280704999989</v>
      </c>
      <c r="BA36" s="40">
        <f t="shared" si="38"/>
        <v>0.86374561409999995</v>
      </c>
      <c r="BB36" s="37">
        <f t="shared" si="39"/>
        <v>54.881399999999999</v>
      </c>
      <c r="BC36" s="28">
        <f t="shared" si="40"/>
        <v>100.6159</v>
      </c>
      <c r="BD36" s="28">
        <f t="shared" si="41"/>
        <v>64.028300000000002</v>
      </c>
      <c r="BE36" s="29">
        <f t="shared" si="42"/>
        <v>9.1468999999999987</v>
      </c>
      <c r="BF36" s="29">
        <f t="shared" si="43"/>
        <v>1.82938</v>
      </c>
      <c r="BG36" s="28">
        <f t="shared" si="44"/>
        <v>26.279001491399999</v>
      </c>
      <c r="BH36" s="28">
        <f t="shared" si="45"/>
        <v>58.075564128999993</v>
      </c>
      <c r="BI36" s="28">
        <f t="shared" si="46"/>
        <v>31.052434436600002</v>
      </c>
      <c r="BJ36" s="29">
        <f t="shared" si="47"/>
        <v>8.6670413254999996</v>
      </c>
      <c r="BK36" s="29">
        <f t="shared" si="48"/>
        <v>1.7334082651</v>
      </c>
      <c r="BL36" s="28">
        <f t="shared" si="49"/>
        <v>28.6023985086</v>
      </c>
      <c r="BM36" s="28">
        <f t="shared" si="50"/>
        <v>42.540335870999996</v>
      </c>
      <c r="BN36" s="28">
        <f t="shared" si="51"/>
        <v>32.975865563400006</v>
      </c>
      <c r="BO36" s="29">
        <f t="shared" si="52"/>
        <v>0.47985867449999992</v>
      </c>
      <c r="BP36" s="30">
        <f t="shared" si="53"/>
        <v>9.5971734899999994E-2</v>
      </c>
      <c r="BQ36" s="10">
        <v>243015</v>
      </c>
      <c r="BR36" s="6">
        <v>33335</v>
      </c>
      <c r="BS36" t="s">
        <v>128</v>
      </c>
    </row>
    <row r="37" spans="1:71" ht="60" x14ac:dyDescent="0.25">
      <c r="A37" s="18"/>
      <c r="B37" s="18">
        <v>82</v>
      </c>
      <c r="C37" s="19" t="s">
        <v>119</v>
      </c>
      <c r="D37" s="60">
        <v>1673</v>
      </c>
      <c r="E37" s="57" t="s">
        <v>194</v>
      </c>
      <c r="F37" s="14" t="s">
        <v>206</v>
      </c>
      <c r="G37" s="53">
        <v>1996</v>
      </c>
      <c r="H37" s="54">
        <v>0</v>
      </c>
      <c r="I37" s="50">
        <f t="shared" si="0"/>
        <v>1996</v>
      </c>
      <c r="J37" s="45">
        <v>0.45</v>
      </c>
      <c r="K37" s="65">
        <f t="shared" si="1"/>
        <v>898.2</v>
      </c>
      <c r="L37" s="66">
        <f t="shared" si="2"/>
        <v>0.55000000000000004</v>
      </c>
      <c r="M37" s="67">
        <f t="shared" si="3"/>
        <v>1097.8</v>
      </c>
      <c r="N37" s="43">
        <f t="shared" si="4"/>
        <v>24.041820000000001</v>
      </c>
      <c r="O37" s="92">
        <f t="shared" si="5"/>
        <v>44.07667</v>
      </c>
      <c r="P37" s="72">
        <f t="shared" si="6"/>
        <v>28.04879</v>
      </c>
      <c r="Q37" s="72">
        <f t="shared" si="7"/>
        <v>4.0069699999999999</v>
      </c>
      <c r="R37" s="25">
        <f t="shared" si="8"/>
        <v>0.80139400000000005</v>
      </c>
      <c r="S37" s="72">
        <f t="shared" si="9"/>
        <v>1.7189901300000001</v>
      </c>
      <c r="T37" s="72">
        <f t="shared" si="10"/>
        <v>2.3801401799999997</v>
      </c>
      <c r="U37" s="72">
        <f t="shared" si="11"/>
        <v>2.2479101699999995</v>
      </c>
      <c r="V37" s="72">
        <f t="shared" si="12"/>
        <v>0.33057502500000002</v>
      </c>
      <c r="W37" s="72">
        <f t="shared" si="13"/>
        <v>6.6115005000000004E-2</v>
      </c>
      <c r="X37" s="72">
        <f t="shared" si="14"/>
        <v>2.5123701899999999</v>
      </c>
      <c r="Y37" s="72">
        <f t="shared" si="15"/>
        <v>3.4379802600000002</v>
      </c>
      <c r="Z37" s="72">
        <f t="shared" si="16"/>
        <v>2.3801401799999997</v>
      </c>
      <c r="AA37" s="72">
        <f t="shared" si="17"/>
        <v>0</v>
      </c>
      <c r="AB37" s="72">
        <f t="shared" si="18"/>
        <v>0</v>
      </c>
      <c r="AC37" s="91">
        <f t="shared" si="19"/>
        <v>19.810459680000001</v>
      </c>
      <c r="AD37" s="91">
        <f t="shared" si="20"/>
        <v>38.258549559999999</v>
      </c>
      <c r="AE37" s="91">
        <f t="shared" si="21"/>
        <v>23.420739650000002</v>
      </c>
      <c r="AF37" s="91">
        <f t="shared" si="22"/>
        <v>3.676394975</v>
      </c>
      <c r="AG37" s="91">
        <f t="shared" si="23"/>
        <v>0.73527899500000005</v>
      </c>
      <c r="AH37" s="39">
        <f t="shared" si="24"/>
        <v>19.670580000000001</v>
      </c>
      <c r="AI37" s="77">
        <f t="shared" si="25"/>
        <v>36.062730000000002</v>
      </c>
      <c r="AJ37" s="77">
        <f t="shared" si="26"/>
        <v>22.949010000000001</v>
      </c>
      <c r="AK37" s="77">
        <f t="shared" si="27"/>
        <v>3.2784300000000002</v>
      </c>
      <c r="AL37" s="26">
        <f t="shared" si="28"/>
        <v>0.65568599999999999</v>
      </c>
      <c r="AM37" s="27">
        <v>0.9</v>
      </c>
      <c r="AN37" s="27">
        <v>0.75</v>
      </c>
      <c r="AO37" s="27">
        <v>0.9</v>
      </c>
      <c r="AP37" s="27">
        <v>0.1</v>
      </c>
      <c r="AQ37" s="27">
        <v>0.1</v>
      </c>
      <c r="AR37" s="26">
        <f t="shared" si="29"/>
        <v>19.250613117000004</v>
      </c>
      <c r="AS37" s="26">
        <f t="shared" si="30"/>
        <v>28.832152635</v>
      </c>
      <c r="AT37" s="26">
        <f t="shared" si="31"/>
        <v>22.677228153000001</v>
      </c>
      <c r="AU37" s="26">
        <f t="shared" si="32"/>
        <v>0.36090050250000005</v>
      </c>
      <c r="AV37" s="26">
        <f t="shared" si="33"/>
        <v>7.2180100499999997E-2</v>
      </c>
      <c r="AW37" s="26">
        <f t="shared" si="34"/>
        <v>2.1389570129999989</v>
      </c>
      <c r="AX37" s="26">
        <f t="shared" si="35"/>
        <v>9.610717545</v>
      </c>
      <c r="AY37" s="26">
        <f t="shared" si="36"/>
        <v>2.5196920170000006</v>
      </c>
      <c r="AZ37" s="26">
        <f t="shared" si="37"/>
        <v>3.2481045225000003</v>
      </c>
      <c r="BA37" s="40">
        <f t="shared" si="38"/>
        <v>0.64962090449999998</v>
      </c>
      <c r="BB37" s="37">
        <f t="shared" si="39"/>
        <v>43.712400000000002</v>
      </c>
      <c r="BC37" s="28">
        <f t="shared" si="40"/>
        <v>80.139399999999995</v>
      </c>
      <c r="BD37" s="28">
        <f t="shared" si="41"/>
        <v>50.997799999999998</v>
      </c>
      <c r="BE37" s="29">
        <f t="shared" si="42"/>
        <v>7.2854000000000001</v>
      </c>
      <c r="BF37" s="29">
        <f t="shared" si="43"/>
        <v>1.4570799999999999</v>
      </c>
      <c r="BG37" s="28">
        <f t="shared" si="44"/>
        <v>21.949416693</v>
      </c>
      <c r="BH37" s="28">
        <f t="shared" si="45"/>
        <v>47.869267104999999</v>
      </c>
      <c r="BI37" s="28">
        <f t="shared" si="46"/>
        <v>25.940431667000002</v>
      </c>
      <c r="BJ37" s="29">
        <f t="shared" si="47"/>
        <v>6.9244994975000003</v>
      </c>
      <c r="BK37" s="29">
        <f t="shared" si="48"/>
        <v>1.3848998995000001</v>
      </c>
      <c r="BL37" s="28">
        <f t="shared" si="49"/>
        <v>21.762983307000002</v>
      </c>
      <c r="BM37" s="28">
        <f t="shared" si="50"/>
        <v>32.270132895000003</v>
      </c>
      <c r="BN37" s="28">
        <f t="shared" si="51"/>
        <v>25.057368332999999</v>
      </c>
      <c r="BO37" s="29">
        <f t="shared" si="52"/>
        <v>0.36090050250000005</v>
      </c>
      <c r="BP37" s="30">
        <f t="shared" si="53"/>
        <v>7.2180100499999997E-2</v>
      </c>
      <c r="BQ37" s="10">
        <f>755650+16000+31850</f>
        <v>803500</v>
      </c>
      <c r="BR37" s="6">
        <v>214000</v>
      </c>
      <c r="BS37" t="s">
        <v>128</v>
      </c>
    </row>
    <row r="38" spans="1:71" x14ac:dyDescent="0.25">
      <c r="A38" s="18"/>
      <c r="B38" s="18">
        <v>83</v>
      </c>
      <c r="C38" s="19" t="s">
        <v>120</v>
      </c>
      <c r="D38" s="60">
        <v>1619</v>
      </c>
      <c r="E38" s="57" t="s">
        <v>200</v>
      </c>
      <c r="F38" s="14" t="s">
        <v>206</v>
      </c>
      <c r="G38" s="53">
        <v>1981</v>
      </c>
      <c r="H38" s="54">
        <v>35</v>
      </c>
      <c r="I38" s="50">
        <f t="shared" si="0"/>
        <v>2016</v>
      </c>
      <c r="J38" s="45">
        <v>0.32</v>
      </c>
      <c r="K38" s="65">
        <f t="shared" si="1"/>
        <v>633.91999999999996</v>
      </c>
      <c r="L38" s="66">
        <f t="shared" si="2"/>
        <v>0.67999999999999994</v>
      </c>
      <c r="M38" s="67">
        <f t="shared" si="3"/>
        <v>1347.08</v>
      </c>
      <c r="N38" s="43">
        <f t="shared" si="4"/>
        <v>29.501051999999998</v>
      </c>
      <c r="O38" s="92">
        <f t="shared" si="5"/>
        <v>54.085261999999993</v>
      </c>
      <c r="P38" s="72">
        <f t="shared" si="6"/>
        <v>34.417893999999997</v>
      </c>
      <c r="Q38" s="72">
        <f t="shared" si="7"/>
        <v>4.9168419999999999</v>
      </c>
      <c r="R38" s="25">
        <f t="shared" si="8"/>
        <v>0.98336839999999992</v>
      </c>
      <c r="S38" s="72">
        <f t="shared" si="9"/>
        <v>2.1093252180000004</v>
      </c>
      <c r="T38" s="72">
        <f t="shared" si="10"/>
        <v>2.9206041480000002</v>
      </c>
      <c r="U38" s="72">
        <f t="shared" si="11"/>
        <v>2.758348362</v>
      </c>
      <c r="V38" s="72">
        <f t="shared" si="12"/>
        <v>0.40563946500000003</v>
      </c>
      <c r="W38" s="72">
        <f t="shared" si="13"/>
        <v>8.1127892999999993E-2</v>
      </c>
      <c r="X38" s="72">
        <f t="shared" si="14"/>
        <v>3.0828599339999996</v>
      </c>
      <c r="Y38" s="72">
        <f t="shared" si="15"/>
        <v>4.2186504360000008</v>
      </c>
      <c r="Z38" s="72">
        <f t="shared" si="16"/>
        <v>2.9206041480000002</v>
      </c>
      <c r="AA38" s="72">
        <f t="shared" si="17"/>
        <v>0</v>
      </c>
      <c r="AB38" s="72">
        <f t="shared" si="18"/>
        <v>0</v>
      </c>
      <c r="AC38" s="91">
        <f t="shared" si="19"/>
        <v>24.308866848000001</v>
      </c>
      <c r="AD38" s="91">
        <f t="shared" si="20"/>
        <v>46.946007415999986</v>
      </c>
      <c r="AE38" s="91">
        <f t="shared" si="21"/>
        <v>28.738941489999998</v>
      </c>
      <c r="AF38" s="91">
        <f t="shared" si="22"/>
        <v>4.5112025349999998</v>
      </c>
      <c r="AG38" s="91">
        <f t="shared" si="23"/>
        <v>0.90224050699999991</v>
      </c>
      <c r="AH38" s="39">
        <f t="shared" si="24"/>
        <v>14.649347999999998</v>
      </c>
      <c r="AI38" s="77">
        <f t="shared" si="25"/>
        <v>26.857137999999999</v>
      </c>
      <c r="AJ38" s="77">
        <f t="shared" si="26"/>
        <v>17.090905999999997</v>
      </c>
      <c r="AK38" s="77">
        <f t="shared" si="27"/>
        <v>2.4415580000000001</v>
      </c>
      <c r="AL38" s="26">
        <f t="shared" si="28"/>
        <v>0.48831159999999996</v>
      </c>
      <c r="AM38" s="27">
        <v>0.9</v>
      </c>
      <c r="AN38" s="27">
        <v>0.75</v>
      </c>
      <c r="AO38" s="27">
        <v>0.9</v>
      </c>
      <c r="AP38" s="27">
        <v>0.1</v>
      </c>
      <c r="AQ38" s="27">
        <v>0.1</v>
      </c>
      <c r="AR38" s="26">
        <f t="shared" si="29"/>
        <v>15.082805896199998</v>
      </c>
      <c r="AS38" s="26">
        <f t="shared" si="30"/>
        <v>22.333306610999998</v>
      </c>
      <c r="AT38" s="26">
        <f t="shared" si="31"/>
        <v>17.864328925799999</v>
      </c>
      <c r="AU38" s="26">
        <f t="shared" si="32"/>
        <v>0.28471974650000004</v>
      </c>
      <c r="AV38" s="26">
        <f t="shared" si="33"/>
        <v>5.6943949299999998E-2</v>
      </c>
      <c r="AW38" s="26">
        <f t="shared" si="34"/>
        <v>1.6758673218000002</v>
      </c>
      <c r="AX38" s="26">
        <f t="shared" si="35"/>
        <v>7.4444355370000004</v>
      </c>
      <c r="AY38" s="26">
        <f t="shared" si="36"/>
        <v>1.9849254361999975</v>
      </c>
      <c r="AZ38" s="26">
        <f t="shared" si="37"/>
        <v>2.5624777185000003</v>
      </c>
      <c r="BA38" s="40">
        <f t="shared" si="38"/>
        <v>0.51249554369999994</v>
      </c>
      <c r="BB38" s="37">
        <f t="shared" si="39"/>
        <v>44.150399999999998</v>
      </c>
      <c r="BC38" s="28">
        <f t="shared" si="40"/>
        <v>80.942399999999992</v>
      </c>
      <c r="BD38" s="28">
        <f t="shared" si="41"/>
        <v>51.508799999999994</v>
      </c>
      <c r="BE38" s="29">
        <f t="shared" si="42"/>
        <v>7.3583999999999996</v>
      </c>
      <c r="BF38" s="29">
        <f t="shared" si="43"/>
        <v>1.4716799999999999</v>
      </c>
      <c r="BG38" s="28">
        <f t="shared" si="44"/>
        <v>25.984734169799999</v>
      </c>
      <c r="BH38" s="28">
        <f t="shared" si="45"/>
        <v>54.39044295299999</v>
      </c>
      <c r="BI38" s="28">
        <f t="shared" si="46"/>
        <v>30.723866926199996</v>
      </c>
      <c r="BJ38" s="29">
        <f t="shared" si="47"/>
        <v>7.0736802535000001</v>
      </c>
      <c r="BK38" s="29">
        <f t="shared" si="48"/>
        <v>1.4147360506999997</v>
      </c>
      <c r="BL38" s="28">
        <f t="shared" si="49"/>
        <v>18.165665830199998</v>
      </c>
      <c r="BM38" s="28">
        <f t="shared" si="50"/>
        <v>26.551957046999998</v>
      </c>
      <c r="BN38" s="28">
        <f t="shared" si="51"/>
        <v>20.784933073799998</v>
      </c>
      <c r="BO38" s="29">
        <f t="shared" si="52"/>
        <v>0.28471974650000004</v>
      </c>
      <c r="BP38" s="30">
        <f t="shared" si="53"/>
        <v>5.6943949299999998E-2</v>
      </c>
      <c r="BQ38" s="10">
        <v>579500</v>
      </c>
      <c r="BR38" s="6">
        <v>16000</v>
      </c>
      <c r="BS38" t="s">
        <v>128</v>
      </c>
    </row>
    <row r="39" spans="1:71" x14ac:dyDescent="0.25">
      <c r="A39" s="18"/>
      <c r="B39" s="18">
        <v>84</v>
      </c>
      <c r="C39" s="19" t="s">
        <v>121</v>
      </c>
      <c r="D39" s="60">
        <v>1534</v>
      </c>
      <c r="E39" s="47" t="s">
        <v>195</v>
      </c>
      <c r="F39" s="13" t="s">
        <v>206</v>
      </c>
      <c r="G39" s="53">
        <v>1871</v>
      </c>
      <c r="H39" s="53">
        <v>18700</v>
      </c>
      <c r="I39" s="50">
        <f t="shared" si="0"/>
        <v>20571</v>
      </c>
      <c r="J39" s="45">
        <v>0.56000000000000005</v>
      </c>
      <c r="K39" s="65">
        <f t="shared" si="1"/>
        <v>1047.76</v>
      </c>
      <c r="L39" s="66">
        <f t="shared" si="2"/>
        <v>0.43999999999999995</v>
      </c>
      <c r="M39" s="67">
        <f t="shared" si="3"/>
        <v>823.24</v>
      </c>
      <c r="N39" s="43">
        <f t="shared" si="4"/>
        <v>18.028956000000001</v>
      </c>
      <c r="O39" s="92">
        <f t="shared" si="5"/>
        <v>33.053085999999993</v>
      </c>
      <c r="P39" s="72">
        <f t="shared" si="6"/>
        <v>21.033781999999999</v>
      </c>
      <c r="Q39" s="72">
        <f t="shared" si="7"/>
        <v>3.004826</v>
      </c>
      <c r="R39" s="25">
        <f t="shared" si="8"/>
        <v>0.60096519999999998</v>
      </c>
      <c r="S39" s="72">
        <f t="shared" si="9"/>
        <v>1.2890703540000001</v>
      </c>
      <c r="T39" s="72">
        <f t="shared" si="10"/>
        <v>1.7848666440000001</v>
      </c>
      <c r="U39" s="72">
        <f t="shared" si="11"/>
        <v>1.6857073860000003</v>
      </c>
      <c r="V39" s="72">
        <f t="shared" si="12"/>
        <v>0.24789814500000001</v>
      </c>
      <c r="W39" s="72">
        <f t="shared" si="13"/>
        <v>4.9579629E-2</v>
      </c>
      <c r="X39" s="72">
        <f t="shared" si="14"/>
        <v>1.8840259019999999</v>
      </c>
      <c r="Y39" s="72">
        <f t="shared" si="15"/>
        <v>2.5781407080000003</v>
      </c>
      <c r="Z39" s="72">
        <f t="shared" si="16"/>
        <v>1.7848666440000001</v>
      </c>
      <c r="AA39" s="72">
        <f t="shared" si="17"/>
        <v>0</v>
      </c>
      <c r="AB39" s="72">
        <f t="shared" si="18"/>
        <v>0</v>
      </c>
      <c r="AC39" s="91">
        <f t="shared" si="19"/>
        <v>14.855859744000002</v>
      </c>
      <c r="AD39" s="91">
        <f t="shared" si="20"/>
        <v>28.690078647999993</v>
      </c>
      <c r="AE39" s="91">
        <f t="shared" si="21"/>
        <v>17.563207969999997</v>
      </c>
      <c r="AF39" s="91">
        <f t="shared" si="22"/>
        <v>2.7569278549999998</v>
      </c>
      <c r="AG39" s="91">
        <f t="shared" si="23"/>
        <v>0.55138557099999996</v>
      </c>
      <c r="AH39" s="39">
        <f t="shared" si="24"/>
        <v>432.47594399999991</v>
      </c>
      <c r="AI39" s="77">
        <f t="shared" si="25"/>
        <v>792.8725639999999</v>
      </c>
      <c r="AJ39" s="77">
        <f t="shared" si="26"/>
        <v>504.55526800000001</v>
      </c>
      <c r="AK39" s="77">
        <f t="shared" si="27"/>
        <v>72.079323999999986</v>
      </c>
      <c r="AL39" s="26">
        <f t="shared" si="28"/>
        <v>14.4158648</v>
      </c>
      <c r="AM39" s="27">
        <v>0.9</v>
      </c>
      <c r="AN39" s="27">
        <v>0.75</v>
      </c>
      <c r="AO39" s="27">
        <v>0.9</v>
      </c>
      <c r="AP39" s="27">
        <v>0.1</v>
      </c>
      <c r="AQ39" s="27">
        <v>0.1</v>
      </c>
      <c r="AR39" s="26">
        <f t="shared" si="29"/>
        <v>390.38851291859993</v>
      </c>
      <c r="AS39" s="26">
        <f t="shared" si="30"/>
        <v>595.99307298299993</v>
      </c>
      <c r="AT39" s="26">
        <f t="shared" si="31"/>
        <v>455.61687784740002</v>
      </c>
      <c r="AU39" s="26">
        <f t="shared" si="32"/>
        <v>7.2327222144999981</v>
      </c>
      <c r="AV39" s="26">
        <f t="shared" si="33"/>
        <v>1.4465444429000001</v>
      </c>
      <c r="AW39" s="26">
        <f t="shared" si="34"/>
        <v>43.376501435399973</v>
      </c>
      <c r="AX39" s="26">
        <f t="shared" si="35"/>
        <v>198.66435766099994</v>
      </c>
      <c r="AY39" s="26">
        <f t="shared" si="36"/>
        <v>50.624097538599983</v>
      </c>
      <c r="AZ39" s="26">
        <f t="shared" si="37"/>
        <v>65.094499930499978</v>
      </c>
      <c r="BA39" s="40">
        <f t="shared" si="38"/>
        <v>13.018899986099999</v>
      </c>
      <c r="BB39" s="37">
        <f t="shared" si="39"/>
        <v>450.50489999999991</v>
      </c>
      <c r="BC39" s="28">
        <f t="shared" si="40"/>
        <v>825.92564999999991</v>
      </c>
      <c r="BD39" s="28">
        <f t="shared" si="41"/>
        <v>525.58905000000004</v>
      </c>
      <c r="BE39" s="29">
        <f t="shared" si="42"/>
        <v>75.08414999999998</v>
      </c>
      <c r="BF39" s="29">
        <f t="shared" si="43"/>
        <v>15.016829999999999</v>
      </c>
      <c r="BG39" s="28">
        <f t="shared" si="44"/>
        <v>58.232361179399973</v>
      </c>
      <c r="BH39" s="28">
        <f t="shared" si="45"/>
        <v>227.35443630899994</v>
      </c>
      <c r="BI39" s="28">
        <f t="shared" si="46"/>
        <v>68.187305508599977</v>
      </c>
      <c r="BJ39" s="29">
        <f t="shared" si="47"/>
        <v>67.851427785499979</v>
      </c>
      <c r="BK39" s="29">
        <f t="shared" si="48"/>
        <v>13.5702855571</v>
      </c>
      <c r="BL39" s="28">
        <f t="shared" si="49"/>
        <v>392.27253882059995</v>
      </c>
      <c r="BM39" s="28">
        <f t="shared" si="50"/>
        <v>598.57121369099991</v>
      </c>
      <c r="BN39" s="28">
        <f t="shared" si="51"/>
        <v>457.4017444914</v>
      </c>
      <c r="BO39" s="29">
        <f t="shared" si="52"/>
        <v>7.2327222144999981</v>
      </c>
      <c r="BP39" s="30">
        <f t="shared" si="53"/>
        <v>1.4465444429000001</v>
      </c>
      <c r="BQ39" s="10">
        <v>0</v>
      </c>
      <c r="BR39" s="6">
        <v>32000</v>
      </c>
      <c r="BS39" t="s">
        <v>170</v>
      </c>
    </row>
    <row r="40" spans="1:71" ht="15.75" thickBot="1" x14ac:dyDescent="0.3">
      <c r="A40" s="111"/>
      <c r="B40" s="18">
        <v>85</v>
      </c>
      <c r="C40" s="19" t="s">
        <v>122</v>
      </c>
      <c r="D40" s="60">
        <v>1443</v>
      </c>
      <c r="E40" s="47" t="s">
        <v>196</v>
      </c>
      <c r="F40" s="13" t="s">
        <v>206</v>
      </c>
      <c r="G40" s="122">
        <v>1859</v>
      </c>
      <c r="H40" s="124">
        <v>325</v>
      </c>
      <c r="I40" s="125">
        <f t="shared" si="0"/>
        <v>2184</v>
      </c>
      <c r="J40" s="126">
        <v>0.3</v>
      </c>
      <c r="K40" s="129">
        <f t="shared" si="1"/>
        <v>557.70000000000005</v>
      </c>
      <c r="L40" s="130">
        <f t="shared" si="2"/>
        <v>0.7</v>
      </c>
      <c r="M40" s="131">
        <f t="shared" si="3"/>
        <v>1301.3</v>
      </c>
      <c r="N40" s="132">
        <f t="shared" si="4"/>
        <v>28.498470000000001</v>
      </c>
      <c r="O40" s="135">
        <f t="shared" si="5"/>
        <v>52.247194999999998</v>
      </c>
      <c r="P40" s="136">
        <f t="shared" si="6"/>
        <v>33.248215000000002</v>
      </c>
      <c r="Q40" s="136">
        <f t="shared" si="7"/>
        <v>4.7497449999999999</v>
      </c>
      <c r="R40" s="137">
        <f t="shared" si="8"/>
        <v>0.94994900000000004</v>
      </c>
      <c r="S40" s="136">
        <f t="shared" si="9"/>
        <v>2.037640605</v>
      </c>
      <c r="T40" s="136">
        <f t="shared" si="10"/>
        <v>2.8213485299999999</v>
      </c>
      <c r="U40" s="136">
        <f t="shared" si="11"/>
        <v>2.6646069450000001</v>
      </c>
      <c r="V40" s="136">
        <f t="shared" si="12"/>
        <v>0.39185396249999999</v>
      </c>
      <c r="W40" s="136">
        <f t="shared" si="13"/>
        <v>7.8370792500000008E-2</v>
      </c>
      <c r="X40" s="136">
        <f t="shared" si="14"/>
        <v>2.9780901150000001</v>
      </c>
      <c r="Y40" s="136">
        <f t="shared" si="15"/>
        <v>4.07528121</v>
      </c>
      <c r="Z40" s="136">
        <f t="shared" si="16"/>
        <v>2.8213485299999999</v>
      </c>
      <c r="AA40" s="136">
        <f t="shared" si="17"/>
        <v>0</v>
      </c>
      <c r="AB40" s="136">
        <f t="shared" si="18"/>
        <v>0</v>
      </c>
      <c r="AC40" s="138">
        <f t="shared" si="19"/>
        <v>23.482739280000001</v>
      </c>
      <c r="AD40" s="138">
        <f t="shared" si="20"/>
        <v>45.350565259999996</v>
      </c>
      <c r="AE40" s="138">
        <f t="shared" si="21"/>
        <v>27.762259525000005</v>
      </c>
      <c r="AF40" s="138">
        <f t="shared" si="22"/>
        <v>4.3578910375</v>
      </c>
      <c r="AG40" s="138">
        <f t="shared" si="23"/>
        <v>0.87157820750000004</v>
      </c>
      <c r="AH40" s="139">
        <f t="shared" si="24"/>
        <v>19.331130000000002</v>
      </c>
      <c r="AI40" s="141">
        <f t="shared" si="25"/>
        <v>35.440404999999998</v>
      </c>
      <c r="AJ40" s="141">
        <f t="shared" si="26"/>
        <v>22.552985</v>
      </c>
      <c r="AK40" s="141">
        <f t="shared" si="27"/>
        <v>3.2218550000000001</v>
      </c>
      <c r="AL40" s="142">
        <f t="shared" si="28"/>
        <v>0.64437100000000003</v>
      </c>
      <c r="AM40" s="143">
        <v>0.9</v>
      </c>
      <c r="AN40" s="143">
        <v>0.75</v>
      </c>
      <c r="AO40" s="143">
        <v>0.9</v>
      </c>
      <c r="AP40" s="143">
        <v>0.1</v>
      </c>
      <c r="AQ40" s="143">
        <v>0.1</v>
      </c>
      <c r="AR40" s="142">
        <f t="shared" si="29"/>
        <v>19.231893544500004</v>
      </c>
      <c r="AS40" s="142">
        <f t="shared" si="30"/>
        <v>28.696315147500002</v>
      </c>
      <c r="AT40" s="142">
        <f t="shared" si="31"/>
        <v>22.695832750499999</v>
      </c>
      <c r="AU40" s="142">
        <f t="shared" si="32"/>
        <v>0.36137089625000002</v>
      </c>
      <c r="AV40" s="142">
        <f t="shared" si="33"/>
        <v>7.2274179250000001E-2</v>
      </c>
      <c r="AW40" s="142">
        <f t="shared" si="34"/>
        <v>2.136877060499998</v>
      </c>
      <c r="AX40" s="142">
        <f t="shared" si="35"/>
        <v>9.5654383824999982</v>
      </c>
      <c r="AY40" s="142">
        <f t="shared" si="36"/>
        <v>2.5217591944999995</v>
      </c>
      <c r="AZ40" s="142">
        <f t="shared" si="37"/>
        <v>3.2523380662500001</v>
      </c>
      <c r="BA40" s="145">
        <f t="shared" si="38"/>
        <v>0.65046761325000002</v>
      </c>
      <c r="BB40" s="147">
        <f t="shared" si="39"/>
        <v>47.829599999999999</v>
      </c>
      <c r="BC40" s="150">
        <f t="shared" si="40"/>
        <v>87.687600000000003</v>
      </c>
      <c r="BD40" s="150">
        <f t="shared" si="41"/>
        <v>55.801200000000001</v>
      </c>
      <c r="BE40" s="151">
        <f t="shared" si="42"/>
        <v>7.9716000000000005</v>
      </c>
      <c r="BF40" s="151">
        <f t="shared" si="43"/>
        <v>1.5943200000000002</v>
      </c>
      <c r="BG40" s="150">
        <f t="shared" si="44"/>
        <v>25.619616340499999</v>
      </c>
      <c r="BH40" s="150">
        <f t="shared" si="45"/>
        <v>54.916003642499994</v>
      </c>
      <c r="BI40" s="150">
        <f t="shared" si="46"/>
        <v>30.284018719500004</v>
      </c>
      <c r="BJ40" s="151">
        <f t="shared" si="47"/>
        <v>7.6102291037500001</v>
      </c>
      <c r="BK40" s="151">
        <f t="shared" si="48"/>
        <v>1.5220458207500001</v>
      </c>
      <c r="BL40" s="150">
        <f t="shared" si="49"/>
        <v>22.209983659500004</v>
      </c>
      <c r="BM40" s="150">
        <f t="shared" si="50"/>
        <v>32.771596357500002</v>
      </c>
      <c r="BN40" s="150">
        <f t="shared" si="51"/>
        <v>25.517181280499997</v>
      </c>
      <c r="BO40" s="151">
        <f t="shared" si="52"/>
        <v>0.36137089625000002</v>
      </c>
      <c r="BP40" s="152">
        <f t="shared" si="53"/>
        <v>7.2274179250000001E-2</v>
      </c>
      <c r="BQ40" s="10">
        <f>683949+165000</f>
        <v>848949</v>
      </c>
      <c r="BR40" s="6">
        <v>144000</v>
      </c>
      <c r="BS40" t="s">
        <v>128</v>
      </c>
    </row>
    <row r="41" spans="1:71" s="117" customFormat="1" ht="16.5" thickBot="1" x14ac:dyDescent="0.3">
      <c r="A41" s="113"/>
      <c r="B41" s="173" t="s">
        <v>212</v>
      </c>
      <c r="C41" s="174"/>
      <c r="D41" s="174"/>
      <c r="E41" s="175"/>
      <c r="F41" s="114"/>
      <c r="G41" s="123">
        <f>SUM(G6:G40)</f>
        <v>365018</v>
      </c>
      <c r="H41" s="123">
        <f t="shared" ref="H41:M41" si="54">SUM(H6:H40)</f>
        <v>87902</v>
      </c>
      <c r="I41" s="123">
        <f t="shared" si="54"/>
        <v>452920</v>
      </c>
      <c r="J41" s="128">
        <f>K41/G41</f>
        <v>0.73452432482781682</v>
      </c>
      <c r="K41" s="123">
        <f t="shared" si="54"/>
        <v>268114.60000000003</v>
      </c>
      <c r="L41" s="128">
        <f>M41/G41</f>
        <v>0.26547567517218335</v>
      </c>
      <c r="M41" s="123">
        <f t="shared" si="54"/>
        <v>96903.400000000023</v>
      </c>
      <c r="N41" s="134">
        <f t="shared" ref="N41" si="55">SUM(N6:N40)</f>
        <v>2122.1844599999999</v>
      </c>
      <c r="O41" s="134">
        <f t="shared" ref="O41" si="56">SUM(O6:O40)</f>
        <v>3890.6715099999992</v>
      </c>
      <c r="P41" s="134">
        <f t="shared" ref="P41" si="57">SUM(P6:P40)</f>
        <v>2475.8818699999997</v>
      </c>
      <c r="Q41" s="134">
        <f t="shared" ref="Q41" si="58">SUM(Q6:Q40)</f>
        <v>353.69741000000005</v>
      </c>
      <c r="R41" s="134">
        <f t="shared" ref="R41" si="59">SUM(R6:R40)</f>
        <v>70.739482000000052</v>
      </c>
      <c r="S41" s="134">
        <f t="shared" ref="S41" si="60">SUM(S6:S40)</f>
        <v>151.73618889000005</v>
      </c>
      <c r="T41" s="134">
        <f t="shared" ref="T41" si="61">SUM(T6:T40)</f>
        <v>210.09626153999992</v>
      </c>
      <c r="U41" s="134">
        <f t="shared" ref="U41" si="62">SUM(U6:U40)</f>
        <v>198.42424701000002</v>
      </c>
      <c r="V41" s="134">
        <f t="shared" ref="V41" si="63">SUM(V6:V40)</f>
        <v>29.180036325000003</v>
      </c>
      <c r="W41" s="134">
        <f t="shared" ref="W41" si="64">SUM(W6:W40)</f>
        <v>5.8360072650000001</v>
      </c>
      <c r="X41" s="134">
        <f t="shared" ref="X41" si="65">SUM(X6:X40)</f>
        <v>221.76827606999996</v>
      </c>
      <c r="Y41" s="134">
        <f t="shared" ref="Y41" si="66">SUM(Y6:Y40)</f>
        <v>303.4723777800001</v>
      </c>
      <c r="Z41" s="134">
        <f t="shared" ref="Z41" si="67">SUM(Z6:Z40)</f>
        <v>210.09626153999992</v>
      </c>
      <c r="AA41" s="134">
        <f t="shared" ref="AA41" si="68">SUM(AA6:AA40)</f>
        <v>0</v>
      </c>
      <c r="AB41" s="134">
        <f t="shared" ref="AB41" si="69">SUM(AB6:AB40)</f>
        <v>0</v>
      </c>
      <c r="AC41" s="134">
        <f t="shared" ref="AC41" si="70">SUM(AC6:AC40)</f>
        <v>1748.6799950399998</v>
      </c>
      <c r="AD41" s="134">
        <f t="shared" ref="AD41" si="71">SUM(AD6:AD40)</f>
        <v>3377.1028706800003</v>
      </c>
      <c r="AE41" s="134">
        <f t="shared" ref="AE41" si="72">SUM(AE6:AE40)</f>
        <v>2067.36136145</v>
      </c>
      <c r="AF41" s="134">
        <f t="shared" ref="AF41" si="73">SUM(AF6:AF40)</f>
        <v>324.51737367500004</v>
      </c>
      <c r="AG41" s="134">
        <f t="shared" ref="AG41" si="74">SUM(AG6:AG40)</f>
        <v>64.903474734999989</v>
      </c>
      <c r="AH41" s="140">
        <f t="shared" ref="AH41" si="75">SUM(AH6:AH40)</f>
        <v>7796.7635399999963</v>
      </c>
      <c r="AI41" s="140">
        <f t="shared" ref="AI41" si="76">SUM(AI6:AI40)</f>
        <v>14294.066490000001</v>
      </c>
      <c r="AJ41" s="140">
        <f t="shared" ref="AJ41" si="77">SUM(AJ6:AJ40)</f>
        <v>9096.2241299999987</v>
      </c>
      <c r="AK41" s="140">
        <f t="shared" ref="AK41" si="78">SUM(AK6:AK40)</f>
        <v>1299.4605900000001</v>
      </c>
      <c r="AL41" s="140">
        <f t="shared" ref="AL41" si="79">SUM(AL6:AL40)</f>
        <v>259.89211799999993</v>
      </c>
      <c r="AM41" s="140"/>
      <c r="AN41" s="140"/>
      <c r="AO41" s="140"/>
      <c r="AP41" s="140"/>
      <c r="AQ41" s="140"/>
      <c r="AR41" s="140">
        <f t="shared" ref="AR41" si="80">SUM(AR6:AR40)</f>
        <v>7153.649756001003</v>
      </c>
      <c r="AS41" s="140">
        <f t="shared" ref="AS41" si="81">SUM(AS6:AS40)</f>
        <v>10878.122063654999</v>
      </c>
      <c r="AT41" s="140">
        <f t="shared" ref="AT41" si="82">SUM(AT6:AT40)</f>
        <v>8365.1835393090005</v>
      </c>
      <c r="AU41" s="140">
        <f t="shared" ref="AU41" si="83">SUM(AU6:AU40)</f>
        <v>797.02439917850018</v>
      </c>
      <c r="AV41" s="140">
        <f t="shared" ref="AV41" si="84">SUM(AV6:AV40)</f>
        <v>159.40487983570003</v>
      </c>
      <c r="AW41" s="140">
        <f t="shared" ref="AW41" si="85">SUM(AW6:AW40)</f>
        <v>794.84997288899933</v>
      </c>
      <c r="AX41" s="140">
        <f t="shared" ref="AX41" si="86">SUM(AX6:AX40)</f>
        <v>3626.040687884999</v>
      </c>
      <c r="AY41" s="140">
        <f t="shared" ref="AY41" si="87">SUM(AY6:AY40)</f>
        <v>929.46483770099962</v>
      </c>
      <c r="AZ41" s="140">
        <f t="shared" ref="AZ41" si="88">SUM(AZ6:AZ40)</f>
        <v>531.61622714649968</v>
      </c>
      <c r="BA41" s="140">
        <f t="shared" ref="BA41" si="89">SUM(BA6:BA40)</f>
        <v>106.3232454293</v>
      </c>
      <c r="BB41" s="149">
        <f t="shared" ref="BB41" si="90">SUM(BB6:BB40)</f>
        <v>9918.9479999999985</v>
      </c>
      <c r="BC41" s="149">
        <f t="shared" ref="BC41" si="91">SUM(BC6:BC40)</f>
        <v>18184.737999999998</v>
      </c>
      <c r="BD41" s="149">
        <f t="shared" ref="BD41" si="92">SUM(BD6:BD40)</f>
        <v>11572.106000000002</v>
      </c>
      <c r="BE41" s="149">
        <f t="shared" ref="BE41" si="93">SUM(BE6:BE40)</f>
        <v>1653.1580000000001</v>
      </c>
      <c r="BF41" s="149">
        <f t="shared" ref="BF41" si="94">SUM(BF6:BF40)</f>
        <v>330.63159999999999</v>
      </c>
      <c r="BG41" s="149">
        <f t="shared" ref="BG41" si="95">SUM(BG6:BG40)</f>
        <v>2543.5299679290006</v>
      </c>
      <c r="BH41" s="149">
        <f t="shared" ref="BH41" si="96">SUM(BH6:BH40)</f>
        <v>7003.1435585650006</v>
      </c>
      <c r="BI41" s="149">
        <f t="shared" ref="BI41" si="97">SUM(BI6:BI40)</f>
        <v>2996.8261991509985</v>
      </c>
      <c r="BJ41" s="149">
        <f t="shared" ref="BJ41" si="98">SUM(BJ6:BJ40)</f>
        <v>856.13360082149973</v>
      </c>
      <c r="BK41" s="149">
        <f t="shared" ref="BK41" si="99">SUM(BK6:BK40)</f>
        <v>171.22672016430002</v>
      </c>
      <c r="BL41" s="149">
        <f t="shared" ref="BL41" si="100">SUM(BL6:BL40)</f>
        <v>7375.4180320709993</v>
      </c>
      <c r="BM41" s="149">
        <f t="shared" ref="BM41" si="101">SUM(BM6:BM40)</f>
        <v>11181.594441435</v>
      </c>
      <c r="BN41" s="149">
        <f t="shared" ref="BN41" si="102">SUM(BN6:BN40)</f>
        <v>8575.2798008490008</v>
      </c>
      <c r="BO41" s="149">
        <f t="shared" ref="BO41" si="103">SUM(BO6:BO40)</f>
        <v>797.02439917850018</v>
      </c>
      <c r="BP41" s="149">
        <f t="shared" ref="BP41" si="104">SUM(BP6:BP40)</f>
        <v>159.40487983570003</v>
      </c>
      <c r="BQ41" s="115"/>
      <c r="BR41" s="116"/>
    </row>
    <row r="42" spans="1:71" s="3" customFormat="1" ht="19.5" thickBot="1" x14ac:dyDescent="0.35">
      <c r="A42" s="112"/>
      <c r="B42" s="201" t="s">
        <v>213</v>
      </c>
      <c r="C42" s="202"/>
      <c r="D42" s="202"/>
      <c r="E42" s="202"/>
      <c r="F42" s="202"/>
      <c r="G42" s="202"/>
      <c r="H42" s="202"/>
      <c r="I42" s="203"/>
      <c r="J42" s="127"/>
      <c r="K42" s="96"/>
      <c r="L42" s="97"/>
      <c r="M42" s="98"/>
      <c r="N42" s="133"/>
      <c r="O42" s="99"/>
      <c r="P42" s="100"/>
      <c r="Q42" s="100"/>
      <c r="R42" s="100"/>
      <c r="S42" s="100"/>
      <c r="T42" s="100"/>
      <c r="U42" s="100"/>
      <c r="V42" s="100"/>
      <c r="W42" s="100"/>
      <c r="X42" s="100"/>
      <c r="Y42" s="100"/>
      <c r="Z42" s="100"/>
      <c r="AA42" s="100"/>
      <c r="AB42" s="100"/>
      <c r="AC42" s="101"/>
      <c r="AD42" s="101"/>
      <c r="AE42" s="101"/>
      <c r="AF42" s="101"/>
      <c r="AG42" s="101"/>
      <c r="AH42" s="133"/>
      <c r="AI42" s="100"/>
      <c r="AJ42" s="100"/>
      <c r="AK42" s="100"/>
      <c r="AL42" s="100"/>
      <c r="AM42" s="144"/>
      <c r="AN42" s="144"/>
      <c r="AO42" s="144"/>
      <c r="AP42" s="144"/>
      <c r="AQ42" s="144"/>
      <c r="AR42" s="100"/>
      <c r="AS42" s="100"/>
      <c r="AT42" s="100"/>
      <c r="AU42" s="100"/>
      <c r="AV42" s="100"/>
      <c r="AW42" s="100"/>
      <c r="AX42" s="100"/>
      <c r="AY42" s="100"/>
      <c r="AZ42" s="100"/>
      <c r="BA42" s="146"/>
      <c r="BB42" s="148"/>
      <c r="BC42" s="99"/>
      <c r="BD42" s="99"/>
      <c r="BE42" s="101"/>
      <c r="BF42" s="101"/>
      <c r="BG42" s="99"/>
      <c r="BH42" s="99"/>
      <c r="BI42" s="99"/>
      <c r="BJ42" s="101"/>
      <c r="BK42" s="101"/>
      <c r="BL42" s="99"/>
      <c r="BM42" s="99"/>
      <c r="BN42" s="99"/>
      <c r="BO42" s="101"/>
      <c r="BP42" s="153"/>
      <c r="BQ42" s="102"/>
      <c r="BR42" s="103"/>
    </row>
    <row r="43" spans="1:71" x14ac:dyDescent="0.25">
      <c r="A43" s="18"/>
      <c r="B43" s="18">
        <v>8</v>
      </c>
      <c r="C43" s="19" t="s">
        <v>50</v>
      </c>
      <c r="D43" s="60">
        <v>26674</v>
      </c>
      <c r="E43" s="47" t="s">
        <v>2</v>
      </c>
      <c r="F43" s="13" t="s">
        <v>208</v>
      </c>
      <c r="G43" s="53">
        <v>28516</v>
      </c>
      <c r="H43" s="53">
        <v>47784</v>
      </c>
      <c r="I43" s="50">
        <f t="shared" ref="I43:I59" si="105">G43+H43</f>
        <v>76300</v>
      </c>
      <c r="J43" s="45">
        <v>0.92</v>
      </c>
      <c r="K43" s="65">
        <f t="shared" ref="K43:K59" si="106">ROUND(G43*J43,2)</f>
        <v>26234.720000000001</v>
      </c>
      <c r="L43" s="66">
        <f t="shared" ref="L43:L59" si="107">1-J43</f>
        <v>7.999999999999996E-2</v>
      </c>
      <c r="M43" s="67">
        <f t="shared" ref="M43:M59" si="108">G43-K43</f>
        <v>2281.2799999999988</v>
      </c>
      <c r="N43" s="43">
        <f t="shared" ref="N43:N59" si="109">M43*60*365/1000000</f>
        <v>49.960031999999977</v>
      </c>
      <c r="O43" s="92">
        <f t="shared" ref="O43:O59" si="110">M43*110*365/1000000</f>
        <v>91.593391999999952</v>
      </c>
      <c r="P43" s="72">
        <f t="shared" ref="P43:P59" si="111">M43*70*365/1000000</f>
        <v>58.286703999999972</v>
      </c>
      <c r="Q43" s="72">
        <f t="shared" ref="Q43:Q59" si="112">M43*10*365/1000000</f>
        <v>8.326671999999995</v>
      </c>
      <c r="R43" s="25">
        <f t="shared" ref="R43:R59" si="113">M43*2*365/1000000</f>
        <v>1.6653343999999992</v>
      </c>
      <c r="S43" s="72">
        <f t="shared" ref="S43:S59" si="114">M43*13*365/1000000*0.33</f>
        <v>3.572142287999998</v>
      </c>
      <c r="T43" s="72">
        <f t="shared" ref="T43:T59" si="115">M43*18*365/1000000*0.33</f>
        <v>4.9460431679999974</v>
      </c>
      <c r="U43" s="72">
        <f t="shared" ref="U43:U59" si="116">M43*17*365/1000000*0.33</f>
        <v>4.6712629919999982</v>
      </c>
      <c r="V43" s="72">
        <f t="shared" ref="V43:V59" si="117">M43*2.5*365/1000000*0.33</f>
        <v>0.68695043999999961</v>
      </c>
      <c r="W43" s="72">
        <f t="shared" ref="W43:W59" si="118">M43*0.5*365/1000000*0.33</f>
        <v>0.13739008799999994</v>
      </c>
      <c r="X43" s="72">
        <f t="shared" ref="X43:X59" si="119">M43*19*365/1000000*0.33</f>
        <v>5.2208233439999976</v>
      </c>
      <c r="Y43" s="72">
        <f t="shared" ref="Y43:Y59" si="120">M43*26*365/1000000*0.33</f>
        <v>7.144284575999996</v>
      </c>
      <c r="Z43" s="72">
        <f t="shared" ref="Z43:Z59" si="121">M43*18*365/1000000*0.33</f>
        <v>4.9460431679999974</v>
      </c>
      <c r="AA43" s="72">
        <f t="shared" ref="AA43:AA59" si="122">M43*0*365/1000000*0.33</f>
        <v>0</v>
      </c>
      <c r="AB43" s="72">
        <f t="shared" ref="AB43:AB59" si="123">M43*0*365/1000000*0.33</f>
        <v>0</v>
      </c>
      <c r="AC43" s="91">
        <f t="shared" ref="AC43:AC59" si="124">N43-S43-X43</f>
        <v>41.167066367999986</v>
      </c>
      <c r="AD43" s="91">
        <f t="shared" ref="AD43:AD59" si="125">O43-T43-Y43</f>
        <v>79.503064255999959</v>
      </c>
      <c r="AE43" s="91">
        <f t="shared" ref="AE43:AE59" si="126">P43-U43-Z43</f>
        <v>48.669397839999981</v>
      </c>
      <c r="AF43" s="91">
        <f t="shared" ref="AF43:AF59" si="127">Q43-V43-AA43</f>
        <v>7.6397215599999955</v>
      </c>
      <c r="AG43" s="91">
        <f t="shared" ref="AG43:AG59" si="128">R43-W43-AB43</f>
        <v>1.5279443119999994</v>
      </c>
      <c r="AH43" s="39">
        <f t="shared" ref="AH43:AH59" si="129">(K43+H43)*60*365/1000000</f>
        <v>1621.0099680000001</v>
      </c>
      <c r="AI43" s="77">
        <f t="shared" ref="AI43:AI59" si="130">($K43+$H43)*110*365/1000000</f>
        <v>2971.8516079999999</v>
      </c>
      <c r="AJ43" s="77">
        <f t="shared" ref="AJ43:AJ59" si="131">($K43+$H43)*70*365/1000000</f>
        <v>1891.1782960000003</v>
      </c>
      <c r="AK43" s="77">
        <f t="shared" ref="AK43:AK59" si="132">($K43+$H43)*10*365/1000000</f>
        <v>270.16832799999997</v>
      </c>
      <c r="AL43" s="26">
        <f t="shared" ref="AL43:AL59" si="133">($K43+$H43)*2*365/1000000</f>
        <v>54.033665599999999</v>
      </c>
      <c r="AM43" s="27">
        <v>0.9</v>
      </c>
      <c r="AN43" s="27">
        <v>0.75</v>
      </c>
      <c r="AO43" s="27">
        <v>0.9</v>
      </c>
      <c r="AP43" s="27">
        <v>0.8</v>
      </c>
      <c r="AQ43" s="27">
        <v>0.8</v>
      </c>
      <c r="AR43" s="26">
        <f t="shared" ref="AR43:AR59" si="134">(S43+AH43)*AM43</f>
        <v>1462.1238992592</v>
      </c>
      <c r="AS43" s="26">
        <f t="shared" ref="AS43:AS59" si="135">(T43+AI43)*AN43</f>
        <v>2232.5982383760002</v>
      </c>
      <c r="AT43" s="26">
        <f t="shared" ref="AT43:AT59" si="136">(U43+AJ43)*AO43</f>
        <v>1706.2646030928004</v>
      </c>
      <c r="AU43" s="26">
        <f t="shared" ref="AU43:AU59" si="137">(V43+AK43)*AP43</f>
        <v>216.68422275199998</v>
      </c>
      <c r="AV43" s="26">
        <f t="shared" ref="AV43:AV59" si="138">(W43+AL43)*AQ43</f>
        <v>43.336844550400002</v>
      </c>
      <c r="AW43" s="26">
        <f t="shared" ref="AW43:AW59" si="139">S43+AH43-AR43</f>
        <v>162.45821102879995</v>
      </c>
      <c r="AX43" s="26">
        <f t="shared" ref="AX43:AX59" si="140">T43+AI43-AS43</f>
        <v>744.19941279199975</v>
      </c>
      <c r="AY43" s="26">
        <f t="shared" ref="AY43:AY59" si="141">U43+AJ43-AT43</f>
        <v>189.58495589919994</v>
      </c>
      <c r="AZ43" s="26">
        <f t="shared" ref="AZ43:AZ59" si="142">V43+AK43-AU43</f>
        <v>54.171055687999967</v>
      </c>
      <c r="BA43" s="40">
        <f t="shared" ref="BA43:BA59" si="143">W43+AL43-AV43</f>
        <v>10.834211137599993</v>
      </c>
      <c r="BB43" s="37">
        <f t="shared" ref="BB43:BB59" si="144">N43+AH43</f>
        <v>1670.97</v>
      </c>
      <c r="BC43" s="28">
        <f t="shared" ref="BC43:BC59" si="145">O43+AI43</f>
        <v>3063.4449999999997</v>
      </c>
      <c r="BD43" s="28">
        <f t="shared" ref="BD43:BD59" si="146">P43+AJ43</f>
        <v>1949.4650000000001</v>
      </c>
      <c r="BE43" s="29">
        <f t="shared" ref="BE43:BE59" si="147">Q43+AK43</f>
        <v>278.49499999999995</v>
      </c>
      <c r="BF43" s="29">
        <f t="shared" ref="BF43:BF59" si="148">R43+AL43</f>
        <v>55.698999999999998</v>
      </c>
      <c r="BG43" s="28">
        <f t="shared" ref="BG43:BG59" si="149">AC43+AW43</f>
        <v>203.62527739679993</v>
      </c>
      <c r="BH43" s="28">
        <f t="shared" ref="BH43:BH59" si="150">AD43+AX43</f>
        <v>823.70247704799976</v>
      </c>
      <c r="BI43" s="28">
        <f t="shared" ref="BI43:BI59" si="151">AE43+AY43</f>
        <v>238.25435373919993</v>
      </c>
      <c r="BJ43" s="29">
        <f t="shared" ref="BJ43:BJ59" si="152">AF43+AZ43</f>
        <v>61.810777247999965</v>
      </c>
      <c r="BK43" s="29">
        <f t="shared" ref="BK43:BK59" si="153">AG43+BA43</f>
        <v>12.362155449599992</v>
      </c>
      <c r="BL43" s="28">
        <f t="shared" ref="BL43:BL59" si="154">X43+AR43</f>
        <v>1467.3447226032001</v>
      </c>
      <c r="BM43" s="28">
        <f t="shared" ref="BM43:BM59" si="155">Y43+AS43</f>
        <v>2239.7425229519999</v>
      </c>
      <c r="BN43" s="28">
        <f t="shared" ref="BN43:BN59" si="156">Z43+AT43</f>
        <v>1711.2106462608003</v>
      </c>
      <c r="BO43" s="29">
        <f t="shared" ref="BO43:BO59" si="157">AA43+AU43</f>
        <v>216.68422275199998</v>
      </c>
      <c r="BP43" s="30">
        <f t="shared" ref="BP43:BP59" si="158">AB43+AV43</f>
        <v>43.336844550400002</v>
      </c>
      <c r="BQ43" s="10">
        <f>114000+99000+141300+157280+88000+120000+109000+106000+21000+1078000</f>
        <v>2033580</v>
      </c>
      <c r="BR43" s="6">
        <f>4446000+129800+1500000</f>
        <v>6075800</v>
      </c>
      <c r="BS43" t="s">
        <v>132</v>
      </c>
    </row>
    <row r="44" spans="1:71" x14ac:dyDescent="0.25">
      <c r="A44" s="18"/>
      <c r="B44" s="18">
        <v>13</v>
      </c>
      <c r="C44" s="19" t="s">
        <v>55</v>
      </c>
      <c r="D44" s="60">
        <v>16471</v>
      </c>
      <c r="E44" s="47" t="s">
        <v>2</v>
      </c>
      <c r="F44" s="13" t="s">
        <v>208</v>
      </c>
      <c r="G44" s="53">
        <v>19141</v>
      </c>
      <c r="H44" s="53">
        <v>0</v>
      </c>
      <c r="I44" s="50">
        <f t="shared" si="105"/>
        <v>19141</v>
      </c>
      <c r="J44" s="45">
        <v>0.85</v>
      </c>
      <c r="K44" s="65">
        <f t="shared" si="106"/>
        <v>16269.85</v>
      </c>
      <c r="L44" s="66">
        <f t="shared" si="107"/>
        <v>0.15000000000000002</v>
      </c>
      <c r="M44" s="67">
        <f t="shared" si="108"/>
        <v>2871.1499999999996</v>
      </c>
      <c r="N44" s="43">
        <f t="shared" si="109"/>
        <v>62.878184999999995</v>
      </c>
      <c r="O44" s="92">
        <f t="shared" si="110"/>
        <v>115.27667249999999</v>
      </c>
      <c r="P44" s="72">
        <f t="shared" si="111"/>
        <v>73.357882499999988</v>
      </c>
      <c r="Q44" s="72">
        <f t="shared" si="112"/>
        <v>10.479697499999999</v>
      </c>
      <c r="R44" s="25">
        <f t="shared" si="113"/>
        <v>2.0959394999999996</v>
      </c>
      <c r="S44" s="72">
        <f t="shared" si="114"/>
        <v>4.4957902274999997</v>
      </c>
      <c r="T44" s="72">
        <f t="shared" si="115"/>
        <v>6.2249403150000004</v>
      </c>
      <c r="U44" s="72">
        <f t="shared" si="116"/>
        <v>5.8791102975000005</v>
      </c>
      <c r="V44" s="72">
        <f t="shared" si="117"/>
        <v>0.86457504374999994</v>
      </c>
      <c r="W44" s="72">
        <f t="shared" si="118"/>
        <v>0.17291500874999999</v>
      </c>
      <c r="X44" s="72">
        <f t="shared" si="119"/>
        <v>6.5707703324999995</v>
      </c>
      <c r="Y44" s="72">
        <f t="shared" si="120"/>
        <v>8.9915804549999994</v>
      </c>
      <c r="Z44" s="72">
        <f t="shared" si="121"/>
        <v>6.2249403150000004</v>
      </c>
      <c r="AA44" s="72">
        <f t="shared" si="122"/>
        <v>0</v>
      </c>
      <c r="AB44" s="72">
        <f t="shared" si="123"/>
        <v>0</v>
      </c>
      <c r="AC44" s="91">
        <f t="shared" si="124"/>
        <v>51.811624439999996</v>
      </c>
      <c r="AD44" s="91">
        <f t="shared" si="125"/>
        <v>100.06015172999999</v>
      </c>
      <c r="AE44" s="91">
        <f t="shared" si="126"/>
        <v>61.253831887499985</v>
      </c>
      <c r="AF44" s="91">
        <f t="shared" si="127"/>
        <v>9.6151224562499991</v>
      </c>
      <c r="AG44" s="91">
        <f t="shared" si="128"/>
        <v>1.9230244912499996</v>
      </c>
      <c r="AH44" s="39">
        <f t="shared" si="129"/>
        <v>356.30971499999998</v>
      </c>
      <c r="AI44" s="77">
        <f t="shared" si="130"/>
        <v>653.23447750000003</v>
      </c>
      <c r="AJ44" s="77">
        <f t="shared" si="131"/>
        <v>415.69466749999998</v>
      </c>
      <c r="AK44" s="77">
        <f t="shared" si="132"/>
        <v>59.384952499999997</v>
      </c>
      <c r="AL44" s="26">
        <f t="shared" si="133"/>
        <v>11.8769905</v>
      </c>
      <c r="AM44" s="27">
        <v>0.9</v>
      </c>
      <c r="AN44" s="27">
        <v>0.75</v>
      </c>
      <c r="AO44" s="27">
        <v>0.9</v>
      </c>
      <c r="AP44" s="27">
        <v>0.8</v>
      </c>
      <c r="AQ44" s="27">
        <v>0.8</v>
      </c>
      <c r="AR44" s="26">
        <f t="shared" si="134"/>
        <v>324.72495470474996</v>
      </c>
      <c r="AS44" s="26">
        <f t="shared" si="135"/>
        <v>494.59456336125004</v>
      </c>
      <c r="AT44" s="26">
        <f t="shared" si="136"/>
        <v>379.41640001774999</v>
      </c>
      <c r="AU44" s="26">
        <f t="shared" si="137"/>
        <v>48.199622035000004</v>
      </c>
      <c r="AV44" s="26">
        <f t="shared" si="138"/>
        <v>9.6399244070000005</v>
      </c>
      <c r="AW44" s="26">
        <f t="shared" si="139"/>
        <v>36.080550522750002</v>
      </c>
      <c r="AX44" s="26">
        <f t="shared" si="140"/>
        <v>164.86485445375001</v>
      </c>
      <c r="AY44" s="26">
        <f t="shared" si="141"/>
        <v>42.157377779749993</v>
      </c>
      <c r="AZ44" s="26">
        <f t="shared" si="142"/>
        <v>12.049905508749994</v>
      </c>
      <c r="BA44" s="40">
        <f t="shared" si="143"/>
        <v>2.4099811017499988</v>
      </c>
      <c r="BB44" s="37">
        <f t="shared" si="144"/>
        <v>419.18789999999996</v>
      </c>
      <c r="BC44" s="28">
        <f t="shared" si="145"/>
        <v>768.51115000000004</v>
      </c>
      <c r="BD44" s="28">
        <f t="shared" si="146"/>
        <v>489.05255</v>
      </c>
      <c r="BE44" s="29">
        <f t="shared" si="147"/>
        <v>69.864649999999997</v>
      </c>
      <c r="BF44" s="29">
        <f t="shared" si="148"/>
        <v>13.97293</v>
      </c>
      <c r="BG44" s="28">
        <f t="shared" si="149"/>
        <v>87.892174962750005</v>
      </c>
      <c r="BH44" s="28">
        <f t="shared" si="150"/>
        <v>264.92500618374999</v>
      </c>
      <c r="BI44" s="28">
        <f t="shared" si="151"/>
        <v>103.41120966724998</v>
      </c>
      <c r="BJ44" s="29">
        <f t="shared" si="152"/>
        <v>21.665027964999993</v>
      </c>
      <c r="BK44" s="29">
        <f t="shared" si="153"/>
        <v>4.3330055929999984</v>
      </c>
      <c r="BL44" s="28">
        <f t="shared" si="154"/>
        <v>331.29572503724995</v>
      </c>
      <c r="BM44" s="28">
        <f t="shared" si="155"/>
        <v>503.58614381625006</v>
      </c>
      <c r="BN44" s="28">
        <f t="shared" si="156"/>
        <v>385.64134033275002</v>
      </c>
      <c r="BO44" s="29">
        <f t="shared" si="157"/>
        <v>48.199622035000004</v>
      </c>
      <c r="BP44" s="30">
        <f t="shared" si="158"/>
        <v>9.6399244070000005</v>
      </c>
      <c r="BQ44" s="10">
        <v>647005</v>
      </c>
      <c r="BR44" s="6">
        <v>978105</v>
      </c>
      <c r="BS44" t="s">
        <v>128</v>
      </c>
    </row>
    <row r="45" spans="1:71" ht="30" x14ac:dyDescent="0.25">
      <c r="A45" s="18"/>
      <c r="B45" s="18">
        <v>17</v>
      </c>
      <c r="C45" s="19" t="s">
        <v>59</v>
      </c>
      <c r="D45" s="60">
        <v>10665</v>
      </c>
      <c r="E45" s="57" t="s">
        <v>134</v>
      </c>
      <c r="F45" s="14" t="s">
        <v>208</v>
      </c>
      <c r="G45" s="53">
        <v>12636</v>
      </c>
      <c r="H45" s="54">
        <v>0</v>
      </c>
      <c r="I45" s="50">
        <f t="shared" si="105"/>
        <v>12636</v>
      </c>
      <c r="J45" s="45">
        <v>0.74</v>
      </c>
      <c r="K45" s="65">
        <f t="shared" si="106"/>
        <v>9350.64</v>
      </c>
      <c r="L45" s="66">
        <f t="shared" si="107"/>
        <v>0.26</v>
      </c>
      <c r="M45" s="67">
        <f t="shared" si="108"/>
        <v>3285.3600000000006</v>
      </c>
      <c r="N45" s="43">
        <f t="shared" si="109"/>
        <v>71.949384000000009</v>
      </c>
      <c r="O45" s="92">
        <f t="shared" si="110"/>
        <v>131.90720400000004</v>
      </c>
      <c r="P45" s="72">
        <f t="shared" si="111"/>
        <v>83.94094800000002</v>
      </c>
      <c r="Q45" s="72">
        <f t="shared" si="112"/>
        <v>11.991564000000002</v>
      </c>
      <c r="R45" s="25">
        <f t="shared" si="113"/>
        <v>2.3983128000000002</v>
      </c>
      <c r="S45" s="72">
        <f t="shared" si="114"/>
        <v>5.1443809560000009</v>
      </c>
      <c r="T45" s="72">
        <f t="shared" si="115"/>
        <v>7.1229890160000009</v>
      </c>
      <c r="U45" s="72">
        <f t="shared" si="116"/>
        <v>6.7272674040000018</v>
      </c>
      <c r="V45" s="72">
        <f t="shared" si="117"/>
        <v>0.98930403000000022</v>
      </c>
      <c r="W45" s="72">
        <f t="shared" si="118"/>
        <v>0.19786080600000003</v>
      </c>
      <c r="X45" s="72">
        <f t="shared" si="119"/>
        <v>7.5187106280000018</v>
      </c>
      <c r="Y45" s="72">
        <f t="shared" si="120"/>
        <v>10.288761912000002</v>
      </c>
      <c r="Z45" s="72">
        <f t="shared" si="121"/>
        <v>7.1229890160000009</v>
      </c>
      <c r="AA45" s="72">
        <f t="shared" si="122"/>
        <v>0</v>
      </c>
      <c r="AB45" s="72">
        <f t="shared" si="123"/>
        <v>0</v>
      </c>
      <c r="AC45" s="91">
        <f t="shared" si="124"/>
        <v>59.286292416000002</v>
      </c>
      <c r="AD45" s="91">
        <f t="shared" si="125"/>
        <v>114.49545307200003</v>
      </c>
      <c r="AE45" s="91">
        <f t="shared" si="126"/>
        <v>70.090691580000012</v>
      </c>
      <c r="AF45" s="91">
        <f t="shared" si="127"/>
        <v>11.002259970000003</v>
      </c>
      <c r="AG45" s="91">
        <f t="shared" si="128"/>
        <v>2.2004519940000002</v>
      </c>
      <c r="AH45" s="39">
        <f t="shared" si="129"/>
        <v>204.77901599999998</v>
      </c>
      <c r="AI45" s="77">
        <f t="shared" si="130"/>
        <v>375.42819599999996</v>
      </c>
      <c r="AJ45" s="77">
        <f t="shared" si="131"/>
        <v>238.90885199999997</v>
      </c>
      <c r="AK45" s="77">
        <f t="shared" si="132"/>
        <v>34.129835999999997</v>
      </c>
      <c r="AL45" s="26">
        <f t="shared" si="133"/>
        <v>6.8259671999999991</v>
      </c>
      <c r="AM45" s="27">
        <v>0.9</v>
      </c>
      <c r="AN45" s="27">
        <v>0.75</v>
      </c>
      <c r="AO45" s="27">
        <v>0.9</v>
      </c>
      <c r="AP45" s="27">
        <v>0.8</v>
      </c>
      <c r="AQ45" s="27">
        <v>0.8</v>
      </c>
      <c r="AR45" s="26">
        <f t="shared" si="134"/>
        <v>188.9310572604</v>
      </c>
      <c r="AS45" s="26">
        <f t="shared" si="135"/>
        <v>286.91338876199995</v>
      </c>
      <c r="AT45" s="26">
        <f t="shared" si="136"/>
        <v>221.07250746359998</v>
      </c>
      <c r="AU45" s="26">
        <f t="shared" si="137"/>
        <v>28.095312023999998</v>
      </c>
      <c r="AV45" s="26">
        <f t="shared" si="138"/>
        <v>5.6190624048000002</v>
      </c>
      <c r="AW45" s="26">
        <f t="shared" si="139"/>
        <v>20.992339695599981</v>
      </c>
      <c r="AX45" s="26">
        <f t="shared" si="140"/>
        <v>95.637796254000023</v>
      </c>
      <c r="AY45" s="26">
        <f t="shared" si="141"/>
        <v>24.563611940399994</v>
      </c>
      <c r="AZ45" s="26">
        <f t="shared" si="142"/>
        <v>7.0238280059999987</v>
      </c>
      <c r="BA45" s="40">
        <f t="shared" si="143"/>
        <v>1.4047656011999994</v>
      </c>
      <c r="BB45" s="37">
        <f t="shared" si="144"/>
        <v>276.72839999999997</v>
      </c>
      <c r="BC45" s="28">
        <f t="shared" si="145"/>
        <v>507.33539999999999</v>
      </c>
      <c r="BD45" s="28">
        <f t="shared" si="146"/>
        <v>322.84979999999996</v>
      </c>
      <c r="BE45" s="29">
        <f t="shared" si="147"/>
        <v>46.121400000000001</v>
      </c>
      <c r="BF45" s="29">
        <f t="shared" si="148"/>
        <v>9.2242800000000003</v>
      </c>
      <c r="BG45" s="28">
        <f t="shared" si="149"/>
        <v>80.27863211159999</v>
      </c>
      <c r="BH45" s="28">
        <f t="shared" si="150"/>
        <v>210.13324932600005</v>
      </c>
      <c r="BI45" s="28">
        <f t="shared" si="151"/>
        <v>94.654303520400006</v>
      </c>
      <c r="BJ45" s="29">
        <f t="shared" si="152"/>
        <v>18.026087975999999</v>
      </c>
      <c r="BK45" s="29">
        <f t="shared" si="153"/>
        <v>3.6052175951999996</v>
      </c>
      <c r="BL45" s="28">
        <f t="shared" si="154"/>
        <v>196.4497678884</v>
      </c>
      <c r="BM45" s="28">
        <f t="shared" si="155"/>
        <v>297.20215067399994</v>
      </c>
      <c r="BN45" s="28">
        <f t="shared" si="156"/>
        <v>228.19549647959997</v>
      </c>
      <c r="BO45" s="29">
        <f t="shared" si="157"/>
        <v>28.095312023999998</v>
      </c>
      <c r="BP45" s="30">
        <f t="shared" si="158"/>
        <v>5.6190624048000002</v>
      </c>
      <c r="BQ45" s="10">
        <f>724300+400000+498860+142900+25000+150000</f>
        <v>1941060</v>
      </c>
      <c r="BR45" s="6">
        <f>29500+50000</f>
        <v>79500</v>
      </c>
      <c r="BS45" t="s">
        <v>135</v>
      </c>
    </row>
    <row r="46" spans="1:71" ht="45" x14ac:dyDescent="0.25">
      <c r="A46" s="18"/>
      <c r="B46" s="18">
        <v>27</v>
      </c>
      <c r="C46" s="19" t="s">
        <v>70</v>
      </c>
      <c r="D46" s="60">
        <v>7786</v>
      </c>
      <c r="E46" s="57" t="s">
        <v>139</v>
      </c>
      <c r="F46" s="14" t="s">
        <v>208</v>
      </c>
      <c r="G46" s="53">
        <v>9745</v>
      </c>
      <c r="H46" s="53">
        <v>500</v>
      </c>
      <c r="I46" s="50">
        <f t="shared" si="105"/>
        <v>10245</v>
      </c>
      <c r="J46" s="45">
        <v>0.78</v>
      </c>
      <c r="K46" s="65">
        <f t="shared" si="106"/>
        <v>7601.1</v>
      </c>
      <c r="L46" s="66">
        <f t="shared" si="107"/>
        <v>0.21999999999999997</v>
      </c>
      <c r="M46" s="67">
        <f t="shared" si="108"/>
        <v>2143.8999999999996</v>
      </c>
      <c r="N46" s="43">
        <f t="shared" si="109"/>
        <v>46.951409999999996</v>
      </c>
      <c r="O46" s="92">
        <f t="shared" si="110"/>
        <v>86.077584999999985</v>
      </c>
      <c r="P46" s="72">
        <f t="shared" si="111"/>
        <v>54.776644999999995</v>
      </c>
      <c r="Q46" s="72">
        <f t="shared" si="112"/>
        <v>7.8252349999999993</v>
      </c>
      <c r="R46" s="25">
        <f t="shared" si="113"/>
        <v>1.5650469999999999</v>
      </c>
      <c r="S46" s="72">
        <f t="shared" si="114"/>
        <v>3.3570258149999992</v>
      </c>
      <c r="T46" s="72">
        <f t="shared" si="115"/>
        <v>4.6481895899999994</v>
      </c>
      <c r="U46" s="72">
        <f t="shared" si="116"/>
        <v>4.3899568349999996</v>
      </c>
      <c r="V46" s="72">
        <f t="shared" si="117"/>
        <v>0.64558188750000001</v>
      </c>
      <c r="W46" s="72">
        <f t="shared" si="118"/>
        <v>0.12911637749999999</v>
      </c>
      <c r="X46" s="72">
        <f t="shared" si="119"/>
        <v>4.9064223449999993</v>
      </c>
      <c r="Y46" s="72">
        <f t="shared" si="120"/>
        <v>6.7140516299999984</v>
      </c>
      <c r="Z46" s="72">
        <f t="shared" si="121"/>
        <v>4.6481895899999994</v>
      </c>
      <c r="AA46" s="72">
        <f t="shared" si="122"/>
        <v>0</v>
      </c>
      <c r="AB46" s="72">
        <f t="shared" si="123"/>
        <v>0</v>
      </c>
      <c r="AC46" s="91">
        <f t="shared" si="124"/>
        <v>38.68796184</v>
      </c>
      <c r="AD46" s="91">
        <f t="shared" si="125"/>
        <v>74.715343779999984</v>
      </c>
      <c r="AE46" s="91">
        <f t="shared" si="126"/>
        <v>45.738498574999994</v>
      </c>
      <c r="AF46" s="91">
        <f t="shared" si="127"/>
        <v>7.1796531124999996</v>
      </c>
      <c r="AG46" s="91">
        <f t="shared" si="128"/>
        <v>1.4359306224999999</v>
      </c>
      <c r="AH46" s="39">
        <f t="shared" si="129"/>
        <v>177.41408999999999</v>
      </c>
      <c r="AI46" s="77">
        <f t="shared" si="130"/>
        <v>325.259165</v>
      </c>
      <c r="AJ46" s="77">
        <f t="shared" si="131"/>
        <v>206.98310499999999</v>
      </c>
      <c r="AK46" s="77">
        <f t="shared" si="132"/>
        <v>29.569015</v>
      </c>
      <c r="AL46" s="26">
        <f t="shared" si="133"/>
        <v>5.9138029999999997</v>
      </c>
      <c r="AM46" s="27">
        <v>0.9</v>
      </c>
      <c r="AN46" s="27">
        <v>0.75</v>
      </c>
      <c r="AO46" s="27">
        <v>0.9</v>
      </c>
      <c r="AP46" s="27">
        <v>0.1</v>
      </c>
      <c r="AQ46" s="27">
        <v>0.1</v>
      </c>
      <c r="AR46" s="26">
        <f t="shared" si="134"/>
        <v>162.69400423349998</v>
      </c>
      <c r="AS46" s="26">
        <f t="shared" si="135"/>
        <v>247.43051594249999</v>
      </c>
      <c r="AT46" s="26">
        <f t="shared" si="136"/>
        <v>190.2357556515</v>
      </c>
      <c r="AU46" s="26">
        <f t="shared" si="137"/>
        <v>3.0214596887500003</v>
      </c>
      <c r="AV46" s="26">
        <f t="shared" si="138"/>
        <v>0.60429193775000001</v>
      </c>
      <c r="AW46" s="26">
        <f t="shared" si="139"/>
        <v>18.077111581499992</v>
      </c>
      <c r="AX46" s="26">
        <f t="shared" si="140"/>
        <v>82.476838647500017</v>
      </c>
      <c r="AY46" s="26">
        <f t="shared" si="141"/>
        <v>21.137306183499987</v>
      </c>
      <c r="AZ46" s="26">
        <f t="shared" si="142"/>
        <v>27.193137198750001</v>
      </c>
      <c r="BA46" s="40">
        <f t="shared" si="143"/>
        <v>5.4386274397499994</v>
      </c>
      <c r="BB46" s="37">
        <f t="shared" si="144"/>
        <v>224.3655</v>
      </c>
      <c r="BC46" s="28">
        <f t="shared" si="145"/>
        <v>411.33674999999999</v>
      </c>
      <c r="BD46" s="28">
        <f t="shared" si="146"/>
        <v>261.75975</v>
      </c>
      <c r="BE46" s="29">
        <f t="shared" si="147"/>
        <v>37.39425</v>
      </c>
      <c r="BF46" s="29">
        <f t="shared" si="148"/>
        <v>7.4788499999999996</v>
      </c>
      <c r="BG46" s="28">
        <f t="shared" si="149"/>
        <v>56.765073421499991</v>
      </c>
      <c r="BH46" s="28">
        <f t="shared" si="150"/>
        <v>157.1921824275</v>
      </c>
      <c r="BI46" s="28">
        <f t="shared" si="151"/>
        <v>66.875804758499982</v>
      </c>
      <c r="BJ46" s="29">
        <f t="shared" si="152"/>
        <v>34.37279031125</v>
      </c>
      <c r="BK46" s="29">
        <f t="shared" si="153"/>
        <v>6.8745580622499993</v>
      </c>
      <c r="BL46" s="28">
        <f t="shared" si="154"/>
        <v>167.60042657849999</v>
      </c>
      <c r="BM46" s="28">
        <f t="shared" si="155"/>
        <v>254.14456757249999</v>
      </c>
      <c r="BN46" s="28">
        <f t="shared" si="156"/>
        <v>194.88394524149999</v>
      </c>
      <c r="BO46" s="29">
        <f t="shared" si="157"/>
        <v>3.0214596887500003</v>
      </c>
      <c r="BP46" s="30">
        <f t="shared" si="158"/>
        <v>0.60429193775000001</v>
      </c>
      <c r="BQ46" s="10">
        <f>173556+93358+100539+86071+58900+80091+55700+67250</f>
        <v>715465</v>
      </c>
      <c r="BR46" s="6">
        <f>63552+280840</f>
        <v>344392</v>
      </c>
      <c r="BS46" t="s">
        <v>140</v>
      </c>
    </row>
    <row r="47" spans="1:71" x14ac:dyDescent="0.25">
      <c r="A47" s="18"/>
      <c r="B47" s="18">
        <v>29</v>
      </c>
      <c r="C47" s="19" t="s">
        <v>68</v>
      </c>
      <c r="D47" s="60">
        <v>7589</v>
      </c>
      <c r="E47" s="47" t="s">
        <v>1</v>
      </c>
      <c r="F47" s="13" t="s">
        <v>208</v>
      </c>
      <c r="G47" s="53">
        <v>8538</v>
      </c>
      <c r="H47" s="53">
        <v>2270</v>
      </c>
      <c r="I47" s="50">
        <f t="shared" si="105"/>
        <v>10808</v>
      </c>
      <c r="J47" s="45">
        <v>0.91</v>
      </c>
      <c r="K47" s="65">
        <f t="shared" si="106"/>
        <v>7769.58</v>
      </c>
      <c r="L47" s="66">
        <f t="shared" si="107"/>
        <v>8.9999999999999969E-2</v>
      </c>
      <c r="M47" s="67">
        <f t="shared" si="108"/>
        <v>768.42000000000007</v>
      </c>
      <c r="N47" s="43">
        <f t="shared" si="109"/>
        <v>16.828398</v>
      </c>
      <c r="O47" s="92">
        <f t="shared" si="110"/>
        <v>30.852063000000005</v>
      </c>
      <c r="P47" s="72">
        <f t="shared" si="111"/>
        <v>19.633131000000002</v>
      </c>
      <c r="Q47" s="72">
        <f t="shared" si="112"/>
        <v>2.8047330000000006</v>
      </c>
      <c r="R47" s="25">
        <f t="shared" si="113"/>
        <v>0.56094660000000007</v>
      </c>
      <c r="S47" s="72">
        <f t="shared" si="114"/>
        <v>1.2032304570000003</v>
      </c>
      <c r="T47" s="72">
        <f t="shared" si="115"/>
        <v>1.6660114020000001</v>
      </c>
      <c r="U47" s="72">
        <f t="shared" si="116"/>
        <v>1.5734552130000001</v>
      </c>
      <c r="V47" s="72">
        <f t="shared" si="117"/>
        <v>0.23139047250000006</v>
      </c>
      <c r="W47" s="72">
        <f t="shared" si="118"/>
        <v>4.6278094500000005E-2</v>
      </c>
      <c r="X47" s="72">
        <f t="shared" si="119"/>
        <v>1.7585675910000003</v>
      </c>
      <c r="Y47" s="72">
        <f t="shared" si="120"/>
        <v>2.4064609140000006</v>
      </c>
      <c r="Z47" s="72">
        <f t="shared" si="121"/>
        <v>1.6660114020000001</v>
      </c>
      <c r="AA47" s="72">
        <f t="shared" si="122"/>
        <v>0</v>
      </c>
      <c r="AB47" s="72">
        <f t="shared" si="123"/>
        <v>0</v>
      </c>
      <c r="AC47" s="91">
        <f t="shared" si="124"/>
        <v>13.866599952</v>
      </c>
      <c r="AD47" s="91">
        <f t="shared" si="125"/>
        <v>26.779590684000006</v>
      </c>
      <c r="AE47" s="91">
        <f t="shared" si="126"/>
        <v>16.393664385000005</v>
      </c>
      <c r="AF47" s="91">
        <f t="shared" si="127"/>
        <v>2.5733425275000004</v>
      </c>
      <c r="AG47" s="91">
        <f t="shared" si="128"/>
        <v>0.5146685055000001</v>
      </c>
      <c r="AH47" s="39">
        <f t="shared" si="129"/>
        <v>219.86680200000004</v>
      </c>
      <c r="AI47" s="77">
        <f t="shared" si="130"/>
        <v>403.08913699999999</v>
      </c>
      <c r="AJ47" s="77">
        <f t="shared" si="131"/>
        <v>256.51126900000003</v>
      </c>
      <c r="AK47" s="77">
        <f t="shared" si="132"/>
        <v>36.644466999999999</v>
      </c>
      <c r="AL47" s="26">
        <f t="shared" si="133"/>
        <v>7.3288934000000001</v>
      </c>
      <c r="AM47" s="27">
        <v>0.9</v>
      </c>
      <c r="AN47" s="27">
        <v>0.75</v>
      </c>
      <c r="AO47" s="27">
        <v>0.9</v>
      </c>
      <c r="AP47" s="27">
        <v>0.08</v>
      </c>
      <c r="AQ47" s="27">
        <v>0.8</v>
      </c>
      <c r="AR47" s="26">
        <f t="shared" si="134"/>
        <v>198.96302921130004</v>
      </c>
      <c r="AS47" s="26">
        <f t="shared" si="135"/>
        <v>303.56636130149997</v>
      </c>
      <c r="AT47" s="26">
        <f t="shared" si="136"/>
        <v>232.27625179170002</v>
      </c>
      <c r="AU47" s="26">
        <f t="shared" si="137"/>
        <v>2.9500685978000001</v>
      </c>
      <c r="AV47" s="26">
        <f t="shared" si="138"/>
        <v>5.9001371956000002</v>
      </c>
      <c r="AW47" s="26">
        <f t="shared" si="139"/>
        <v>22.107003245699985</v>
      </c>
      <c r="AX47" s="26">
        <f t="shared" si="140"/>
        <v>101.18878710050001</v>
      </c>
      <c r="AY47" s="26">
        <f t="shared" si="141"/>
        <v>25.808472421299996</v>
      </c>
      <c r="AZ47" s="26">
        <f t="shared" si="142"/>
        <v>33.925788874700004</v>
      </c>
      <c r="BA47" s="40">
        <f t="shared" si="143"/>
        <v>1.4750342988999998</v>
      </c>
      <c r="BB47" s="37">
        <f t="shared" si="144"/>
        <v>236.69520000000003</v>
      </c>
      <c r="BC47" s="28">
        <f t="shared" si="145"/>
        <v>433.94119999999998</v>
      </c>
      <c r="BD47" s="28">
        <f t="shared" si="146"/>
        <v>276.14440000000002</v>
      </c>
      <c r="BE47" s="29">
        <f t="shared" si="147"/>
        <v>39.449199999999998</v>
      </c>
      <c r="BF47" s="29">
        <f t="shared" si="148"/>
        <v>7.8898400000000004</v>
      </c>
      <c r="BG47" s="28">
        <f t="shared" si="149"/>
        <v>35.973603197699987</v>
      </c>
      <c r="BH47" s="28">
        <f t="shared" si="150"/>
        <v>127.96837778450001</v>
      </c>
      <c r="BI47" s="28">
        <f t="shared" si="151"/>
        <v>42.202136806300004</v>
      </c>
      <c r="BJ47" s="29">
        <f t="shared" si="152"/>
        <v>36.499131402200007</v>
      </c>
      <c r="BK47" s="29">
        <f t="shared" si="153"/>
        <v>1.9897028043999998</v>
      </c>
      <c r="BL47" s="28">
        <f t="shared" si="154"/>
        <v>200.72159680230004</v>
      </c>
      <c r="BM47" s="28">
        <f t="shared" si="155"/>
        <v>305.97282221549995</v>
      </c>
      <c r="BN47" s="28">
        <f t="shared" si="156"/>
        <v>233.94226319370003</v>
      </c>
      <c r="BO47" s="29">
        <f t="shared" si="157"/>
        <v>2.9500685978000001</v>
      </c>
      <c r="BP47" s="30">
        <f t="shared" si="158"/>
        <v>5.9001371956000002</v>
      </c>
      <c r="BQ47" s="10">
        <v>0</v>
      </c>
      <c r="BR47" s="6">
        <f>323320+61950+3040+15340+44840</f>
        <v>448490</v>
      </c>
      <c r="BS47" t="s">
        <v>128</v>
      </c>
    </row>
    <row r="48" spans="1:71" x14ac:dyDescent="0.25">
      <c r="A48" s="18"/>
      <c r="B48" s="18">
        <v>36</v>
      </c>
      <c r="C48" s="19" t="s">
        <v>75</v>
      </c>
      <c r="D48" s="60">
        <v>5706</v>
      </c>
      <c r="E48" s="47" t="s">
        <v>2</v>
      </c>
      <c r="F48" s="13" t="s">
        <v>208</v>
      </c>
      <c r="G48" s="53">
        <v>5500</v>
      </c>
      <c r="H48" s="53">
        <v>4200</v>
      </c>
      <c r="I48" s="50">
        <f t="shared" si="105"/>
        <v>9700</v>
      </c>
      <c r="J48" s="45">
        <v>0.5</v>
      </c>
      <c r="K48" s="65">
        <f t="shared" si="106"/>
        <v>2750</v>
      </c>
      <c r="L48" s="66">
        <f t="shared" si="107"/>
        <v>0.5</v>
      </c>
      <c r="M48" s="67">
        <f t="shared" si="108"/>
        <v>2750</v>
      </c>
      <c r="N48" s="43">
        <f t="shared" si="109"/>
        <v>60.225000000000001</v>
      </c>
      <c r="O48" s="92">
        <f t="shared" si="110"/>
        <v>110.41249999999999</v>
      </c>
      <c r="P48" s="72">
        <f t="shared" si="111"/>
        <v>70.262500000000003</v>
      </c>
      <c r="Q48" s="72">
        <f t="shared" si="112"/>
        <v>10.0375</v>
      </c>
      <c r="R48" s="25">
        <f t="shared" si="113"/>
        <v>2.0074999999999998</v>
      </c>
      <c r="S48" s="72">
        <f t="shared" si="114"/>
        <v>4.3060875000000003</v>
      </c>
      <c r="T48" s="72">
        <f t="shared" si="115"/>
        <v>5.962275</v>
      </c>
      <c r="U48" s="72">
        <f t="shared" si="116"/>
        <v>5.6310374999999997</v>
      </c>
      <c r="V48" s="72">
        <f t="shared" si="117"/>
        <v>0.82809374999999996</v>
      </c>
      <c r="W48" s="72">
        <f t="shared" si="118"/>
        <v>0.16561874999999998</v>
      </c>
      <c r="X48" s="72">
        <f t="shared" si="119"/>
        <v>6.2935125000000003</v>
      </c>
      <c r="Y48" s="72">
        <f t="shared" si="120"/>
        <v>8.6121750000000006</v>
      </c>
      <c r="Z48" s="72">
        <f t="shared" si="121"/>
        <v>5.962275</v>
      </c>
      <c r="AA48" s="72">
        <f t="shared" si="122"/>
        <v>0</v>
      </c>
      <c r="AB48" s="72">
        <f t="shared" si="123"/>
        <v>0</v>
      </c>
      <c r="AC48" s="91">
        <f t="shared" si="124"/>
        <v>49.625400000000006</v>
      </c>
      <c r="AD48" s="91">
        <f t="shared" si="125"/>
        <v>95.838049999999981</v>
      </c>
      <c r="AE48" s="91">
        <f t="shared" si="126"/>
        <v>58.6691875</v>
      </c>
      <c r="AF48" s="91">
        <f t="shared" si="127"/>
        <v>9.2094062499999989</v>
      </c>
      <c r="AG48" s="91">
        <f t="shared" si="128"/>
        <v>1.8418812499999999</v>
      </c>
      <c r="AH48" s="39">
        <f t="shared" si="129"/>
        <v>152.20500000000001</v>
      </c>
      <c r="AI48" s="77">
        <f t="shared" si="130"/>
        <v>279.04250000000002</v>
      </c>
      <c r="AJ48" s="77">
        <f t="shared" si="131"/>
        <v>177.57249999999999</v>
      </c>
      <c r="AK48" s="77">
        <f t="shared" si="132"/>
        <v>25.3675</v>
      </c>
      <c r="AL48" s="26">
        <f t="shared" si="133"/>
        <v>5.0735000000000001</v>
      </c>
      <c r="AM48" s="27">
        <v>0.9</v>
      </c>
      <c r="AN48" s="27">
        <v>0.75</v>
      </c>
      <c r="AO48" s="27">
        <v>0.9</v>
      </c>
      <c r="AP48" s="27">
        <v>0.1</v>
      </c>
      <c r="AQ48" s="27">
        <v>0.1</v>
      </c>
      <c r="AR48" s="26">
        <f t="shared" si="134"/>
        <v>140.85997875000001</v>
      </c>
      <c r="AS48" s="26">
        <f t="shared" si="135"/>
        <v>213.75358125</v>
      </c>
      <c r="AT48" s="26">
        <f t="shared" si="136"/>
        <v>164.88318375</v>
      </c>
      <c r="AU48" s="26">
        <f t="shared" si="137"/>
        <v>2.6195593750000001</v>
      </c>
      <c r="AV48" s="26">
        <f t="shared" si="138"/>
        <v>0.52391187500000003</v>
      </c>
      <c r="AW48" s="26">
        <f t="shared" si="139"/>
        <v>15.651108749999992</v>
      </c>
      <c r="AX48" s="26">
        <f t="shared" si="140"/>
        <v>71.251193749999999</v>
      </c>
      <c r="AY48" s="26">
        <f t="shared" si="141"/>
        <v>18.320353749999981</v>
      </c>
      <c r="AZ48" s="26">
        <f t="shared" si="142"/>
        <v>23.576034374999999</v>
      </c>
      <c r="BA48" s="40">
        <f t="shared" si="143"/>
        <v>4.7152068749999998</v>
      </c>
      <c r="BB48" s="37">
        <f t="shared" si="144"/>
        <v>212.43</v>
      </c>
      <c r="BC48" s="28">
        <f t="shared" si="145"/>
        <v>389.45500000000004</v>
      </c>
      <c r="BD48" s="28">
        <f t="shared" si="146"/>
        <v>247.83499999999998</v>
      </c>
      <c r="BE48" s="29">
        <f t="shared" si="147"/>
        <v>35.405000000000001</v>
      </c>
      <c r="BF48" s="29">
        <f t="shared" si="148"/>
        <v>7.0809999999999995</v>
      </c>
      <c r="BG48" s="28">
        <f t="shared" si="149"/>
        <v>65.276508750000005</v>
      </c>
      <c r="BH48" s="28">
        <f t="shared" si="150"/>
        <v>167.08924374999998</v>
      </c>
      <c r="BI48" s="28">
        <f t="shared" si="151"/>
        <v>76.989541249999974</v>
      </c>
      <c r="BJ48" s="29">
        <f t="shared" si="152"/>
        <v>32.785440625</v>
      </c>
      <c r="BK48" s="29">
        <f t="shared" si="153"/>
        <v>6.5570881249999999</v>
      </c>
      <c r="BL48" s="28">
        <f t="shared" si="154"/>
        <v>147.15349125</v>
      </c>
      <c r="BM48" s="28">
        <f t="shared" si="155"/>
        <v>222.36575625</v>
      </c>
      <c r="BN48" s="28">
        <f t="shared" si="156"/>
        <v>170.84545875000001</v>
      </c>
      <c r="BO48" s="29">
        <f t="shared" si="157"/>
        <v>2.6195593750000001</v>
      </c>
      <c r="BP48" s="30">
        <f t="shared" si="158"/>
        <v>0.52391187500000003</v>
      </c>
      <c r="BQ48" s="10">
        <v>488005</v>
      </c>
      <c r="BR48" s="6">
        <v>22000</v>
      </c>
      <c r="BS48" t="s">
        <v>128</v>
      </c>
    </row>
    <row r="49" spans="1:71" x14ac:dyDescent="0.25">
      <c r="A49" s="18"/>
      <c r="B49" s="18">
        <v>37</v>
      </c>
      <c r="C49" s="19" t="s">
        <v>78</v>
      </c>
      <c r="D49" s="60">
        <v>5390</v>
      </c>
      <c r="E49" s="47" t="s">
        <v>12</v>
      </c>
      <c r="F49" s="13" t="s">
        <v>208</v>
      </c>
      <c r="G49" s="53">
        <v>6180</v>
      </c>
      <c r="H49" s="54">
        <v>1000</v>
      </c>
      <c r="I49" s="50">
        <f t="shared" si="105"/>
        <v>7180</v>
      </c>
      <c r="J49" s="45">
        <v>0.85</v>
      </c>
      <c r="K49" s="65">
        <f t="shared" si="106"/>
        <v>5253</v>
      </c>
      <c r="L49" s="66">
        <f t="shared" si="107"/>
        <v>0.15000000000000002</v>
      </c>
      <c r="M49" s="67">
        <f t="shared" si="108"/>
        <v>927</v>
      </c>
      <c r="N49" s="43">
        <f t="shared" si="109"/>
        <v>20.301300000000001</v>
      </c>
      <c r="O49" s="92">
        <f t="shared" si="110"/>
        <v>37.219050000000003</v>
      </c>
      <c r="P49" s="72">
        <f t="shared" si="111"/>
        <v>23.684850000000001</v>
      </c>
      <c r="Q49" s="72">
        <f t="shared" si="112"/>
        <v>3.3835500000000001</v>
      </c>
      <c r="R49" s="25">
        <f t="shared" si="113"/>
        <v>0.67671000000000003</v>
      </c>
      <c r="S49" s="72">
        <f t="shared" si="114"/>
        <v>1.4515429500000001</v>
      </c>
      <c r="T49" s="72">
        <f t="shared" si="115"/>
        <v>2.0098287000000004</v>
      </c>
      <c r="U49" s="72">
        <f t="shared" si="116"/>
        <v>1.8981715500000003</v>
      </c>
      <c r="V49" s="72">
        <f t="shared" si="117"/>
        <v>0.27914287500000001</v>
      </c>
      <c r="W49" s="72">
        <f t="shared" si="118"/>
        <v>5.5828575000000005E-2</v>
      </c>
      <c r="X49" s="72">
        <f t="shared" si="119"/>
        <v>2.12148585</v>
      </c>
      <c r="Y49" s="72">
        <f t="shared" si="120"/>
        <v>2.9030859000000002</v>
      </c>
      <c r="Z49" s="72">
        <f t="shared" si="121"/>
        <v>2.0098287000000004</v>
      </c>
      <c r="AA49" s="72">
        <f t="shared" si="122"/>
        <v>0</v>
      </c>
      <c r="AB49" s="72">
        <f t="shared" si="123"/>
        <v>0</v>
      </c>
      <c r="AC49" s="91">
        <f t="shared" si="124"/>
        <v>16.728271200000002</v>
      </c>
      <c r="AD49" s="91">
        <f t="shared" si="125"/>
        <v>32.306135400000002</v>
      </c>
      <c r="AE49" s="91">
        <f t="shared" si="126"/>
        <v>19.77684975</v>
      </c>
      <c r="AF49" s="91">
        <f t="shared" si="127"/>
        <v>3.1044071249999998</v>
      </c>
      <c r="AG49" s="91">
        <f t="shared" si="128"/>
        <v>0.62088142499999999</v>
      </c>
      <c r="AH49" s="39">
        <f t="shared" si="129"/>
        <v>136.94069999999999</v>
      </c>
      <c r="AI49" s="77">
        <f t="shared" si="130"/>
        <v>251.05795000000001</v>
      </c>
      <c r="AJ49" s="77">
        <f t="shared" si="131"/>
        <v>159.76415</v>
      </c>
      <c r="AK49" s="77">
        <f t="shared" si="132"/>
        <v>22.823450000000001</v>
      </c>
      <c r="AL49" s="26">
        <f t="shared" si="133"/>
        <v>4.5646899999999997</v>
      </c>
      <c r="AM49" s="27">
        <v>0.9</v>
      </c>
      <c r="AN49" s="27">
        <v>0.75</v>
      </c>
      <c r="AO49" s="27">
        <v>0.9</v>
      </c>
      <c r="AP49" s="27">
        <v>0.1</v>
      </c>
      <c r="AQ49" s="27">
        <v>0.1</v>
      </c>
      <c r="AR49" s="26">
        <f t="shared" si="134"/>
        <v>124.553018655</v>
      </c>
      <c r="AS49" s="26">
        <f t="shared" si="135"/>
        <v>189.80083402500003</v>
      </c>
      <c r="AT49" s="26">
        <f t="shared" si="136"/>
        <v>145.49608939500001</v>
      </c>
      <c r="AU49" s="26">
        <f t="shared" si="137"/>
        <v>2.3102592875000005</v>
      </c>
      <c r="AV49" s="26">
        <f t="shared" si="138"/>
        <v>0.46205185749999994</v>
      </c>
      <c r="AW49" s="26">
        <f t="shared" si="139"/>
        <v>13.839224294999994</v>
      </c>
      <c r="AX49" s="26">
        <f t="shared" si="140"/>
        <v>63.266944674999991</v>
      </c>
      <c r="AY49" s="26">
        <f t="shared" si="141"/>
        <v>16.166232154999989</v>
      </c>
      <c r="AZ49" s="26">
        <f t="shared" si="142"/>
        <v>20.792333587500003</v>
      </c>
      <c r="BA49" s="40">
        <f t="shared" si="143"/>
        <v>4.1584667174999996</v>
      </c>
      <c r="BB49" s="37">
        <f t="shared" si="144"/>
        <v>157.24199999999999</v>
      </c>
      <c r="BC49" s="28">
        <f t="shared" si="145"/>
        <v>288.27699999999999</v>
      </c>
      <c r="BD49" s="28">
        <f t="shared" si="146"/>
        <v>183.44900000000001</v>
      </c>
      <c r="BE49" s="29">
        <f t="shared" si="147"/>
        <v>26.207000000000001</v>
      </c>
      <c r="BF49" s="29">
        <f t="shared" si="148"/>
        <v>5.2413999999999996</v>
      </c>
      <c r="BG49" s="28">
        <f t="shared" si="149"/>
        <v>30.567495494999996</v>
      </c>
      <c r="BH49" s="28">
        <f t="shared" si="150"/>
        <v>95.573080074999993</v>
      </c>
      <c r="BI49" s="28">
        <f t="shared" si="151"/>
        <v>35.943081904999985</v>
      </c>
      <c r="BJ49" s="29">
        <f t="shared" si="152"/>
        <v>23.896740712500005</v>
      </c>
      <c r="BK49" s="29">
        <f t="shared" si="153"/>
        <v>4.7793481425</v>
      </c>
      <c r="BL49" s="28">
        <f t="shared" si="154"/>
        <v>126.674504505</v>
      </c>
      <c r="BM49" s="28">
        <f t="shared" si="155"/>
        <v>192.70391992500004</v>
      </c>
      <c r="BN49" s="28">
        <f t="shared" si="156"/>
        <v>147.50591809500003</v>
      </c>
      <c r="BO49" s="29">
        <f t="shared" si="157"/>
        <v>2.3102592875000005</v>
      </c>
      <c r="BP49" s="30">
        <f t="shared" si="158"/>
        <v>0.46205185749999994</v>
      </c>
      <c r="BQ49" s="10">
        <f>95840+16560+48800+58640+91600+94000+91200+31800</f>
        <v>528440</v>
      </c>
      <c r="BR49" s="6">
        <f>28000+223200+22000+112000+22000</f>
        <v>407200</v>
      </c>
      <c r="BS49" t="s">
        <v>128</v>
      </c>
    </row>
    <row r="50" spans="1:71" x14ac:dyDescent="0.25">
      <c r="A50" s="18"/>
      <c r="B50" s="18">
        <v>38</v>
      </c>
      <c r="C50" s="19" t="s">
        <v>79</v>
      </c>
      <c r="D50" s="60">
        <v>5335</v>
      </c>
      <c r="E50" s="47" t="s">
        <v>145</v>
      </c>
      <c r="F50" s="13" t="s">
        <v>208</v>
      </c>
      <c r="G50" s="53">
        <v>6522</v>
      </c>
      <c r="H50" s="54">
        <v>110</v>
      </c>
      <c r="I50" s="50">
        <f t="shared" si="105"/>
        <v>6632</v>
      </c>
      <c r="J50" s="45">
        <v>0.86</v>
      </c>
      <c r="K50" s="65">
        <f t="shared" si="106"/>
        <v>5608.92</v>
      </c>
      <c r="L50" s="66">
        <f t="shared" si="107"/>
        <v>0.14000000000000001</v>
      </c>
      <c r="M50" s="67">
        <f t="shared" si="108"/>
        <v>913.07999999999993</v>
      </c>
      <c r="N50" s="43">
        <f t="shared" si="109"/>
        <v>19.996452000000001</v>
      </c>
      <c r="O50" s="92">
        <f t="shared" si="110"/>
        <v>36.660161999999993</v>
      </c>
      <c r="P50" s="72">
        <f t="shared" si="111"/>
        <v>23.329193999999998</v>
      </c>
      <c r="Q50" s="72">
        <f t="shared" si="112"/>
        <v>3.3327419999999996</v>
      </c>
      <c r="R50" s="25">
        <f t="shared" si="113"/>
        <v>0.66654839999999993</v>
      </c>
      <c r="S50" s="72">
        <f t="shared" si="114"/>
        <v>1.4297463179999998</v>
      </c>
      <c r="T50" s="72">
        <f t="shared" si="115"/>
        <v>1.9796487479999998</v>
      </c>
      <c r="U50" s="72">
        <f t="shared" si="116"/>
        <v>1.8696682619999998</v>
      </c>
      <c r="V50" s="72">
        <f t="shared" si="117"/>
        <v>0.27495121499999997</v>
      </c>
      <c r="W50" s="72">
        <f t="shared" si="118"/>
        <v>5.4990242999999994E-2</v>
      </c>
      <c r="X50" s="72">
        <f t="shared" si="119"/>
        <v>2.0896292339999998</v>
      </c>
      <c r="Y50" s="72">
        <f t="shared" si="120"/>
        <v>2.8594926359999997</v>
      </c>
      <c r="Z50" s="72">
        <f t="shared" si="121"/>
        <v>1.9796487479999998</v>
      </c>
      <c r="AA50" s="72">
        <f t="shared" si="122"/>
        <v>0</v>
      </c>
      <c r="AB50" s="72">
        <f t="shared" si="123"/>
        <v>0</v>
      </c>
      <c r="AC50" s="91">
        <f t="shared" si="124"/>
        <v>16.477076448000002</v>
      </c>
      <c r="AD50" s="91">
        <f t="shared" si="125"/>
        <v>31.821020615999991</v>
      </c>
      <c r="AE50" s="91">
        <f t="shared" si="126"/>
        <v>19.479876989999998</v>
      </c>
      <c r="AF50" s="91">
        <f t="shared" si="127"/>
        <v>3.0577907849999999</v>
      </c>
      <c r="AG50" s="91">
        <f t="shared" si="128"/>
        <v>0.61155815699999994</v>
      </c>
      <c r="AH50" s="39">
        <f t="shared" si="129"/>
        <v>125.244348</v>
      </c>
      <c r="AI50" s="77">
        <f t="shared" si="130"/>
        <v>229.61463799999996</v>
      </c>
      <c r="AJ50" s="77">
        <f t="shared" si="131"/>
        <v>146.11840599999999</v>
      </c>
      <c r="AK50" s="77">
        <f t="shared" si="132"/>
        <v>20.874058000000002</v>
      </c>
      <c r="AL50" s="26">
        <f t="shared" si="133"/>
        <v>4.1748116</v>
      </c>
      <c r="AM50" s="27">
        <v>0.9</v>
      </c>
      <c r="AN50" s="27">
        <v>0.75</v>
      </c>
      <c r="AO50" s="27">
        <v>0.9</v>
      </c>
      <c r="AP50" s="27">
        <v>0.1</v>
      </c>
      <c r="AQ50" s="27">
        <v>0.1</v>
      </c>
      <c r="AR50" s="26">
        <f t="shared" si="134"/>
        <v>114.00668488620001</v>
      </c>
      <c r="AS50" s="26">
        <f t="shared" si="135"/>
        <v>173.69571506099996</v>
      </c>
      <c r="AT50" s="26">
        <f t="shared" si="136"/>
        <v>133.1892668358</v>
      </c>
      <c r="AU50" s="26">
        <f t="shared" si="137"/>
        <v>2.1149009215000003</v>
      </c>
      <c r="AV50" s="26">
        <f t="shared" si="138"/>
        <v>0.42298018430000001</v>
      </c>
      <c r="AW50" s="26">
        <f t="shared" si="139"/>
        <v>12.667409431799996</v>
      </c>
      <c r="AX50" s="26">
        <f t="shared" si="140"/>
        <v>57.898571686999986</v>
      </c>
      <c r="AY50" s="26">
        <f t="shared" si="141"/>
        <v>14.7988074262</v>
      </c>
      <c r="AZ50" s="26">
        <f t="shared" si="142"/>
        <v>19.034108293500005</v>
      </c>
      <c r="BA50" s="40">
        <f t="shared" si="143"/>
        <v>3.8068216586999997</v>
      </c>
      <c r="BB50" s="37">
        <f t="shared" si="144"/>
        <v>145.24080000000001</v>
      </c>
      <c r="BC50" s="28">
        <f t="shared" si="145"/>
        <v>266.27479999999997</v>
      </c>
      <c r="BD50" s="28">
        <f t="shared" si="146"/>
        <v>169.44759999999999</v>
      </c>
      <c r="BE50" s="29">
        <f t="shared" si="147"/>
        <v>24.206800000000001</v>
      </c>
      <c r="BF50" s="29">
        <f t="shared" si="148"/>
        <v>4.8413599999999999</v>
      </c>
      <c r="BG50" s="28">
        <f t="shared" si="149"/>
        <v>29.144485879799998</v>
      </c>
      <c r="BH50" s="28">
        <f t="shared" si="150"/>
        <v>89.719592302999985</v>
      </c>
      <c r="BI50" s="28">
        <f t="shared" si="151"/>
        <v>34.278684416199994</v>
      </c>
      <c r="BJ50" s="29">
        <f t="shared" si="152"/>
        <v>22.091899078500006</v>
      </c>
      <c r="BK50" s="29">
        <f t="shared" si="153"/>
        <v>4.4183798156999998</v>
      </c>
      <c r="BL50" s="28">
        <f t="shared" si="154"/>
        <v>116.09631412020001</v>
      </c>
      <c r="BM50" s="28">
        <f t="shared" si="155"/>
        <v>176.55520769699996</v>
      </c>
      <c r="BN50" s="28">
        <f t="shared" si="156"/>
        <v>135.16891558379999</v>
      </c>
      <c r="BO50" s="29">
        <f t="shared" si="157"/>
        <v>2.1149009215000003</v>
      </c>
      <c r="BP50" s="30">
        <f t="shared" si="158"/>
        <v>0.42298018430000001</v>
      </c>
      <c r="BQ50" s="10">
        <f>180600+231000+233400+207000</f>
        <v>852000</v>
      </c>
      <c r="BR50" s="6">
        <f>435200+36000</f>
        <v>471200</v>
      </c>
      <c r="BS50" t="s">
        <v>132</v>
      </c>
    </row>
    <row r="51" spans="1:71" x14ac:dyDescent="0.25">
      <c r="A51" s="18"/>
      <c r="B51" s="18">
        <v>41</v>
      </c>
      <c r="C51" s="19" t="s">
        <v>82</v>
      </c>
      <c r="D51" s="60">
        <v>3942</v>
      </c>
      <c r="E51" s="47" t="s">
        <v>2</v>
      </c>
      <c r="F51" s="13" t="s">
        <v>208</v>
      </c>
      <c r="G51" s="53">
        <v>3350</v>
      </c>
      <c r="H51" s="53">
        <v>2000</v>
      </c>
      <c r="I51" s="50">
        <f t="shared" si="105"/>
        <v>5350</v>
      </c>
      <c r="J51" s="45">
        <v>0.73</v>
      </c>
      <c r="K51" s="65">
        <f t="shared" si="106"/>
        <v>2445.5</v>
      </c>
      <c r="L51" s="66">
        <f t="shared" si="107"/>
        <v>0.27</v>
      </c>
      <c r="M51" s="67">
        <f t="shared" si="108"/>
        <v>904.5</v>
      </c>
      <c r="N51" s="43">
        <f t="shared" si="109"/>
        <v>19.80855</v>
      </c>
      <c r="O51" s="92">
        <f t="shared" si="110"/>
        <v>36.315674999999999</v>
      </c>
      <c r="P51" s="72">
        <f t="shared" si="111"/>
        <v>23.109974999999999</v>
      </c>
      <c r="Q51" s="72">
        <f t="shared" si="112"/>
        <v>3.3014250000000001</v>
      </c>
      <c r="R51" s="25">
        <f t="shared" si="113"/>
        <v>0.66028500000000001</v>
      </c>
      <c r="S51" s="72">
        <f t="shared" si="114"/>
        <v>1.4163113250000001</v>
      </c>
      <c r="T51" s="72">
        <f t="shared" si="115"/>
        <v>1.9610464500000002</v>
      </c>
      <c r="U51" s="72">
        <f t="shared" si="116"/>
        <v>1.852099425</v>
      </c>
      <c r="V51" s="72">
        <f t="shared" si="117"/>
        <v>0.27236756249999999</v>
      </c>
      <c r="W51" s="72">
        <f t="shared" si="118"/>
        <v>5.4473512500000001E-2</v>
      </c>
      <c r="X51" s="72">
        <f t="shared" si="119"/>
        <v>2.069993475</v>
      </c>
      <c r="Y51" s="72">
        <f t="shared" si="120"/>
        <v>2.8326226500000002</v>
      </c>
      <c r="Z51" s="72">
        <f t="shared" si="121"/>
        <v>1.9610464500000002</v>
      </c>
      <c r="AA51" s="72">
        <f t="shared" si="122"/>
        <v>0</v>
      </c>
      <c r="AB51" s="72">
        <f t="shared" si="123"/>
        <v>0</v>
      </c>
      <c r="AC51" s="91">
        <f t="shared" si="124"/>
        <v>16.322245200000001</v>
      </c>
      <c r="AD51" s="91">
        <f t="shared" si="125"/>
        <v>31.5220059</v>
      </c>
      <c r="AE51" s="91">
        <f t="shared" si="126"/>
        <v>19.296829124999999</v>
      </c>
      <c r="AF51" s="91">
        <f t="shared" si="127"/>
        <v>3.0290574375000001</v>
      </c>
      <c r="AG51" s="91">
        <f t="shared" si="128"/>
        <v>0.60581148750000002</v>
      </c>
      <c r="AH51" s="39">
        <f t="shared" si="129"/>
        <v>97.356449999999995</v>
      </c>
      <c r="AI51" s="77">
        <f t="shared" si="130"/>
        <v>178.48682500000001</v>
      </c>
      <c r="AJ51" s="77">
        <f t="shared" si="131"/>
        <v>113.582525</v>
      </c>
      <c r="AK51" s="77">
        <f t="shared" si="132"/>
        <v>16.226075000000002</v>
      </c>
      <c r="AL51" s="26">
        <f t="shared" si="133"/>
        <v>3.245215</v>
      </c>
      <c r="AM51" s="27">
        <v>0.9</v>
      </c>
      <c r="AN51" s="27">
        <v>0.75</v>
      </c>
      <c r="AO51" s="27">
        <v>0.9</v>
      </c>
      <c r="AP51" s="27">
        <v>0.1</v>
      </c>
      <c r="AQ51" s="27">
        <v>0.1</v>
      </c>
      <c r="AR51" s="26">
        <f t="shared" si="134"/>
        <v>88.89548519249999</v>
      </c>
      <c r="AS51" s="26">
        <f t="shared" si="135"/>
        <v>135.33590358750001</v>
      </c>
      <c r="AT51" s="26">
        <f t="shared" si="136"/>
        <v>103.89116198250001</v>
      </c>
      <c r="AU51" s="26">
        <f t="shared" si="137"/>
        <v>1.6498442562500004</v>
      </c>
      <c r="AV51" s="26">
        <f t="shared" si="138"/>
        <v>0.32996885125000003</v>
      </c>
      <c r="AW51" s="26">
        <f t="shared" si="139"/>
        <v>9.8772761325000005</v>
      </c>
      <c r="AX51" s="26">
        <f t="shared" si="140"/>
        <v>45.111967862499995</v>
      </c>
      <c r="AY51" s="26">
        <f t="shared" si="141"/>
        <v>11.543462442500001</v>
      </c>
      <c r="AZ51" s="26">
        <f t="shared" si="142"/>
        <v>14.848598306250002</v>
      </c>
      <c r="BA51" s="40">
        <f t="shared" si="143"/>
        <v>2.9697196612500001</v>
      </c>
      <c r="BB51" s="37">
        <f t="shared" si="144"/>
        <v>117.16499999999999</v>
      </c>
      <c r="BC51" s="28">
        <f t="shared" si="145"/>
        <v>214.80250000000001</v>
      </c>
      <c r="BD51" s="28">
        <f t="shared" si="146"/>
        <v>136.6925</v>
      </c>
      <c r="BE51" s="29">
        <f t="shared" si="147"/>
        <v>19.527500000000003</v>
      </c>
      <c r="BF51" s="29">
        <f t="shared" si="148"/>
        <v>3.9055</v>
      </c>
      <c r="BG51" s="28">
        <f t="shared" si="149"/>
        <v>26.199521332500002</v>
      </c>
      <c r="BH51" s="28">
        <f t="shared" si="150"/>
        <v>76.633973762499991</v>
      </c>
      <c r="BI51" s="28">
        <f t="shared" si="151"/>
        <v>30.8402915675</v>
      </c>
      <c r="BJ51" s="29">
        <f t="shared" si="152"/>
        <v>17.877655743750001</v>
      </c>
      <c r="BK51" s="29">
        <f t="shared" si="153"/>
        <v>3.5755311487500001</v>
      </c>
      <c r="BL51" s="28">
        <f t="shared" si="154"/>
        <v>90.965478667499994</v>
      </c>
      <c r="BM51" s="28">
        <f t="shared" si="155"/>
        <v>138.1685262375</v>
      </c>
      <c r="BN51" s="28">
        <f t="shared" si="156"/>
        <v>105.85220843250001</v>
      </c>
      <c r="BO51" s="29">
        <f t="shared" si="157"/>
        <v>1.6498442562500004</v>
      </c>
      <c r="BP51" s="30">
        <f t="shared" si="158"/>
        <v>0.32996885125000003</v>
      </c>
      <c r="BQ51" s="10">
        <v>0</v>
      </c>
      <c r="BR51" s="6">
        <v>70000</v>
      </c>
      <c r="BS51" t="s">
        <v>128</v>
      </c>
    </row>
    <row r="52" spans="1:71" x14ac:dyDescent="0.25">
      <c r="A52" s="18"/>
      <c r="B52" s="18">
        <v>46</v>
      </c>
      <c r="C52" s="19" t="s">
        <v>90</v>
      </c>
      <c r="D52" s="60">
        <v>3534</v>
      </c>
      <c r="E52" s="47" t="s">
        <v>148</v>
      </c>
      <c r="F52" s="13" t="s">
        <v>208</v>
      </c>
      <c r="G52" s="53">
        <v>4156</v>
      </c>
      <c r="H52" s="54">
        <v>307</v>
      </c>
      <c r="I52" s="50">
        <f t="shared" si="105"/>
        <v>4463</v>
      </c>
      <c r="J52" s="45">
        <v>0.96</v>
      </c>
      <c r="K52" s="65">
        <f t="shared" si="106"/>
        <v>3989.76</v>
      </c>
      <c r="L52" s="66">
        <f t="shared" si="107"/>
        <v>4.0000000000000036E-2</v>
      </c>
      <c r="M52" s="67">
        <f t="shared" si="108"/>
        <v>166.23999999999978</v>
      </c>
      <c r="N52" s="43">
        <f t="shared" si="109"/>
        <v>3.6406559999999955</v>
      </c>
      <c r="O52" s="92">
        <f t="shared" si="110"/>
        <v>6.6745359999999918</v>
      </c>
      <c r="P52" s="72">
        <f t="shared" si="111"/>
        <v>4.2474319999999945</v>
      </c>
      <c r="Q52" s="72">
        <f t="shared" si="112"/>
        <v>0.6067759999999992</v>
      </c>
      <c r="R52" s="25">
        <f t="shared" si="113"/>
        <v>0.12135519999999984</v>
      </c>
      <c r="S52" s="72">
        <f t="shared" si="114"/>
        <v>0.26030690399999967</v>
      </c>
      <c r="T52" s="72">
        <f t="shared" si="115"/>
        <v>0.36042494399999958</v>
      </c>
      <c r="U52" s="72">
        <f t="shared" si="116"/>
        <v>0.34040133599999955</v>
      </c>
      <c r="V52" s="72">
        <f t="shared" si="117"/>
        <v>5.005901999999994E-2</v>
      </c>
      <c r="W52" s="72">
        <f t="shared" si="118"/>
        <v>1.0011803999999987E-2</v>
      </c>
      <c r="X52" s="72">
        <f t="shared" si="119"/>
        <v>0.3804485519999995</v>
      </c>
      <c r="Y52" s="72">
        <f t="shared" si="120"/>
        <v>0.52061380799999935</v>
      </c>
      <c r="Z52" s="72">
        <f t="shared" si="121"/>
        <v>0.36042494399999958</v>
      </c>
      <c r="AA52" s="72">
        <f t="shared" si="122"/>
        <v>0</v>
      </c>
      <c r="AB52" s="72">
        <f t="shared" si="123"/>
        <v>0</v>
      </c>
      <c r="AC52" s="91">
        <f t="shared" si="124"/>
        <v>2.9999005439999964</v>
      </c>
      <c r="AD52" s="91">
        <f t="shared" si="125"/>
        <v>5.7934972479999933</v>
      </c>
      <c r="AE52" s="91">
        <f t="shared" si="126"/>
        <v>3.5466057199999956</v>
      </c>
      <c r="AF52" s="91">
        <f t="shared" si="127"/>
        <v>0.55671697999999925</v>
      </c>
      <c r="AG52" s="91">
        <f t="shared" si="128"/>
        <v>0.11134339599999986</v>
      </c>
      <c r="AH52" s="39">
        <f t="shared" si="129"/>
        <v>94.099044000000006</v>
      </c>
      <c r="AI52" s="77">
        <f t="shared" si="130"/>
        <v>172.514914</v>
      </c>
      <c r="AJ52" s="77">
        <f t="shared" si="131"/>
        <v>109.782218</v>
      </c>
      <c r="AK52" s="77">
        <f t="shared" si="132"/>
        <v>15.683174000000001</v>
      </c>
      <c r="AL52" s="26">
        <f t="shared" si="133"/>
        <v>3.1366348000000004</v>
      </c>
      <c r="AM52" s="27">
        <v>0.9</v>
      </c>
      <c r="AN52" s="27">
        <v>0.75</v>
      </c>
      <c r="AO52" s="27">
        <v>0.9</v>
      </c>
      <c r="AP52" s="27">
        <v>0.1</v>
      </c>
      <c r="AQ52" s="27">
        <v>0.1</v>
      </c>
      <c r="AR52" s="26">
        <f t="shared" si="134"/>
        <v>84.923415813600016</v>
      </c>
      <c r="AS52" s="26">
        <f t="shared" si="135"/>
        <v>129.656504208</v>
      </c>
      <c r="AT52" s="26">
        <f t="shared" si="136"/>
        <v>99.110357402399998</v>
      </c>
      <c r="AU52" s="26">
        <f t="shared" si="137"/>
        <v>1.5733233020000001</v>
      </c>
      <c r="AV52" s="26">
        <f t="shared" si="138"/>
        <v>0.31466466040000007</v>
      </c>
      <c r="AW52" s="26">
        <f t="shared" si="139"/>
        <v>9.4359350903999939</v>
      </c>
      <c r="AX52" s="26">
        <f t="shared" si="140"/>
        <v>43.218834735999991</v>
      </c>
      <c r="AY52" s="26">
        <f t="shared" si="141"/>
        <v>11.012261933600001</v>
      </c>
      <c r="AZ52" s="26">
        <f t="shared" si="142"/>
        <v>14.159909718</v>
      </c>
      <c r="BA52" s="40">
        <f t="shared" si="143"/>
        <v>2.8319819436000002</v>
      </c>
      <c r="BB52" s="37">
        <f t="shared" si="144"/>
        <v>97.739699999999999</v>
      </c>
      <c r="BC52" s="28">
        <f t="shared" si="145"/>
        <v>179.18944999999999</v>
      </c>
      <c r="BD52" s="28">
        <f t="shared" si="146"/>
        <v>114.02964999999999</v>
      </c>
      <c r="BE52" s="29">
        <f t="shared" si="147"/>
        <v>16.289950000000001</v>
      </c>
      <c r="BF52" s="29">
        <f t="shared" si="148"/>
        <v>3.2579900000000004</v>
      </c>
      <c r="BG52" s="28">
        <f t="shared" si="149"/>
        <v>12.435835634399989</v>
      </c>
      <c r="BH52" s="28">
        <f t="shared" si="150"/>
        <v>49.012331983999985</v>
      </c>
      <c r="BI52" s="28">
        <f t="shared" si="151"/>
        <v>14.558867653599997</v>
      </c>
      <c r="BJ52" s="29">
        <f t="shared" si="152"/>
        <v>14.716626697999999</v>
      </c>
      <c r="BK52" s="29">
        <f t="shared" si="153"/>
        <v>2.9433253395999999</v>
      </c>
      <c r="BL52" s="28">
        <f t="shared" si="154"/>
        <v>85.30386436560002</v>
      </c>
      <c r="BM52" s="28">
        <f t="shared" si="155"/>
        <v>130.17711801600001</v>
      </c>
      <c r="BN52" s="28">
        <f t="shared" si="156"/>
        <v>99.4707823464</v>
      </c>
      <c r="BO52" s="29">
        <f t="shared" si="157"/>
        <v>1.5733233020000001</v>
      </c>
      <c r="BP52" s="30">
        <f t="shared" si="158"/>
        <v>0.31466466040000007</v>
      </c>
      <c r="BQ52" s="10">
        <v>0</v>
      </c>
      <c r="BR52" s="6">
        <v>0</v>
      </c>
      <c r="BS52" t="s">
        <v>3</v>
      </c>
    </row>
    <row r="53" spans="1:71" x14ac:dyDescent="0.25">
      <c r="A53" s="18"/>
      <c r="B53" s="18">
        <v>51</v>
      </c>
      <c r="C53" s="19" t="s">
        <v>92</v>
      </c>
      <c r="D53" s="60">
        <v>3088</v>
      </c>
      <c r="E53" s="47" t="s">
        <v>150</v>
      </c>
      <c r="F53" s="13" t="s">
        <v>208</v>
      </c>
      <c r="G53" s="53">
        <v>3775</v>
      </c>
      <c r="H53" s="54">
        <v>38</v>
      </c>
      <c r="I53" s="50">
        <f t="shared" si="105"/>
        <v>3813</v>
      </c>
      <c r="J53" s="45">
        <v>0.33</v>
      </c>
      <c r="K53" s="65">
        <f t="shared" si="106"/>
        <v>1245.75</v>
      </c>
      <c r="L53" s="66">
        <f t="shared" si="107"/>
        <v>0.66999999999999993</v>
      </c>
      <c r="M53" s="67">
        <f t="shared" si="108"/>
        <v>2529.25</v>
      </c>
      <c r="N53" s="43">
        <f t="shared" si="109"/>
        <v>55.390574999999998</v>
      </c>
      <c r="O53" s="92">
        <f t="shared" si="110"/>
        <v>101.54938749999999</v>
      </c>
      <c r="P53" s="72">
        <f t="shared" si="111"/>
        <v>64.6223375</v>
      </c>
      <c r="Q53" s="72">
        <f t="shared" si="112"/>
        <v>9.2317625000000003</v>
      </c>
      <c r="R53" s="25">
        <f t="shared" si="113"/>
        <v>1.8463525000000001</v>
      </c>
      <c r="S53" s="72">
        <f t="shared" si="114"/>
        <v>3.9604261125</v>
      </c>
      <c r="T53" s="72">
        <f t="shared" si="115"/>
        <v>5.4836669249999996</v>
      </c>
      <c r="U53" s="72">
        <f t="shared" si="116"/>
        <v>5.1790187625000002</v>
      </c>
      <c r="V53" s="72">
        <f t="shared" si="117"/>
        <v>0.76162040625000005</v>
      </c>
      <c r="W53" s="72">
        <f t="shared" si="118"/>
        <v>0.15232408125000002</v>
      </c>
      <c r="X53" s="72">
        <f t="shared" si="119"/>
        <v>5.7883150875</v>
      </c>
      <c r="Y53" s="72">
        <f t="shared" si="120"/>
        <v>7.920852225</v>
      </c>
      <c r="Z53" s="72">
        <f t="shared" si="121"/>
        <v>5.4836669249999996</v>
      </c>
      <c r="AA53" s="72">
        <f t="shared" si="122"/>
        <v>0</v>
      </c>
      <c r="AB53" s="72">
        <f t="shared" si="123"/>
        <v>0</v>
      </c>
      <c r="AC53" s="91">
        <f t="shared" si="124"/>
        <v>45.641833799999993</v>
      </c>
      <c r="AD53" s="91">
        <f t="shared" si="125"/>
        <v>88.144868349999996</v>
      </c>
      <c r="AE53" s="91">
        <f t="shared" si="126"/>
        <v>53.959651812499999</v>
      </c>
      <c r="AF53" s="91">
        <f t="shared" si="127"/>
        <v>8.4701420937500007</v>
      </c>
      <c r="AG53" s="91">
        <f t="shared" si="128"/>
        <v>1.6940284187500001</v>
      </c>
      <c r="AH53" s="39">
        <f t="shared" si="129"/>
        <v>28.114125000000001</v>
      </c>
      <c r="AI53" s="77">
        <f t="shared" si="130"/>
        <v>51.542562500000003</v>
      </c>
      <c r="AJ53" s="77">
        <f t="shared" si="131"/>
        <v>32.799812500000002</v>
      </c>
      <c r="AK53" s="77">
        <f t="shared" si="132"/>
        <v>4.6856875000000002</v>
      </c>
      <c r="AL53" s="26">
        <f t="shared" si="133"/>
        <v>0.93713749999999996</v>
      </c>
      <c r="AM53" s="27">
        <v>0.9</v>
      </c>
      <c r="AN53" s="27">
        <v>0.75</v>
      </c>
      <c r="AO53" s="27">
        <v>0.9</v>
      </c>
      <c r="AP53" s="27">
        <v>0.1</v>
      </c>
      <c r="AQ53" s="27">
        <v>0.1</v>
      </c>
      <c r="AR53" s="26">
        <f t="shared" si="134"/>
        <v>28.867096001250005</v>
      </c>
      <c r="AS53" s="26">
        <f t="shared" si="135"/>
        <v>42.769672068750005</v>
      </c>
      <c r="AT53" s="26">
        <f t="shared" si="136"/>
        <v>34.180948136250002</v>
      </c>
      <c r="AU53" s="26">
        <f t="shared" si="137"/>
        <v>0.54473079062499996</v>
      </c>
      <c r="AV53" s="26">
        <f t="shared" si="138"/>
        <v>0.108946158125</v>
      </c>
      <c r="AW53" s="26">
        <f t="shared" si="139"/>
        <v>3.2074551112499989</v>
      </c>
      <c r="AX53" s="26">
        <f t="shared" si="140"/>
        <v>14.256557356249999</v>
      </c>
      <c r="AY53" s="26">
        <f t="shared" si="141"/>
        <v>3.7978831262499995</v>
      </c>
      <c r="AZ53" s="26">
        <f t="shared" si="142"/>
        <v>4.9025771156250002</v>
      </c>
      <c r="BA53" s="40">
        <f t="shared" si="143"/>
        <v>0.98051542312499995</v>
      </c>
      <c r="BB53" s="37">
        <f t="shared" si="144"/>
        <v>83.5047</v>
      </c>
      <c r="BC53" s="28">
        <f t="shared" si="145"/>
        <v>153.09195</v>
      </c>
      <c r="BD53" s="28">
        <f t="shared" si="146"/>
        <v>97.422150000000002</v>
      </c>
      <c r="BE53" s="29">
        <f t="shared" si="147"/>
        <v>13.917450000000001</v>
      </c>
      <c r="BF53" s="29">
        <f t="shared" si="148"/>
        <v>2.78349</v>
      </c>
      <c r="BG53" s="28">
        <f t="shared" si="149"/>
        <v>48.849288911249992</v>
      </c>
      <c r="BH53" s="28">
        <f t="shared" si="150"/>
        <v>102.40142570625</v>
      </c>
      <c r="BI53" s="28">
        <f t="shared" si="151"/>
        <v>57.757534938749998</v>
      </c>
      <c r="BJ53" s="29">
        <f t="shared" si="152"/>
        <v>13.372719209375001</v>
      </c>
      <c r="BK53" s="29">
        <f t="shared" si="153"/>
        <v>2.6745438418749998</v>
      </c>
      <c r="BL53" s="28">
        <f t="shared" si="154"/>
        <v>34.655411088750007</v>
      </c>
      <c r="BM53" s="28">
        <f t="shared" si="155"/>
        <v>50.690524293750002</v>
      </c>
      <c r="BN53" s="28">
        <f t="shared" si="156"/>
        <v>39.664615061250004</v>
      </c>
      <c r="BO53" s="29">
        <f t="shared" si="157"/>
        <v>0.54473079062499996</v>
      </c>
      <c r="BP53" s="30">
        <f t="shared" si="158"/>
        <v>0.108946158125</v>
      </c>
      <c r="BQ53" s="10">
        <v>1483200</v>
      </c>
      <c r="BR53" s="6">
        <v>56000</v>
      </c>
      <c r="BS53" t="s">
        <v>131</v>
      </c>
    </row>
    <row r="54" spans="1:71" x14ac:dyDescent="0.25">
      <c r="A54" s="18"/>
      <c r="B54" s="18">
        <v>63</v>
      </c>
      <c r="C54" s="19" t="s">
        <v>100</v>
      </c>
      <c r="D54" s="60">
        <v>2418</v>
      </c>
      <c r="E54" s="47" t="s">
        <v>157</v>
      </c>
      <c r="F54" s="12" t="s">
        <v>208</v>
      </c>
      <c r="G54" s="53">
        <v>2909</v>
      </c>
      <c r="H54" s="54">
        <v>0</v>
      </c>
      <c r="I54" s="50">
        <f t="shared" si="105"/>
        <v>2909</v>
      </c>
      <c r="J54" s="45">
        <v>0.8</v>
      </c>
      <c r="K54" s="65">
        <f t="shared" si="106"/>
        <v>2327.1999999999998</v>
      </c>
      <c r="L54" s="66">
        <f t="shared" si="107"/>
        <v>0.19999999999999996</v>
      </c>
      <c r="M54" s="67">
        <f t="shared" si="108"/>
        <v>581.80000000000018</v>
      </c>
      <c r="N54" s="43">
        <f t="shared" si="109"/>
        <v>12.741420000000005</v>
      </c>
      <c r="O54" s="92">
        <f t="shared" si="110"/>
        <v>23.359270000000006</v>
      </c>
      <c r="P54" s="72">
        <f t="shared" si="111"/>
        <v>14.864990000000006</v>
      </c>
      <c r="Q54" s="72">
        <f t="shared" si="112"/>
        <v>2.1235700000000004</v>
      </c>
      <c r="R54" s="25">
        <f t="shared" si="113"/>
        <v>0.42471400000000009</v>
      </c>
      <c r="S54" s="72">
        <f t="shared" si="114"/>
        <v>0.91101153000000035</v>
      </c>
      <c r="T54" s="72">
        <f t="shared" si="115"/>
        <v>1.2614005800000005</v>
      </c>
      <c r="U54" s="72">
        <f t="shared" si="116"/>
        <v>1.1913227700000004</v>
      </c>
      <c r="V54" s="72">
        <f t="shared" si="117"/>
        <v>0.17519452500000005</v>
      </c>
      <c r="W54" s="72">
        <f t="shared" si="118"/>
        <v>3.5038905000000009E-2</v>
      </c>
      <c r="X54" s="72">
        <f t="shared" si="119"/>
        <v>1.3314783900000007</v>
      </c>
      <c r="Y54" s="72">
        <f t="shared" si="120"/>
        <v>1.8220230600000007</v>
      </c>
      <c r="Z54" s="72">
        <f t="shared" si="121"/>
        <v>1.2614005800000005</v>
      </c>
      <c r="AA54" s="72">
        <f t="shared" si="122"/>
        <v>0</v>
      </c>
      <c r="AB54" s="72">
        <f t="shared" si="123"/>
        <v>0</v>
      </c>
      <c r="AC54" s="91">
        <f t="shared" si="124"/>
        <v>10.498930080000004</v>
      </c>
      <c r="AD54" s="91">
        <f t="shared" si="125"/>
        <v>20.275846360000006</v>
      </c>
      <c r="AE54" s="91">
        <f t="shared" si="126"/>
        <v>12.412266650000005</v>
      </c>
      <c r="AF54" s="91">
        <f t="shared" si="127"/>
        <v>1.9483754750000004</v>
      </c>
      <c r="AG54" s="91">
        <f t="shared" si="128"/>
        <v>0.38967509500000008</v>
      </c>
      <c r="AH54" s="39">
        <f t="shared" si="129"/>
        <v>50.965679999999999</v>
      </c>
      <c r="AI54" s="77">
        <f t="shared" si="130"/>
        <v>93.43707999999998</v>
      </c>
      <c r="AJ54" s="77">
        <f t="shared" si="131"/>
        <v>59.459960000000002</v>
      </c>
      <c r="AK54" s="77">
        <f t="shared" si="132"/>
        <v>8.4942799999999998</v>
      </c>
      <c r="AL54" s="26">
        <f t="shared" si="133"/>
        <v>1.6988559999999997</v>
      </c>
      <c r="AM54" s="27">
        <v>0.9</v>
      </c>
      <c r="AN54" s="27">
        <v>0.75</v>
      </c>
      <c r="AO54" s="27">
        <v>0.9</v>
      </c>
      <c r="AP54" s="27">
        <v>0.1</v>
      </c>
      <c r="AQ54" s="27">
        <v>0.1</v>
      </c>
      <c r="AR54" s="26">
        <f t="shared" si="134"/>
        <v>46.689022377000001</v>
      </c>
      <c r="AS54" s="26">
        <f t="shared" si="135"/>
        <v>71.023860434999989</v>
      </c>
      <c r="AT54" s="26">
        <f t="shared" si="136"/>
        <v>54.586154493000002</v>
      </c>
      <c r="AU54" s="26">
        <f t="shared" si="137"/>
        <v>0.86694745250000005</v>
      </c>
      <c r="AV54" s="26">
        <f t="shared" si="138"/>
        <v>0.17338949049999997</v>
      </c>
      <c r="AW54" s="26">
        <f t="shared" si="139"/>
        <v>5.1876691530000016</v>
      </c>
      <c r="AX54" s="26">
        <f t="shared" si="140"/>
        <v>23.674620144999992</v>
      </c>
      <c r="AY54" s="26">
        <f t="shared" si="141"/>
        <v>6.0651282769999995</v>
      </c>
      <c r="AZ54" s="26">
        <f t="shared" si="142"/>
        <v>7.8025270725000002</v>
      </c>
      <c r="BA54" s="40">
        <f t="shared" si="143"/>
        <v>1.5605054144999997</v>
      </c>
      <c r="BB54" s="37">
        <f t="shared" si="144"/>
        <v>63.707100000000004</v>
      </c>
      <c r="BC54" s="28">
        <f t="shared" si="145"/>
        <v>116.79634999999999</v>
      </c>
      <c r="BD54" s="28">
        <f t="shared" si="146"/>
        <v>74.324950000000001</v>
      </c>
      <c r="BE54" s="29">
        <f t="shared" si="147"/>
        <v>10.617850000000001</v>
      </c>
      <c r="BF54" s="29">
        <f t="shared" si="148"/>
        <v>2.12357</v>
      </c>
      <c r="BG54" s="28">
        <f t="shared" si="149"/>
        <v>15.686599233000006</v>
      </c>
      <c r="BH54" s="28">
        <f t="shared" si="150"/>
        <v>43.950466504999994</v>
      </c>
      <c r="BI54" s="28">
        <f t="shared" si="151"/>
        <v>18.477394927000006</v>
      </c>
      <c r="BJ54" s="29">
        <f t="shared" si="152"/>
        <v>9.7509025475000008</v>
      </c>
      <c r="BK54" s="29">
        <f t="shared" si="153"/>
        <v>1.9501805094999998</v>
      </c>
      <c r="BL54" s="28">
        <f t="shared" si="154"/>
        <v>48.020500767000001</v>
      </c>
      <c r="BM54" s="28">
        <f t="shared" si="155"/>
        <v>72.845883494999995</v>
      </c>
      <c r="BN54" s="28">
        <f t="shared" si="156"/>
        <v>55.847555073000002</v>
      </c>
      <c r="BO54" s="29">
        <f t="shared" si="157"/>
        <v>0.86694745250000005</v>
      </c>
      <c r="BP54" s="30">
        <f t="shared" si="158"/>
        <v>0.17338949049999997</v>
      </c>
      <c r="BQ54" s="10">
        <v>0</v>
      </c>
      <c r="BR54" s="6">
        <v>1895950</v>
      </c>
      <c r="BS54" t="s">
        <v>128</v>
      </c>
    </row>
    <row r="55" spans="1:71" x14ac:dyDescent="0.25">
      <c r="A55" s="18"/>
      <c r="B55" s="18">
        <v>64</v>
      </c>
      <c r="C55" s="19" t="s">
        <v>98</v>
      </c>
      <c r="D55" s="60">
        <v>2346</v>
      </c>
      <c r="E55" s="47" t="s">
        <v>2</v>
      </c>
      <c r="F55" s="13" t="s">
        <v>208</v>
      </c>
      <c r="G55" s="53">
        <v>2579</v>
      </c>
      <c r="H55" s="54">
        <v>281</v>
      </c>
      <c r="I55" s="50">
        <f t="shared" si="105"/>
        <v>2860</v>
      </c>
      <c r="J55" s="45">
        <v>0.94</v>
      </c>
      <c r="K55" s="65">
        <f t="shared" si="106"/>
        <v>2424.2600000000002</v>
      </c>
      <c r="L55" s="66">
        <f t="shared" si="107"/>
        <v>6.0000000000000053E-2</v>
      </c>
      <c r="M55" s="67">
        <f t="shared" si="108"/>
        <v>154.73999999999978</v>
      </c>
      <c r="N55" s="43">
        <f t="shared" si="109"/>
        <v>3.3888059999999953</v>
      </c>
      <c r="O55" s="92">
        <f t="shared" si="110"/>
        <v>6.2128109999999914</v>
      </c>
      <c r="P55" s="72">
        <f t="shared" si="111"/>
        <v>3.9536069999999945</v>
      </c>
      <c r="Q55" s="72">
        <f t="shared" si="112"/>
        <v>0.56480099999999922</v>
      </c>
      <c r="R55" s="25">
        <f t="shared" si="113"/>
        <v>0.11296019999999983</v>
      </c>
      <c r="S55" s="72">
        <f t="shared" si="114"/>
        <v>0.24229962899999968</v>
      </c>
      <c r="T55" s="72">
        <f t="shared" si="115"/>
        <v>0.33549179399999957</v>
      </c>
      <c r="U55" s="72">
        <f t="shared" si="116"/>
        <v>0.31685336099999956</v>
      </c>
      <c r="V55" s="72">
        <f t="shared" si="117"/>
        <v>4.6596082499999941E-2</v>
      </c>
      <c r="W55" s="72">
        <f t="shared" si="118"/>
        <v>9.3192164999999858E-3</v>
      </c>
      <c r="X55" s="72">
        <f t="shared" si="119"/>
        <v>0.35413022699999952</v>
      </c>
      <c r="Y55" s="72">
        <f t="shared" si="120"/>
        <v>0.48459925799999937</v>
      </c>
      <c r="Z55" s="72">
        <f t="shared" si="121"/>
        <v>0.33549179399999957</v>
      </c>
      <c r="AA55" s="72">
        <f t="shared" si="122"/>
        <v>0</v>
      </c>
      <c r="AB55" s="72">
        <f t="shared" si="123"/>
        <v>0</v>
      </c>
      <c r="AC55" s="91">
        <f t="shared" si="124"/>
        <v>2.7923761439999959</v>
      </c>
      <c r="AD55" s="91">
        <f t="shared" si="125"/>
        <v>5.3927199479999928</v>
      </c>
      <c r="AE55" s="91">
        <f t="shared" si="126"/>
        <v>3.3012618449999951</v>
      </c>
      <c r="AF55" s="91">
        <f t="shared" si="127"/>
        <v>0.51820491749999931</v>
      </c>
      <c r="AG55" s="91">
        <f t="shared" si="128"/>
        <v>0.10364098349999984</v>
      </c>
      <c r="AH55" s="39">
        <f t="shared" si="129"/>
        <v>59.245193999999998</v>
      </c>
      <c r="AI55" s="77">
        <f t="shared" si="130"/>
        <v>108.61618900000002</v>
      </c>
      <c r="AJ55" s="77">
        <f t="shared" si="131"/>
        <v>69.119393000000002</v>
      </c>
      <c r="AK55" s="77">
        <f t="shared" si="132"/>
        <v>9.8741990000000008</v>
      </c>
      <c r="AL55" s="26">
        <f t="shared" si="133"/>
        <v>1.9748398</v>
      </c>
      <c r="AM55" s="27">
        <v>0.9</v>
      </c>
      <c r="AN55" s="27">
        <v>0.75</v>
      </c>
      <c r="AO55" s="27">
        <v>0.9</v>
      </c>
      <c r="AP55" s="27">
        <v>0.1</v>
      </c>
      <c r="AQ55" s="27">
        <v>0.1</v>
      </c>
      <c r="AR55" s="26">
        <f t="shared" si="134"/>
        <v>53.538744266100004</v>
      </c>
      <c r="AS55" s="26">
        <f t="shared" si="135"/>
        <v>81.71376059550002</v>
      </c>
      <c r="AT55" s="26">
        <f t="shared" si="136"/>
        <v>62.492621724900005</v>
      </c>
      <c r="AU55" s="26">
        <f t="shared" si="137"/>
        <v>0.99207950825000024</v>
      </c>
      <c r="AV55" s="26">
        <f t="shared" si="138"/>
        <v>0.19841590165</v>
      </c>
      <c r="AW55" s="26">
        <f t="shared" si="139"/>
        <v>5.9487493628999957</v>
      </c>
      <c r="AX55" s="26">
        <f t="shared" si="140"/>
        <v>27.237920198500007</v>
      </c>
      <c r="AY55" s="26">
        <f t="shared" si="141"/>
        <v>6.9436246360999974</v>
      </c>
      <c r="AZ55" s="26">
        <f t="shared" si="142"/>
        <v>8.9287155742500008</v>
      </c>
      <c r="BA55" s="40">
        <f t="shared" si="143"/>
        <v>1.78574311485</v>
      </c>
      <c r="BB55" s="37">
        <f t="shared" si="144"/>
        <v>62.633999999999993</v>
      </c>
      <c r="BC55" s="28">
        <f t="shared" si="145"/>
        <v>114.82900000000001</v>
      </c>
      <c r="BD55" s="28">
        <f t="shared" si="146"/>
        <v>73.072999999999993</v>
      </c>
      <c r="BE55" s="29">
        <f t="shared" si="147"/>
        <v>10.439</v>
      </c>
      <c r="BF55" s="29">
        <f t="shared" si="148"/>
        <v>2.0877999999999997</v>
      </c>
      <c r="BG55" s="28">
        <f t="shared" si="149"/>
        <v>8.7411255068999907</v>
      </c>
      <c r="BH55" s="28">
        <f t="shared" si="150"/>
        <v>32.630640146499999</v>
      </c>
      <c r="BI55" s="28">
        <f t="shared" si="151"/>
        <v>10.244886481099993</v>
      </c>
      <c r="BJ55" s="29">
        <f t="shared" si="152"/>
        <v>9.4469204917499994</v>
      </c>
      <c r="BK55" s="29">
        <f t="shared" si="153"/>
        <v>1.8893840983499999</v>
      </c>
      <c r="BL55" s="28">
        <f t="shared" si="154"/>
        <v>53.892874493100003</v>
      </c>
      <c r="BM55" s="28">
        <f t="shared" si="155"/>
        <v>82.198359853500023</v>
      </c>
      <c r="BN55" s="28">
        <f t="shared" si="156"/>
        <v>62.828113518900004</v>
      </c>
      <c r="BO55" s="29">
        <f t="shared" si="157"/>
        <v>0.99207950825000024</v>
      </c>
      <c r="BP55" s="30">
        <f t="shared" si="158"/>
        <v>0.19841590165</v>
      </c>
      <c r="BQ55" s="10">
        <v>0</v>
      </c>
      <c r="BR55" s="6">
        <v>0</v>
      </c>
    </row>
    <row r="56" spans="1:71" x14ac:dyDescent="0.25">
      <c r="A56" s="18"/>
      <c r="B56" s="18">
        <v>86</v>
      </c>
      <c r="C56" s="19" t="s">
        <v>123</v>
      </c>
      <c r="D56" s="60">
        <v>1325</v>
      </c>
      <c r="E56" s="47" t="s">
        <v>165</v>
      </c>
      <c r="F56" s="13" t="s">
        <v>208</v>
      </c>
      <c r="G56" s="53">
        <v>1558</v>
      </c>
      <c r="H56" s="54">
        <v>16</v>
      </c>
      <c r="I56" s="50">
        <f t="shared" si="105"/>
        <v>1574</v>
      </c>
      <c r="J56" s="45">
        <v>0.39</v>
      </c>
      <c r="K56" s="65">
        <f t="shared" si="106"/>
        <v>607.62</v>
      </c>
      <c r="L56" s="66">
        <f t="shared" si="107"/>
        <v>0.61</v>
      </c>
      <c r="M56" s="67">
        <f t="shared" si="108"/>
        <v>950.38</v>
      </c>
      <c r="N56" s="43">
        <f t="shared" si="109"/>
        <v>20.813321999999999</v>
      </c>
      <c r="O56" s="92">
        <f t="shared" si="110"/>
        <v>38.157756999999997</v>
      </c>
      <c r="P56" s="72">
        <f t="shared" si="111"/>
        <v>24.282209000000005</v>
      </c>
      <c r="Q56" s="72">
        <f t="shared" si="112"/>
        <v>3.4688869999999996</v>
      </c>
      <c r="R56" s="25">
        <f t="shared" si="113"/>
        <v>0.69377739999999999</v>
      </c>
      <c r="S56" s="72">
        <f t="shared" si="114"/>
        <v>1.4881525230000003</v>
      </c>
      <c r="T56" s="72">
        <f t="shared" si="115"/>
        <v>2.0605188779999999</v>
      </c>
      <c r="U56" s="72">
        <f t="shared" si="116"/>
        <v>1.9460456069999998</v>
      </c>
      <c r="V56" s="72">
        <f t="shared" si="117"/>
        <v>0.2861831775</v>
      </c>
      <c r="W56" s="72">
        <f t="shared" si="118"/>
        <v>5.7236635500000001E-2</v>
      </c>
      <c r="X56" s="72">
        <f t="shared" si="119"/>
        <v>2.1749921490000004</v>
      </c>
      <c r="Y56" s="72">
        <f t="shared" si="120"/>
        <v>2.9763050460000007</v>
      </c>
      <c r="Z56" s="72">
        <f t="shared" si="121"/>
        <v>2.0605188779999999</v>
      </c>
      <c r="AA56" s="72">
        <f t="shared" si="122"/>
        <v>0</v>
      </c>
      <c r="AB56" s="72">
        <f t="shared" si="123"/>
        <v>0</v>
      </c>
      <c r="AC56" s="91">
        <f t="shared" si="124"/>
        <v>17.150177327999998</v>
      </c>
      <c r="AD56" s="91">
        <f t="shared" si="125"/>
        <v>33.120933075999993</v>
      </c>
      <c r="AE56" s="91">
        <f t="shared" si="126"/>
        <v>20.275644515000007</v>
      </c>
      <c r="AF56" s="91">
        <f t="shared" si="127"/>
        <v>3.1827038224999997</v>
      </c>
      <c r="AG56" s="91">
        <f t="shared" si="128"/>
        <v>0.63654076449999997</v>
      </c>
      <c r="AH56" s="39">
        <f t="shared" si="129"/>
        <v>13.657277999999998</v>
      </c>
      <c r="AI56" s="77">
        <f t="shared" si="130"/>
        <v>25.038343000000001</v>
      </c>
      <c r="AJ56" s="77">
        <f t="shared" si="131"/>
        <v>15.933491</v>
      </c>
      <c r="AK56" s="77">
        <f t="shared" si="132"/>
        <v>2.2762129999999998</v>
      </c>
      <c r="AL56" s="26">
        <f t="shared" si="133"/>
        <v>0.4552426</v>
      </c>
      <c r="AM56" s="27">
        <v>0.9</v>
      </c>
      <c r="AN56" s="27">
        <v>0.75</v>
      </c>
      <c r="AO56" s="27">
        <v>0.9</v>
      </c>
      <c r="AP56" s="27">
        <v>0.1</v>
      </c>
      <c r="AQ56" s="27">
        <v>0.1</v>
      </c>
      <c r="AR56" s="26">
        <f t="shared" si="134"/>
        <v>13.630887470699999</v>
      </c>
      <c r="AS56" s="26">
        <f t="shared" si="135"/>
        <v>20.324146408499999</v>
      </c>
      <c r="AT56" s="26">
        <f t="shared" si="136"/>
        <v>16.091582946300001</v>
      </c>
      <c r="AU56" s="26">
        <f t="shared" si="137"/>
        <v>0.25623961774999998</v>
      </c>
      <c r="AV56" s="26">
        <f t="shared" si="138"/>
        <v>5.1247923549999998E-2</v>
      </c>
      <c r="AW56" s="26">
        <f t="shared" si="139"/>
        <v>1.5145430522999987</v>
      </c>
      <c r="AX56" s="26">
        <f t="shared" si="140"/>
        <v>6.774715469500002</v>
      </c>
      <c r="AY56" s="26">
        <f t="shared" si="141"/>
        <v>1.7879536606999977</v>
      </c>
      <c r="AZ56" s="26">
        <f t="shared" si="142"/>
        <v>2.3061565597499998</v>
      </c>
      <c r="BA56" s="40">
        <f t="shared" si="143"/>
        <v>0.46123131194999994</v>
      </c>
      <c r="BB56" s="37">
        <f t="shared" si="144"/>
        <v>34.470599999999997</v>
      </c>
      <c r="BC56" s="28">
        <f t="shared" si="145"/>
        <v>63.196100000000001</v>
      </c>
      <c r="BD56" s="28">
        <f t="shared" si="146"/>
        <v>40.215700000000005</v>
      </c>
      <c r="BE56" s="29">
        <f t="shared" si="147"/>
        <v>5.745099999999999</v>
      </c>
      <c r="BF56" s="29">
        <f t="shared" si="148"/>
        <v>1.1490199999999999</v>
      </c>
      <c r="BG56" s="28">
        <f t="shared" si="149"/>
        <v>18.664720380299997</v>
      </c>
      <c r="BH56" s="28">
        <f t="shared" si="150"/>
        <v>39.895648545499995</v>
      </c>
      <c r="BI56" s="28">
        <f t="shared" si="151"/>
        <v>22.063598175700005</v>
      </c>
      <c r="BJ56" s="29">
        <f t="shared" si="152"/>
        <v>5.4888603822499995</v>
      </c>
      <c r="BK56" s="29">
        <f t="shared" si="153"/>
        <v>1.0977720764499999</v>
      </c>
      <c r="BL56" s="28">
        <f t="shared" si="154"/>
        <v>15.805879619700001</v>
      </c>
      <c r="BM56" s="28">
        <f t="shared" si="155"/>
        <v>23.300451454499999</v>
      </c>
      <c r="BN56" s="28">
        <f t="shared" si="156"/>
        <v>18.152101824300001</v>
      </c>
      <c r="BO56" s="29">
        <f t="shared" si="157"/>
        <v>0.25623961774999998</v>
      </c>
      <c r="BP56" s="30">
        <f t="shared" si="158"/>
        <v>5.1247923549999998E-2</v>
      </c>
      <c r="BQ56" s="10">
        <v>192000</v>
      </c>
      <c r="BR56" s="6">
        <v>501350</v>
      </c>
      <c r="BS56" t="s">
        <v>159</v>
      </c>
    </row>
    <row r="57" spans="1:71" x14ac:dyDescent="0.25">
      <c r="A57" s="18"/>
      <c r="B57" s="18">
        <v>87</v>
      </c>
      <c r="C57" s="19" t="s">
        <v>124</v>
      </c>
      <c r="D57" s="60">
        <v>1280</v>
      </c>
      <c r="E57" s="47" t="s">
        <v>13</v>
      </c>
      <c r="F57" s="13" t="s">
        <v>208</v>
      </c>
      <c r="G57" s="53">
        <v>1934</v>
      </c>
      <c r="H57" s="53">
        <v>1454</v>
      </c>
      <c r="I57" s="50">
        <f t="shared" si="105"/>
        <v>3388</v>
      </c>
      <c r="J57" s="45">
        <v>0.3</v>
      </c>
      <c r="K57" s="65">
        <f t="shared" si="106"/>
        <v>580.20000000000005</v>
      </c>
      <c r="L57" s="66">
        <f t="shared" si="107"/>
        <v>0.7</v>
      </c>
      <c r="M57" s="67">
        <f t="shared" si="108"/>
        <v>1353.8</v>
      </c>
      <c r="N57" s="43">
        <f t="shared" si="109"/>
        <v>29.648219999999998</v>
      </c>
      <c r="O57" s="92">
        <f t="shared" si="110"/>
        <v>54.355069999999998</v>
      </c>
      <c r="P57" s="72">
        <f t="shared" si="111"/>
        <v>34.589590000000001</v>
      </c>
      <c r="Q57" s="72">
        <f t="shared" si="112"/>
        <v>4.94137</v>
      </c>
      <c r="R57" s="25">
        <f t="shared" si="113"/>
        <v>0.98827399999999999</v>
      </c>
      <c r="S57" s="72">
        <f t="shared" si="114"/>
        <v>2.1198477299999996</v>
      </c>
      <c r="T57" s="72">
        <f t="shared" si="115"/>
        <v>2.93517378</v>
      </c>
      <c r="U57" s="72">
        <f t="shared" si="116"/>
        <v>2.7721085699999999</v>
      </c>
      <c r="V57" s="72">
        <f t="shared" si="117"/>
        <v>0.40766302500000001</v>
      </c>
      <c r="W57" s="72">
        <f t="shared" si="118"/>
        <v>8.1532605000000008E-2</v>
      </c>
      <c r="X57" s="72">
        <f t="shared" si="119"/>
        <v>3.09823899</v>
      </c>
      <c r="Y57" s="72">
        <f t="shared" si="120"/>
        <v>4.2396954599999992</v>
      </c>
      <c r="Z57" s="72">
        <f t="shared" si="121"/>
        <v>2.93517378</v>
      </c>
      <c r="AA57" s="72">
        <f t="shared" si="122"/>
        <v>0</v>
      </c>
      <c r="AB57" s="72">
        <f t="shared" si="123"/>
        <v>0</v>
      </c>
      <c r="AC57" s="91">
        <f t="shared" si="124"/>
        <v>24.43013328</v>
      </c>
      <c r="AD57" s="91">
        <f t="shared" si="125"/>
        <v>47.180200759999998</v>
      </c>
      <c r="AE57" s="91">
        <f t="shared" si="126"/>
        <v>28.882307650000001</v>
      </c>
      <c r="AF57" s="91">
        <f t="shared" si="127"/>
        <v>4.5337069750000003</v>
      </c>
      <c r="AG57" s="91">
        <f t="shared" si="128"/>
        <v>0.90674139499999995</v>
      </c>
      <c r="AH57" s="39">
        <f t="shared" si="129"/>
        <v>44.54898</v>
      </c>
      <c r="AI57" s="77">
        <f t="shared" si="130"/>
        <v>81.67313</v>
      </c>
      <c r="AJ57" s="77">
        <f t="shared" si="131"/>
        <v>51.97381</v>
      </c>
      <c r="AK57" s="77">
        <f t="shared" si="132"/>
        <v>7.42483</v>
      </c>
      <c r="AL57" s="26">
        <f t="shared" si="133"/>
        <v>1.484966</v>
      </c>
      <c r="AM57" s="27">
        <v>0.9</v>
      </c>
      <c r="AN57" s="27">
        <v>0.75</v>
      </c>
      <c r="AO57" s="27">
        <v>0.9</v>
      </c>
      <c r="AP57" s="27">
        <v>0.1</v>
      </c>
      <c r="AQ57" s="27">
        <v>0.1</v>
      </c>
      <c r="AR57" s="26">
        <f t="shared" si="134"/>
        <v>42.001944956999999</v>
      </c>
      <c r="AS57" s="26">
        <f t="shared" si="135"/>
        <v>63.456227835</v>
      </c>
      <c r="AT57" s="26">
        <f t="shared" si="136"/>
        <v>49.271326713000001</v>
      </c>
      <c r="AU57" s="26">
        <f t="shared" si="137"/>
        <v>0.78324930250000002</v>
      </c>
      <c r="AV57" s="26">
        <f t="shared" si="138"/>
        <v>0.15664986050000002</v>
      </c>
      <c r="AW57" s="26">
        <f t="shared" si="139"/>
        <v>4.6668827729999975</v>
      </c>
      <c r="AX57" s="26">
        <f t="shared" si="140"/>
        <v>21.152075945</v>
      </c>
      <c r="AY57" s="26">
        <f t="shared" si="141"/>
        <v>5.4745918570000001</v>
      </c>
      <c r="AZ57" s="26">
        <f t="shared" si="142"/>
        <v>7.0492437225</v>
      </c>
      <c r="BA57" s="40">
        <f t="shared" si="143"/>
        <v>1.4098487445000001</v>
      </c>
      <c r="BB57" s="37">
        <f t="shared" si="144"/>
        <v>74.197199999999995</v>
      </c>
      <c r="BC57" s="28">
        <f t="shared" si="145"/>
        <v>136.0282</v>
      </c>
      <c r="BD57" s="28">
        <f t="shared" si="146"/>
        <v>86.563400000000001</v>
      </c>
      <c r="BE57" s="29">
        <f t="shared" si="147"/>
        <v>12.366199999999999</v>
      </c>
      <c r="BF57" s="29">
        <f t="shared" si="148"/>
        <v>2.4732400000000001</v>
      </c>
      <c r="BG57" s="28">
        <f t="shared" si="149"/>
        <v>29.097016052999997</v>
      </c>
      <c r="BH57" s="28">
        <f t="shared" si="150"/>
        <v>68.332276704999998</v>
      </c>
      <c r="BI57" s="28">
        <f t="shared" si="151"/>
        <v>34.356899507000001</v>
      </c>
      <c r="BJ57" s="29">
        <f t="shared" si="152"/>
        <v>11.582950697499999</v>
      </c>
      <c r="BK57" s="29">
        <f t="shared" si="153"/>
        <v>2.3165901395000001</v>
      </c>
      <c r="BL57" s="28">
        <f t="shared" si="154"/>
        <v>45.100183946999998</v>
      </c>
      <c r="BM57" s="28">
        <f t="shared" si="155"/>
        <v>67.695923295</v>
      </c>
      <c r="BN57" s="28">
        <f t="shared" si="156"/>
        <v>52.206500493</v>
      </c>
      <c r="BO57" s="29">
        <f t="shared" si="157"/>
        <v>0.78324930250000002</v>
      </c>
      <c r="BP57" s="30">
        <f t="shared" si="158"/>
        <v>0.15664986050000002</v>
      </c>
      <c r="BQ57" s="10">
        <v>615190</v>
      </c>
      <c r="BR57" s="6">
        <v>36000</v>
      </c>
      <c r="BS57" t="s">
        <v>132</v>
      </c>
    </row>
    <row r="58" spans="1:71" x14ac:dyDescent="0.25">
      <c r="A58" s="18"/>
      <c r="B58" s="18">
        <v>88</v>
      </c>
      <c r="C58" s="19" t="s">
        <v>125</v>
      </c>
      <c r="D58" s="60">
        <v>1137</v>
      </c>
      <c r="E58" s="47" t="s">
        <v>166</v>
      </c>
      <c r="F58" s="13" t="s">
        <v>208</v>
      </c>
      <c r="G58" s="53">
        <v>1475</v>
      </c>
      <c r="H58" s="54">
        <v>0</v>
      </c>
      <c r="I58" s="50">
        <f t="shared" si="105"/>
        <v>1475</v>
      </c>
      <c r="J58" s="45">
        <v>0.27</v>
      </c>
      <c r="K58" s="65">
        <f t="shared" si="106"/>
        <v>398.25</v>
      </c>
      <c r="L58" s="66">
        <f t="shared" si="107"/>
        <v>0.73</v>
      </c>
      <c r="M58" s="67">
        <f t="shared" si="108"/>
        <v>1076.75</v>
      </c>
      <c r="N58" s="43">
        <f t="shared" si="109"/>
        <v>23.580825000000001</v>
      </c>
      <c r="O58" s="92">
        <f t="shared" si="110"/>
        <v>43.231512500000001</v>
      </c>
      <c r="P58" s="72">
        <f t="shared" si="111"/>
        <v>27.510962500000002</v>
      </c>
      <c r="Q58" s="72">
        <f t="shared" si="112"/>
        <v>3.9301374999999998</v>
      </c>
      <c r="R58" s="25">
        <f t="shared" si="113"/>
        <v>0.78602749999999999</v>
      </c>
      <c r="S58" s="72">
        <f t="shared" si="114"/>
        <v>1.6860289875000001</v>
      </c>
      <c r="T58" s="72">
        <f t="shared" si="115"/>
        <v>2.3345016750000003</v>
      </c>
      <c r="U58" s="72">
        <f t="shared" si="116"/>
        <v>2.2048071375</v>
      </c>
      <c r="V58" s="72">
        <f t="shared" si="117"/>
        <v>0.32423634374999999</v>
      </c>
      <c r="W58" s="72">
        <f t="shared" si="118"/>
        <v>6.4847268750000006E-2</v>
      </c>
      <c r="X58" s="72">
        <f t="shared" si="119"/>
        <v>2.4641962125000001</v>
      </c>
      <c r="Y58" s="72">
        <f t="shared" si="120"/>
        <v>3.3720579750000002</v>
      </c>
      <c r="Z58" s="72">
        <f t="shared" si="121"/>
        <v>2.3345016750000003</v>
      </c>
      <c r="AA58" s="72">
        <f t="shared" si="122"/>
        <v>0</v>
      </c>
      <c r="AB58" s="72">
        <f t="shared" si="123"/>
        <v>0</v>
      </c>
      <c r="AC58" s="91">
        <f t="shared" si="124"/>
        <v>19.430599800000003</v>
      </c>
      <c r="AD58" s="91">
        <f t="shared" si="125"/>
        <v>37.524952850000005</v>
      </c>
      <c r="AE58" s="91">
        <f t="shared" si="126"/>
        <v>22.971653687500002</v>
      </c>
      <c r="AF58" s="91">
        <f t="shared" si="127"/>
        <v>3.6059011562499999</v>
      </c>
      <c r="AG58" s="91">
        <f t="shared" si="128"/>
        <v>0.72118023124999997</v>
      </c>
      <c r="AH58" s="39">
        <f t="shared" si="129"/>
        <v>8.7216749999999994</v>
      </c>
      <c r="AI58" s="77">
        <f t="shared" si="130"/>
        <v>15.9897375</v>
      </c>
      <c r="AJ58" s="77">
        <f t="shared" si="131"/>
        <v>10.1752875</v>
      </c>
      <c r="AK58" s="77">
        <f t="shared" si="132"/>
        <v>1.4536125</v>
      </c>
      <c r="AL58" s="26">
        <f t="shared" si="133"/>
        <v>0.29072249999999999</v>
      </c>
      <c r="AM58" s="27">
        <v>0.9</v>
      </c>
      <c r="AN58" s="27">
        <v>0.75</v>
      </c>
      <c r="AO58" s="27">
        <v>0.9</v>
      </c>
      <c r="AP58" s="27">
        <v>0.1</v>
      </c>
      <c r="AQ58" s="27">
        <v>0.1</v>
      </c>
      <c r="AR58" s="26">
        <f t="shared" si="134"/>
        <v>9.3669335887499994</v>
      </c>
      <c r="AS58" s="26">
        <f t="shared" si="135"/>
        <v>13.743179381250002</v>
      </c>
      <c r="AT58" s="26">
        <f t="shared" si="136"/>
        <v>11.142085173749999</v>
      </c>
      <c r="AU58" s="26">
        <f t="shared" si="137"/>
        <v>0.17778488437500001</v>
      </c>
      <c r="AV58" s="26">
        <f t="shared" si="138"/>
        <v>3.5556976875E-2</v>
      </c>
      <c r="AW58" s="26">
        <f t="shared" si="139"/>
        <v>1.0407703987500003</v>
      </c>
      <c r="AX58" s="26">
        <f t="shared" si="140"/>
        <v>4.5810597937500006</v>
      </c>
      <c r="AY58" s="26">
        <f t="shared" si="141"/>
        <v>1.2380094637500001</v>
      </c>
      <c r="AZ58" s="26">
        <f t="shared" si="142"/>
        <v>1.6000639593749999</v>
      </c>
      <c r="BA58" s="40">
        <f t="shared" si="143"/>
        <v>0.32001279187500004</v>
      </c>
      <c r="BB58" s="37">
        <f t="shared" si="144"/>
        <v>32.302500000000002</v>
      </c>
      <c r="BC58" s="28">
        <f t="shared" si="145"/>
        <v>59.221249999999998</v>
      </c>
      <c r="BD58" s="28">
        <f t="shared" si="146"/>
        <v>37.686250000000001</v>
      </c>
      <c r="BE58" s="29">
        <f t="shared" si="147"/>
        <v>5.38375</v>
      </c>
      <c r="BF58" s="29">
        <f t="shared" si="148"/>
        <v>1.0767500000000001</v>
      </c>
      <c r="BG58" s="28">
        <f t="shared" si="149"/>
        <v>20.471370198750002</v>
      </c>
      <c r="BH58" s="28">
        <f t="shared" si="150"/>
        <v>42.106012643750006</v>
      </c>
      <c r="BI58" s="28">
        <f t="shared" si="151"/>
        <v>24.209663151250002</v>
      </c>
      <c r="BJ58" s="29">
        <f t="shared" si="152"/>
        <v>5.2059651156250002</v>
      </c>
      <c r="BK58" s="29">
        <f t="shared" si="153"/>
        <v>1.041193023125</v>
      </c>
      <c r="BL58" s="28">
        <f t="shared" si="154"/>
        <v>11.83112980125</v>
      </c>
      <c r="BM58" s="28">
        <f t="shared" si="155"/>
        <v>17.115237356250002</v>
      </c>
      <c r="BN58" s="28">
        <f t="shared" si="156"/>
        <v>13.476586848749999</v>
      </c>
      <c r="BO58" s="29">
        <f t="shared" si="157"/>
        <v>0.17778488437500001</v>
      </c>
      <c r="BP58" s="30">
        <f t="shared" si="158"/>
        <v>3.5556976875E-2</v>
      </c>
      <c r="BQ58" s="10">
        <v>0</v>
      </c>
      <c r="BR58" s="6">
        <v>118300</v>
      </c>
      <c r="BS58" t="s">
        <v>128</v>
      </c>
    </row>
    <row r="59" spans="1:71" ht="15.75" thickBot="1" x14ac:dyDescent="0.3">
      <c r="A59" s="111"/>
      <c r="B59" s="18">
        <v>89</v>
      </c>
      <c r="C59" s="19" t="s">
        <v>126</v>
      </c>
      <c r="D59" s="60">
        <v>1085</v>
      </c>
      <c r="E59" s="47" t="s">
        <v>2</v>
      </c>
      <c r="F59" s="13" t="s">
        <v>208</v>
      </c>
      <c r="G59" s="124">
        <v>1010</v>
      </c>
      <c r="H59" s="122">
        <v>5206</v>
      </c>
      <c r="I59" s="125">
        <f t="shared" si="105"/>
        <v>6216</v>
      </c>
      <c r="J59" s="126">
        <v>0.38</v>
      </c>
      <c r="K59" s="129">
        <f t="shared" si="106"/>
        <v>383.8</v>
      </c>
      <c r="L59" s="130">
        <f t="shared" si="107"/>
        <v>0.62</v>
      </c>
      <c r="M59" s="131">
        <f t="shared" si="108"/>
        <v>626.20000000000005</v>
      </c>
      <c r="N59" s="132">
        <f t="shared" si="109"/>
        <v>13.71378</v>
      </c>
      <c r="O59" s="135">
        <f t="shared" si="110"/>
        <v>25.141929999999999</v>
      </c>
      <c r="P59" s="136">
        <f t="shared" si="111"/>
        <v>15.999409999999999</v>
      </c>
      <c r="Q59" s="136">
        <f t="shared" si="112"/>
        <v>2.2856299999999998</v>
      </c>
      <c r="R59" s="137">
        <f t="shared" si="113"/>
        <v>0.45712600000000003</v>
      </c>
      <c r="S59" s="136">
        <f t="shared" si="114"/>
        <v>0.98053526999999996</v>
      </c>
      <c r="T59" s="136">
        <f t="shared" si="115"/>
        <v>1.35766422</v>
      </c>
      <c r="U59" s="136">
        <f t="shared" si="116"/>
        <v>1.2822384300000003</v>
      </c>
      <c r="V59" s="136">
        <f t="shared" si="117"/>
        <v>0.18856447499999998</v>
      </c>
      <c r="W59" s="136">
        <f t="shared" si="118"/>
        <v>3.7712895000000003E-2</v>
      </c>
      <c r="X59" s="136">
        <f t="shared" si="119"/>
        <v>1.4330900100000001</v>
      </c>
      <c r="Y59" s="136">
        <f t="shared" si="120"/>
        <v>1.9610705399999999</v>
      </c>
      <c r="Z59" s="136">
        <f t="shared" si="121"/>
        <v>1.35766422</v>
      </c>
      <c r="AA59" s="136">
        <f t="shared" si="122"/>
        <v>0</v>
      </c>
      <c r="AB59" s="136">
        <f t="shared" si="123"/>
        <v>0</v>
      </c>
      <c r="AC59" s="138">
        <f t="shared" si="124"/>
        <v>11.300154719999998</v>
      </c>
      <c r="AD59" s="138">
        <f t="shared" si="125"/>
        <v>21.823195239999997</v>
      </c>
      <c r="AE59" s="138">
        <f t="shared" si="126"/>
        <v>13.359507349999999</v>
      </c>
      <c r="AF59" s="138">
        <f t="shared" si="127"/>
        <v>2.0970655249999997</v>
      </c>
      <c r="AG59" s="138">
        <f t="shared" si="128"/>
        <v>0.41941310500000001</v>
      </c>
      <c r="AH59" s="139">
        <f t="shared" si="129"/>
        <v>122.41661999999999</v>
      </c>
      <c r="AI59" s="141">
        <f t="shared" si="130"/>
        <v>224.43047000000001</v>
      </c>
      <c r="AJ59" s="141">
        <f t="shared" si="131"/>
        <v>142.81939</v>
      </c>
      <c r="AK59" s="141">
        <f t="shared" si="132"/>
        <v>20.40277</v>
      </c>
      <c r="AL59" s="142">
        <f t="shared" si="133"/>
        <v>4.0805540000000002</v>
      </c>
      <c r="AM59" s="143">
        <v>0.9</v>
      </c>
      <c r="AN59" s="143">
        <v>0.75</v>
      </c>
      <c r="AO59" s="143">
        <v>0.9</v>
      </c>
      <c r="AP59" s="143">
        <v>0.1</v>
      </c>
      <c r="AQ59" s="143">
        <v>0.1</v>
      </c>
      <c r="AR59" s="142">
        <f t="shared" si="134"/>
        <v>111.057439743</v>
      </c>
      <c r="AS59" s="142">
        <f t="shared" si="135"/>
        <v>169.341100665</v>
      </c>
      <c r="AT59" s="142">
        <f t="shared" si="136"/>
        <v>129.69146558700001</v>
      </c>
      <c r="AU59" s="142">
        <f t="shared" si="137"/>
        <v>2.0591334475000003</v>
      </c>
      <c r="AV59" s="142">
        <f t="shared" si="138"/>
        <v>0.41182668950000006</v>
      </c>
      <c r="AW59" s="142">
        <f t="shared" si="139"/>
        <v>12.339715526999996</v>
      </c>
      <c r="AX59" s="142">
        <f t="shared" si="140"/>
        <v>56.447033555000019</v>
      </c>
      <c r="AY59" s="142">
        <f t="shared" si="141"/>
        <v>14.410162842999995</v>
      </c>
      <c r="AZ59" s="142">
        <f t="shared" si="142"/>
        <v>18.532201027500001</v>
      </c>
      <c r="BA59" s="145">
        <f t="shared" si="143"/>
        <v>3.7064402055000003</v>
      </c>
      <c r="BB59" s="147">
        <f t="shared" si="144"/>
        <v>136.13040000000001</v>
      </c>
      <c r="BC59" s="150">
        <f t="shared" si="145"/>
        <v>249.57240000000002</v>
      </c>
      <c r="BD59" s="150">
        <f t="shared" si="146"/>
        <v>158.81880000000001</v>
      </c>
      <c r="BE59" s="151">
        <f t="shared" si="147"/>
        <v>22.688400000000001</v>
      </c>
      <c r="BF59" s="151">
        <f t="shared" si="148"/>
        <v>4.5376799999999999</v>
      </c>
      <c r="BG59" s="150">
        <f t="shared" si="149"/>
        <v>23.639870246999994</v>
      </c>
      <c r="BH59" s="150">
        <f t="shared" si="150"/>
        <v>78.270228795000008</v>
      </c>
      <c r="BI59" s="150">
        <f t="shared" si="151"/>
        <v>27.769670192999996</v>
      </c>
      <c r="BJ59" s="151">
        <f t="shared" si="152"/>
        <v>20.629266552499999</v>
      </c>
      <c r="BK59" s="151">
        <f t="shared" si="153"/>
        <v>4.1258533105000001</v>
      </c>
      <c r="BL59" s="150">
        <f t="shared" si="154"/>
        <v>112.490529753</v>
      </c>
      <c r="BM59" s="150">
        <f t="shared" si="155"/>
        <v>171.30217120500001</v>
      </c>
      <c r="BN59" s="150">
        <f t="shared" si="156"/>
        <v>131.04912980700001</v>
      </c>
      <c r="BO59" s="151">
        <f t="shared" si="157"/>
        <v>2.0591334475000003</v>
      </c>
      <c r="BP59" s="152">
        <f t="shared" si="158"/>
        <v>0.41182668950000006</v>
      </c>
      <c r="BQ59" s="10">
        <v>101640</v>
      </c>
      <c r="BR59" s="6">
        <v>0</v>
      </c>
      <c r="BS59" t="s">
        <v>159</v>
      </c>
    </row>
    <row r="60" spans="1:71" s="117" customFormat="1" ht="16.5" thickBot="1" x14ac:dyDescent="0.3">
      <c r="A60" s="113"/>
      <c r="B60" s="173" t="s">
        <v>214</v>
      </c>
      <c r="C60" s="174"/>
      <c r="D60" s="174"/>
      <c r="E60" s="175"/>
      <c r="F60" s="118"/>
      <c r="G60" s="123">
        <f>SUM(G43:G59)</f>
        <v>119524</v>
      </c>
      <c r="H60" s="123">
        <f t="shared" ref="H60:N60" si="159">SUM(H43:H59)</f>
        <v>65166</v>
      </c>
      <c r="I60" s="123">
        <f t="shared" si="159"/>
        <v>184690</v>
      </c>
      <c r="J60" s="128">
        <f>K60/G60</f>
        <v>0.796828670392557</v>
      </c>
      <c r="K60" s="123">
        <f t="shared" si="159"/>
        <v>95240.14999999998</v>
      </c>
      <c r="L60" s="128">
        <f>M60/G60</f>
        <v>0.20317132960744289</v>
      </c>
      <c r="M60" s="123">
        <f t="shared" si="159"/>
        <v>24283.850000000002</v>
      </c>
      <c r="N60" s="134">
        <f t="shared" si="159"/>
        <v>531.81631500000003</v>
      </c>
      <c r="O60" s="134">
        <f t="shared" ref="O60" si="160">SUM(O43:O59)</f>
        <v>974.99657749999994</v>
      </c>
      <c r="P60" s="134">
        <f t="shared" ref="P60" si="161">SUM(P43:P59)</f>
        <v>620.45236750000004</v>
      </c>
      <c r="Q60" s="134">
        <f t="shared" ref="Q60" si="162">SUM(Q43:Q59)</f>
        <v>88.636052499999991</v>
      </c>
      <c r="R60" s="134">
        <f t="shared" ref="R60" si="163">SUM(R43:R59)</f>
        <v>17.727210499999998</v>
      </c>
      <c r="S60" s="134">
        <f t="shared" ref="S60" si="164">SUM(S43:S59)</f>
        <v>38.024866522499991</v>
      </c>
      <c r="T60" s="134">
        <f t="shared" ref="T60" si="165">SUM(T43:T59)</f>
        <v>52.649815185000001</v>
      </c>
      <c r="U60" s="134">
        <f t="shared" ref="U60" si="166">SUM(U43:U59)</f>
        <v>49.724825452499992</v>
      </c>
      <c r="V60" s="134">
        <f t="shared" ref="V60" si="167">SUM(V43:V59)</f>
        <v>7.3124743312499989</v>
      </c>
      <c r="W60" s="134">
        <f t="shared" ref="W60" si="168">SUM(W43:W59)</f>
        <v>1.4624948662499999</v>
      </c>
      <c r="X60" s="134">
        <f t="shared" ref="X60" si="169">SUM(X43:X59)</f>
        <v>55.574804917499989</v>
      </c>
      <c r="Y60" s="134">
        <f t="shared" ref="Y60" si="170">SUM(Y43:Y59)</f>
        <v>76.049733044999982</v>
      </c>
      <c r="Z60" s="134">
        <f t="shared" ref="Z60" si="171">SUM(Z43:Z59)</f>
        <v>52.649815185000001</v>
      </c>
      <c r="AA60" s="134">
        <f t="shared" ref="AA60" si="172">SUM(AA43:AA59)</f>
        <v>0</v>
      </c>
      <c r="AB60" s="134">
        <f t="shared" ref="AB60" si="173">SUM(AB43:AB59)</f>
        <v>0</v>
      </c>
      <c r="AC60" s="134">
        <f t="shared" ref="AC60" si="174">SUM(AC43:AC59)</f>
        <v>438.21664355999997</v>
      </c>
      <c r="AD60" s="134">
        <f t="shared" ref="AD60" si="175">SUM(AD43:AD59)</f>
        <v>846.29702927000005</v>
      </c>
      <c r="AE60" s="134">
        <f t="shared" ref="AE60" si="176">SUM(AE43:AE59)</f>
        <v>518.07772686249996</v>
      </c>
      <c r="AF60" s="134">
        <f t="shared" ref="AF60" si="177">SUM(AF43:AF59)</f>
        <v>81.323578168750018</v>
      </c>
      <c r="AG60" s="134">
        <f t="shared" ref="AG60" si="178">SUM(AG43:AG59)</f>
        <v>16.264715633749997</v>
      </c>
      <c r="AH60" s="140">
        <f t="shared" ref="AH60" si="179">SUM(AH43:AH59)</f>
        <v>3512.8946850000002</v>
      </c>
      <c r="AI60" s="140">
        <f t="shared" ref="AI60" si="180">SUM(AI43:AI59)</f>
        <v>6440.3069225000008</v>
      </c>
      <c r="AJ60" s="140">
        <f t="shared" ref="AJ60" si="181">SUM(AJ43:AJ59)</f>
        <v>4098.3771324999998</v>
      </c>
      <c r="AK60" s="140">
        <f t="shared" ref="AK60" si="182">SUM(AK43:AK59)</f>
        <v>585.48244749999992</v>
      </c>
      <c r="AL60" s="140">
        <f t="shared" ref="AL60" si="183">SUM(AL43:AL59)</f>
        <v>117.0964895</v>
      </c>
      <c r="AM60" s="140"/>
      <c r="AN60" s="140"/>
      <c r="AO60" s="140"/>
      <c r="AP60" s="140"/>
      <c r="AQ60" s="140"/>
      <c r="AR60" s="140">
        <f t="shared" ref="AR60" si="184">SUM(AR43:AR59)</f>
        <v>3195.8275963702508</v>
      </c>
      <c r="AS60" s="140">
        <f t="shared" ref="AS60" si="185">SUM(AS43:AS59)</f>
        <v>4869.7175532637511</v>
      </c>
      <c r="AT60" s="140">
        <f t="shared" ref="AT60" si="186">SUM(AT43:AT59)</f>
        <v>3733.2917621572501</v>
      </c>
      <c r="AU60" s="140">
        <f t="shared" ref="AU60" si="187">SUM(AU43:AU59)</f>
        <v>314.89873724330005</v>
      </c>
      <c r="AV60" s="140">
        <f t="shared" ref="AV60" si="188">SUM(AV43:AV59)</f>
        <v>68.289870924699983</v>
      </c>
      <c r="AW60" s="140">
        <f t="shared" ref="AW60" si="189">SUM(AW43:AW59)</f>
        <v>355.09195515224985</v>
      </c>
      <c r="AX60" s="140">
        <f t="shared" ref="AX60" si="190">SUM(AX43:AX59)</f>
        <v>1623.2391844212495</v>
      </c>
      <c r="AY60" s="140">
        <f t="shared" ref="AY60" si="191">SUM(AY43:AY59)</f>
        <v>414.8101957952498</v>
      </c>
      <c r="AZ60" s="140">
        <f t="shared" ref="AZ60" si="192">SUM(AZ43:AZ59)</f>
        <v>277.89618458794996</v>
      </c>
      <c r="BA60" s="140">
        <f t="shared" ref="BA60" si="193">SUM(BA43:BA59)</f>
        <v>50.26911344154999</v>
      </c>
      <c r="BB60" s="149">
        <f t="shared" ref="BB60" si="194">SUM(BB43:BB59)</f>
        <v>4044.7110000000002</v>
      </c>
      <c r="BC60" s="149">
        <f t="shared" ref="BC60" si="195">SUM(BC43:BC59)</f>
        <v>7415.3034999999991</v>
      </c>
      <c r="BD60" s="149">
        <f t="shared" ref="BD60" si="196">SUM(BD43:BD59)</f>
        <v>4718.8295000000007</v>
      </c>
      <c r="BE60" s="149">
        <f t="shared" ref="BE60" si="197">SUM(BE43:BE59)</f>
        <v>674.11849999999993</v>
      </c>
      <c r="BF60" s="149">
        <f t="shared" ref="BF60" si="198">SUM(BF43:BF59)</f>
        <v>134.8237</v>
      </c>
      <c r="BG60" s="149">
        <f t="shared" ref="BG60" si="199">SUM(BG43:BG59)</f>
        <v>793.30859871224982</v>
      </c>
      <c r="BH60" s="149">
        <f t="shared" ref="BH60" si="200">SUM(BH43:BH59)</f>
        <v>2469.5362136912495</v>
      </c>
      <c r="BI60" s="149">
        <f t="shared" ref="BI60" si="201">SUM(BI43:BI59)</f>
        <v>932.88792265774998</v>
      </c>
      <c r="BJ60" s="149">
        <f t="shared" ref="BJ60" si="202">SUM(BJ43:BJ59)</f>
        <v>359.21976275669999</v>
      </c>
      <c r="BK60" s="149">
        <f t="shared" ref="BK60" si="203">SUM(BK43:BK59)</f>
        <v>66.533829075299991</v>
      </c>
      <c r="BL60" s="149">
        <f t="shared" ref="BL60" si="204">SUM(BL43:BL59)</f>
        <v>3251.4024012877508</v>
      </c>
      <c r="BM60" s="149">
        <f t="shared" ref="BM60" si="205">SUM(BM43:BM59)</f>
        <v>4945.767286308751</v>
      </c>
      <c r="BN60" s="149">
        <f t="shared" ref="BN60" si="206">SUM(BN43:BN59)</f>
        <v>3785.9415773422506</v>
      </c>
      <c r="BO60" s="149">
        <f t="shared" ref="BO60" si="207">SUM(BO43:BO59)</f>
        <v>314.89873724330005</v>
      </c>
      <c r="BP60" s="149">
        <f t="shared" ref="BP60" si="208">SUM(BP43:BP59)</f>
        <v>68.289870924699983</v>
      </c>
      <c r="BQ60" s="115"/>
      <c r="BR60" s="116"/>
    </row>
    <row r="61" spans="1:71" s="3" customFormat="1" ht="19.5" thickBot="1" x14ac:dyDescent="0.35">
      <c r="A61" s="112"/>
      <c r="B61" s="201" t="s">
        <v>215</v>
      </c>
      <c r="C61" s="202"/>
      <c r="D61" s="202"/>
      <c r="E61" s="202"/>
      <c r="F61" s="202"/>
      <c r="G61" s="202"/>
      <c r="H61" s="202"/>
      <c r="I61" s="203"/>
      <c r="J61" s="127"/>
      <c r="K61" s="96"/>
      <c r="L61" s="97"/>
      <c r="M61" s="98"/>
      <c r="N61" s="133"/>
      <c r="O61" s="99"/>
      <c r="P61" s="100"/>
      <c r="Q61" s="100"/>
      <c r="R61" s="100"/>
      <c r="S61" s="100"/>
      <c r="T61" s="100"/>
      <c r="U61" s="100"/>
      <c r="V61" s="100"/>
      <c r="W61" s="100"/>
      <c r="X61" s="100"/>
      <c r="Y61" s="100"/>
      <c r="Z61" s="100"/>
      <c r="AA61" s="100"/>
      <c r="AB61" s="100"/>
      <c r="AC61" s="101"/>
      <c r="AD61" s="101"/>
      <c r="AE61" s="101"/>
      <c r="AF61" s="101"/>
      <c r="AG61" s="101"/>
      <c r="AH61" s="133"/>
      <c r="AI61" s="100"/>
      <c r="AJ61" s="100"/>
      <c r="AK61" s="100"/>
      <c r="AL61" s="100"/>
      <c r="AM61" s="144"/>
      <c r="AN61" s="144"/>
      <c r="AO61" s="144"/>
      <c r="AP61" s="144"/>
      <c r="AQ61" s="144"/>
      <c r="AR61" s="100"/>
      <c r="AS61" s="100"/>
      <c r="AT61" s="100"/>
      <c r="AU61" s="100"/>
      <c r="AV61" s="100"/>
      <c r="AW61" s="100"/>
      <c r="AX61" s="100"/>
      <c r="AY61" s="100"/>
      <c r="AZ61" s="100"/>
      <c r="BA61" s="146"/>
      <c r="BB61" s="148"/>
      <c r="BC61" s="99"/>
      <c r="BD61" s="99"/>
      <c r="BE61" s="101"/>
      <c r="BF61" s="101"/>
      <c r="BG61" s="99"/>
      <c r="BH61" s="99"/>
      <c r="BI61" s="99"/>
      <c r="BJ61" s="101"/>
      <c r="BK61" s="101"/>
      <c r="BL61" s="99"/>
      <c r="BM61" s="99"/>
      <c r="BN61" s="99"/>
      <c r="BO61" s="101"/>
      <c r="BP61" s="153"/>
      <c r="BQ61" s="102"/>
      <c r="BR61" s="103"/>
    </row>
    <row r="62" spans="1:71" x14ac:dyDescent="0.25">
      <c r="A62" s="18"/>
      <c r="B62" s="18">
        <v>4</v>
      </c>
      <c r="C62" s="19" t="s">
        <v>47</v>
      </c>
      <c r="D62" s="60">
        <v>63534</v>
      </c>
      <c r="E62" s="47" t="s">
        <v>173</v>
      </c>
      <c r="F62" s="13" t="s">
        <v>207</v>
      </c>
      <c r="G62" s="53">
        <v>61805</v>
      </c>
      <c r="H62" s="53">
        <v>5049</v>
      </c>
      <c r="I62" s="50">
        <f t="shared" ref="I62:I74" si="209">G62+H62</f>
        <v>66854</v>
      </c>
      <c r="J62" s="45">
        <v>0.88</v>
      </c>
      <c r="K62" s="65">
        <f t="shared" ref="K62:K74" si="210">ROUND(G62*J62,2)</f>
        <v>54388.4</v>
      </c>
      <c r="L62" s="66">
        <f t="shared" ref="L62:L74" si="211">1-J62</f>
        <v>0.12</v>
      </c>
      <c r="M62" s="67">
        <f t="shared" ref="M62:M74" si="212">G62-K62</f>
        <v>7416.5999999999985</v>
      </c>
      <c r="N62" s="43">
        <f t="shared" ref="N62:N74" si="213">M62*60*365/1000000</f>
        <v>162.42353999999997</v>
      </c>
      <c r="O62" s="92">
        <f t="shared" ref="O62:O74" si="214">M62*110*365/1000000</f>
        <v>297.77648999999997</v>
      </c>
      <c r="P62" s="72">
        <f t="shared" ref="P62:P74" si="215">M62*70*365/1000000</f>
        <v>189.49412999999998</v>
      </c>
      <c r="Q62" s="72">
        <f t="shared" ref="Q62:Q74" si="216">M62*10*365/1000000</f>
        <v>27.070589999999996</v>
      </c>
      <c r="R62" s="25">
        <f t="shared" ref="R62:R74" si="217">M62*2*365/1000000</f>
        <v>5.4141179999999993</v>
      </c>
      <c r="S62" s="72">
        <f t="shared" ref="S62:S74" si="218">M62*13*365/1000000*0.33</f>
        <v>11.613283109999998</v>
      </c>
      <c r="T62" s="72">
        <f t="shared" ref="T62:T74" si="219">M62*18*365/1000000*0.33</f>
        <v>16.079930459999996</v>
      </c>
      <c r="U62" s="72">
        <f t="shared" ref="U62:U74" si="220">M62*17*365/1000000*0.33</f>
        <v>15.186600989999999</v>
      </c>
      <c r="V62" s="72">
        <f t="shared" ref="V62:V74" si="221">M62*2.5*365/1000000*0.33</f>
        <v>2.2333236749999998</v>
      </c>
      <c r="W62" s="72">
        <f t="shared" ref="W62:W74" si="222">M62*0.5*365/1000000*0.33</f>
        <v>0.44666473499999998</v>
      </c>
      <c r="X62" s="72">
        <f t="shared" ref="X62:X74" si="223">M62*19*365/1000000*0.33</f>
        <v>16.973259929999994</v>
      </c>
      <c r="Y62" s="72">
        <f t="shared" ref="Y62:Y74" si="224">M62*26*365/1000000*0.33</f>
        <v>23.226566219999995</v>
      </c>
      <c r="Z62" s="72">
        <f t="shared" ref="Z62:Z74" si="225">M62*18*365/1000000*0.33</f>
        <v>16.079930459999996</v>
      </c>
      <c r="AA62" s="72">
        <f t="shared" ref="AA62:AA74" si="226">M62*0*365/1000000*0.33</f>
        <v>0</v>
      </c>
      <c r="AB62" s="72">
        <f t="shared" ref="AB62:AB74" si="227">M62*0*365/1000000*0.33</f>
        <v>0</v>
      </c>
      <c r="AC62" s="91">
        <f t="shared" ref="AC62:AC74" si="228">N62-S62-X62</f>
        <v>133.83699695999999</v>
      </c>
      <c r="AD62" s="91">
        <f t="shared" ref="AD62:AD74" si="229">O62-T62-Y62</f>
        <v>258.46999331999996</v>
      </c>
      <c r="AE62" s="91">
        <f t="shared" ref="AE62:AE74" si="230">P62-U62-Z62</f>
        <v>158.22759855000001</v>
      </c>
      <c r="AF62" s="91">
        <f t="shared" ref="AF62:AF74" si="231">Q62-V62-AA62</f>
        <v>24.837266324999995</v>
      </c>
      <c r="AG62" s="91">
        <f t="shared" ref="AG62:AG74" si="232">R62-W62-AB62</f>
        <v>4.9674532649999996</v>
      </c>
      <c r="AH62" s="39">
        <f t="shared" ref="AH62:AH74" si="233">(K62+H62)*60*365/1000000</f>
        <v>1301.6790599999999</v>
      </c>
      <c r="AI62" s="77">
        <f t="shared" ref="AI62:AI74" si="234">($K62+$H62)*110*365/1000000</f>
        <v>2386.4116100000001</v>
      </c>
      <c r="AJ62" s="77">
        <f t="shared" ref="AJ62:AJ74" si="235">($K62+$H62)*70*365/1000000</f>
        <v>1518.6255699999999</v>
      </c>
      <c r="AK62" s="77">
        <f t="shared" ref="AK62:AK74" si="236">($K62+$H62)*10*365/1000000</f>
        <v>216.94650999999999</v>
      </c>
      <c r="AL62" s="26">
        <f t="shared" ref="AL62:AL74" si="237">($K62+$H62)*2*365/1000000</f>
        <v>43.389302000000001</v>
      </c>
      <c r="AM62" s="27">
        <v>0.9</v>
      </c>
      <c r="AN62" s="27">
        <v>0.75</v>
      </c>
      <c r="AO62" s="27">
        <v>0.9</v>
      </c>
      <c r="AP62" s="27">
        <v>0.8</v>
      </c>
      <c r="AQ62" s="27">
        <v>0.8</v>
      </c>
      <c r="AR62" s="26">
        <f t="shared" ref="AR62:AR74" si="238">(S62+AH62)*AM62</f>
        <v>1181.9631087989999</v>
      </c>
      <c r="AS62" s="26">
        <f t="shared" ref="AS62:AS74" si="239">(T62+AI62)*AN62</f>
        <v>1801.8686553450002</v>
      </c>
      <c r="AT62" s="26">
        <f t="shared" ref="AT62:AT74" si="240">(U62+AJ62)*AO62</f>
        <v>1380.4309538909999</v>
      </c>
      <c r="AU62" s="26">
        <f t="shared" ref="AU62:AU74" si="241">(V62+AK62)*AP62</f>
        <v>175.34386694</v>
      </c>
      <c r="AV62" s="26">
        <f t="shared" ref="AV62:AV74" si="242">(W62+AL62)*AQ62</f>
        <v>35.068773388000004</v>
      </c>
      <c r="AW62" s="26">
        <f t="shared" ref="AW62:AW74" si="243">S62+AH62-AR62</f>
        <v>131.32923431099994</v>
      </c>
      <c r="AX62" s="26">
        <f t="shared" ref="AX62:AX74" si="244">T62+AI62-AS62</f>
        <v>600.62288511499992</v>
      </c>
      <c r="AY62" s="26">
        <f t="shared" ref="AY62:AY74" si="245">U62+AJ62-AT62</f>
        <v>153.38121709899997</v>
      </c>
      <c r="AZ62" s="26">
        <f t="shared" ref="AZ62:AZ74" si="246">V62+AK62-AU62</f>
        <v>43.835966735</v>
      </c>
      <c r="BA62" s="40">
        <f t="shared" ref="BA62:BA74" si="247">W62+AL62-AV62</f>
        <v>8.7671933469999956</v>
      </c>
      <c r="BB62" s="37">
        <f t="shared" ref="BB62:BB74" si="248">N62+AH62</f>
        <v>1464.1025999999999</v>
      </c>
      <c r="BC62" s="28">
        <f t="shared" ref="BC62:BC74" si="249">O62+AI62</f>
        <v>2684.1881000000003</v>
      </c>
      <c r="BD62" s="28">
        <f t="shared" ref="BD62:BD74" si="250">P62+AJ62</f>
        <v>1708.1197</v>
      </c>
      <c r="BE62" s="29">
        <f t="shared" ref="BE62:BE74" si="251">Q62+AK62</f>
        <v>244.01709999999997</v>
      </c>
      <c r="BF62" s="29">
        <f t="shared" ref="BF62:BF74" si="252">R62+AL62</f>
        <v>48.803420000000003</v>
      </c>
      <c r="BG62" s="28">
        <f t="shared" ref="BG62:BG74" si="253">AC62+AW62</f>
        <v>265.1662312709999</v>
      </c>
      <c r="BH62" s="28">
        <f t="shared" ref="BH62:BH74" si="254">AD62+AX62</f>
        <v>859.09287843499988</v>
      </c>
      <c r="BI62" s="28">
        <f t="shared" ref="BI62:BI74" si="255">AE62+AY62</f>
        <v>311.60881564900001</v>
      </c>
      <c r="BJ62" s="29">
        <f t="shared" ref="BJ62:BJ74" si="256">AF62+AZ62</f>
        <v>68.673233060000001</v>
      </c>
      <c r="BK62" s="29">
        <f t="shared" ref="BK62:BK74" si="257">AG62+BA62</f>
        <v>13.734646611999995</v>
      </c>
      <c r="BL62" s="28">
        <f t="shared" ref="BL62:BL74" si="258">X62+AR62</f>
        <v>1198.9363687289999</v>
      </c>
      <c r="BM62" s="28">
        <f t="shared" ref="BM62:BM74" si="259">Y62+AS62</f>
        <v>1825.0952215650002</v>
      </c>
      <c r="BN62" s="28">
        <f t="shared" ref="BN62:BN74" si="260">Z62+AT62</f>
        <v>1396.510884351</v>
      </c>
      <c r="BO62" s="29">
        <f t="shared" ref="BO62:BO74" si="261">AA62+AU62</f>
        <v>175.34386694</v>
      </c>
      <c r="BP62" s="30">
        <f t="shared" ref="BP62:BP74" si="262">AB62+AV62</f>
        <v>35.068773388000004</v>
      </c>
      <c r="BQ62" s="10">
        <v>5629576</v>
      </c>
      <c r="BR62" s="6">
        <v>1454456</v>
      </c>
      <c r="BS62" t="s">
        <v>128</v>
      </c>
    </row>
    <row r="63" spans="1:71" x14ac:dyDescent="0.25">
      <c r="A63" s="18"/>
      <c r="B63" s="18">
        <v>5</v>
      </c>
      <c r="C63" s="19" t="s">
        <v>48</v>
      </c>
      <c r="D63" s="60">
        <v>56307</v>
      </c>
      <c r="E63" s="47" t="s">
        <v>4</v>
      </c>
      <c r="F63" s="13" t="s">
        <v>207</v>
      </c>
      <c r="G63" s="54">
        <v>50150</v>
      </c>
      <c r="H63" s="104"/>
      <c r="I63" s="50">
        <f t="shared" si="209"/>
        <v>50150</v>
      </c>
      <c r="J63" s="45">
        <v>0.68</v>
      </c>
      <c r="K63" s="65">
        <f t="shared" si="210"/>
        <v>34102</v>
      </c>
      <c r="L63" s="66">
        <f t="shared" si="211"/>
        <v>0.31999999999999995</v>
      </c>
      <c r="M63" s="67">
        <f t="shared" si="212"/>
        <v>16048</v>
      </c>
      <c r="N63" s="43">
        <f t="shared" si="213"/>
        <v>351.45119999999997</v>
      </c>
      <c r="O63" s="92">
        <f t="shared" si="214"/>
        <v>644.32719999999995</v>
      </c>
      <c r="P63" s="72">
        <f t="shared" si="215"/>
        <v>410.02640000000002</v>
      </c>
      <c r="Q63" s="72">
        <f t="shared" si="216"/>
        <v>58.575200000000002</v>
      </c>
      <c r="R63" s="25">
        <f t="shared" si="217"/>
        <v>11.71504</v>
      </c>
      <c r="S63" s="72">
        <f t="shared" si="218"/>
        <v>25.128760800000002</v>
      </c>
      <c r="T63" s="72">
        <f t="shared" si="219"/>
        <v>34.793668800000006</v>
      </c>
      <c r="U63" s="72">
        <f t="shared" si="220"/>
        <v>32.860687200000001</v>
      </c>
      <c r="V63" s="72">
        <f t="shared" si="221"/>
        <v>4.8324540000000002</v>
      </c>
      <c r="W63" s="72">
        <f t="shared" si="222"/>
        <v>0.96649080000000009</v>
      </c>
      <c r="X63" s="72">
        <f t="shared" si="223"/>
        <v>36.726650400000004</v>
      </c>
      <c r="Y63" s="72">
        <f t="shared" si="224"/>
        <v>50.257521600000004</v>
      </c>
      <c r="Z63" s="72">
        <f t="shared" si="225"/>
        <v>34.793668800000006</v>
      </c>
      <c r="AA63" s="72">
        <f t="shared" si="226"/>
        <v>0</v>
      </c>
      <c r="AB63" s="72">
        <f t="shared" si="227"/>
        <v>0</v>
      </c>
      <c r="AC63" s="91">
        <f t="shared" si="228"/>
        <v>289.59578879999998</v>
      </c>
      <c r="AD63" s="91">
        <f t="shared" si="229"/>
        <v>559.27600959999995</v>
      </c>
      <c r="AE63" s="91">
        <f t="shared" si="230"/>
        <v>342.37204400000007</v>
      </c>
      <c r="AF63" s="91">
        <f t="shared" si="231"/>
        <v>53.742746000000004</v>
      </c>
      <c r="AG63" s="91">
        <f t="shared" si="232"/>
        <v>10.748549199999999</v>
      </c>
      <c r="AH63" s="39">
        <f t="shared" si="233"/>
        <v>746.8338</v>
      </c>
      <c r="AI63" s="77">
        <f t="shared" si="234"/>
        <v>1369.1953000000001</v>
      </c>
      <c r="AJ63" s="77">
        <f t="shared" si="235"/>
        <v>871.30610000000001</v>
      </c>
      <c r="AK63" s="77">
        <f t="shared" si="236"/>
        <v>124.4723</v>
      </c>
      <c r="AL63" s="26">
        <f t="shared" si="237"/>
        <v>24.894459999999999</v>
      </c>
      <c r="AM63" s="27">
        <v>0.9</v>
      </c>
      <c r="AN63" s="27">
        <v>0.75</v>
      </c>
      <c r="AO63" s="27">
        <v>0.9</v>
      </c>
      <c r="AP63" s="27">
        <v>0.8</v>
      </c>
      <c r="AQ63" s="27">
        <v>0.8</v>
      </c>
      <c r="AR63" s="26">
        <f t="shared" si="238"/>
        <v>694.76630471999999</v>
      </c>
      <c r="AS63" s="26">
        <f t="shared" si="239"/>
        <v>1052.9917266</v>
      </c>
      <c r="AT63" s="26">
        <f t="shared" si="240"/>
        <v>813.75010848000011</v>
      </c>
      <c r="AU63" s="26">
        <f t="shared" si="241"/>
        <v>103.4438032</v>
      </c>
      <c r="AV63" s="26">
        <f t="shared" si="242"/>
        <v>20.688760639999998</v>
      </c>
      <c r="AW63" s="26">
        <f t="shared" si="243"/>
        <v>77.196256080000012</v>
      </c>
      <c r="AX63" s="26">
        <f t="shared" si="244"/>
        <v>350.99724220000007</v>
      </c>
      <c r="AY63" s="26">
        <f t="shared" si="245"/>
        <v>90.416678719999936</v>
      </c>
      <c r="AZ63" s="26">
        <f t="shared" si="246"/>
        <v>25.860950799999998</v>
      </c>
      <c r="BA63" s="40">
        <f t="shared" si="247"/>
        <v>5.1721901599999995</v>
      </c>
      <c r="BB63" s="37">
        <f t="shared" si="248"/>
        <v>1098.2849999999999</v>
      </c>
      <c r="BC63" s="28">
        <f t="shared" si="249"/>
        <v>2013.5225</v>
      </c>
      <c r="BD63" s="28">
        <f t="shared" si="250"/>
        <v>1281.3325</v>
      </c>
      <c r="BE63" s="29">
        <f t="shared" si="251"/>
        <v>183.04750000000001</v>
      </c>
      <c r="BF63" s="29">
        <f t="shared" si="252"/>
        <v>36.609499999999997</v>
      </c>
      <c r="BG63" s="28">
        <f t="shared" si="253"/>
        <v>366.79204487999999</v>
      </c>
      <c r="BH63" s="28">
        <f t="shared" si="254"/>
        <v>910.27325180000003</v>
      </c>
      <c r="BI63" s="28">
        <f t="shared" si="255"/>
        <v>432.78872272000001</v>
      </c>
      <c r="BJ63" s="29">
        <f t="shared" si="256"/>
        <v>79.603696799999994</v>
      </c>
      <c r="BK63" s="29">
        <f t="shared" si="257"/>
        <v>15.920739359999999</v>
      </c>
      <c r="BL63" s="28">
        <f t="shared" si="258"/>
        <v>731.49295512000003</v>
      </c>
      <c r="BM63" s="28">
        <f t="shared" si="259"/>
        <v>1103.2492482</v>
      </c>
      <c r="BN63" s="28">
        <f t="shared" si="260"/>
        <v>848.54377728000009</v>
      </c>
      <c r="BO63" s="29">
        <f t="shared" si="261"/>
        <v>103.4438032</v>
      </c>
      <c r="BP63" s="30">
        <f t="shared" si="262"/>
        <v>20.688760639999998</v>
      </c>
      <c r="BQ63" s="10" t="s">
        <v>169</v>
      </c>
      <c r="BR63" s="6"/>
    </row>
    <row r="64" spans="1:71" x14ac:dyDescent="0.25">
      <c r="A64" s="20"/>
      <c r="B64" s="20">
        <v>14</v>
      </c>
      <c r="C64" s="63" t="s">
        <v>56</v>
      </c>
      <c r="D64" s="61">
        <v>11734</v>
      </c>
      <c r="E64" s="58" t="s">
        <v>172</v>
      </c>
      <c r="F64" s="15" t="s">
        <v>207</v>
      </c>
      <c r="G64" s="55">
        <v>13127</v>
      </c>
      <c r="H64" s="55">
        <v>0</v>
      </c>
      <c r="I64" s="50">
        <f t="shared" si="209"/>
        <v>13127</v>
      </c>
      <c r="J64" s="45">
        <v>1</v>
      </c>
      <c r="K64" s="65">
        <f t="shared" si="210"/>
        <v>13127</v>
      </c>
      <c r="L64" s="66">
        <f t="shared" si="211"/>
        <v>0</v>
      </c>
      <c r="M64" s="67">
        <f t="shared" si="212"/>
        <v>0</v>
      </c>
      <c r="N64" s="43">
        <f t="shared" si="213"/>
        <v>0</v>
      </c>
      <c r="O64" s="92">
        <f t="shared" si="214"/>
        <v>0</v>
      </c>
      <c r="P64" s="72">
        <f t="shared" si="215"/>
        <v>0</v>
      </c>
      <c r="Q64" s="72">
        <f t="shared" si="216"/>
        <v>0</v>
      </c>
      <c r="R64" s="25">
        <f t="shared" si="217"/>
        <v>0</v>
      </c>
      <c r="S64" s="72">
        <f t="shared" si="218"/>
        <v>0</v>
      </c>
      <c r="T64" s="72">
        <f t="shared" si="219"/>
        <v>0</v>
      </c>
      <c r="U64" s="72">
        <f t="shared" si="220"/>
        <v>0</v>
      </c>
      <c r="V64" s="72">
        <f t="shared" si="221"/>
        <v>0</v>
      </c>
      <c r="W64" s="72">
        <f t="shared" si="222"/>
        <v>0</v>
      </c>
      <c r="X64" s="72">
        <f t="shared" si="223"/>
        <v>0</v>
      </c>
      <c r="Y64" s="72">
        <f t="shared" si="224"/>
        <v>0</v>
      </c>
      <c r="Z64" s="72">
        <f t="shared" si="225"/>
        <v>0</v>
      </c>
      <c r="AA64" s="72">
        <f t="shared" si="226"/>
        <v>0</v>
      </c>
      <c r="AB64" s="72">
        <f t="shared" si="227"/>
        <v>0</v>
      </c>
      <c r="AC64" s="91">
        <f t="shared" si="228"/>
        <v>0</v>
      </c>
      <c r="AD64" s="91">
        <f t="shared" si="229"/>
        <v>0</v>
      </c>
      <c r="AE64" s="91">
        <f t="shared" si="230"/>
        <v>0</v>
      </c>
      <c r="AF64" s="91">
        <f t="shared" si="231"/>
        <v>0</v>
      </c>
      <c r="AG64" s="91">
        <f t="shared" si="232"/>
        <v>0</v>
      </c>
      <c r="AH64" s="39">
        <f t="shared" si="233"/>
        <v>287.48129999999998</v>
      </c>
      <c r="AI64" s="77">
        <f t="shared" si="234"/>
        <v>527.04904999999997</v>
      </c>
      <c r="AJ64" s="77">
        <f t="shared" si="235"/>
        <v>335.39485000000002</v>
      </c>
      <c r="AK64" s="77">
        <f t="shared" si="236"/>
        <v>47.913550000000001</v>
      </c>
      <c r="AL64" s="26">
        <f t="shared" si="237"/>
        <v>9.5827100000000005</v>
      </c>
      <c r="AM64" s="27">
        <v>0.9</v>
      </c>
      <c r="AN64" s="27">
        <v>0.75</v>
      </c>
      <c r="AO64" s="27">
        <v>0.9</v>
      </c>
      <c r="AP64" s="27">
        <v>0.8</v>
      </c>
      <c r="AQ64" s="27">
        <v>0.8</v>
      </c>
      <c r="AR64" s="26">
        <f t="shared" si="238"/>
        <v>258.73316999999997</v>
      </c>
      <c r="AS64" s="26">
        <f t="shared" si="239"/>
        <v>395.28678749999995</v>
      </c>
      <c r="AT64" s="26">
        <f t="shared" si="240"/>
        <v>301.85536500000001</v>
      </c>
      <c r="AU64" s="26">
        <f t="shared" si="241"/>
        <v>38.330840000000002</v>
      </c>
      <c r="AV64" s="26">
        <f t="shared" si="242"/>
        <v>7.6661680000000008</v>
      </c>
      <c r="AW64" s="26">
        <f t="shared" si="243"/>
        <v>28.748130000000003</v>
      </c>
      <c r="AX64" s="26">
        <f t="shared" si="244"/>
        <v>131.76226250000002</v>
      </c>
      <c r="AY64" s="26">
        <f t="shared" si="245"/>
        <v>33.539485000000013</v>
      </c>
      <c r="AZ64" s="26">
        <f t="shared" si="246"/>
        <v>9.5827099999999987</v>
      </c>
      <c r="BA64" s="40">
        <f t="shared" si="247"/>
        <v>1.9165419999999997</v>
      </c>
      <c r="BB64" s="37">
        <f t="shared" si="248"/>
        <v>287.48129999999998</v>
      </c>
      <c r="BC64" s="28">
        <f t="shared" si="249"/>
        <v>527.04904999999997</v>
      </c>
      <c r="BD64" s="28">
        <f t="shared" si="250"/>
        <v>335.39485000000002</v>
      </c>
      <c r="BE64" s="29">
        <f t="shared" si="251"/>
        <v>47.913550000000001</v>
      </c>
      <c r="BF64" s="29">
        <f t="shared" si="252"/>
        <v>9.5827100000000005</v>
      </c>
      <c r="BG64" s="28">
        <f t="shared" si="253"/>
        <v>28.748130000000003</v>
      </c>
      <c r="BH64" s="28">
        <f t="shared" si="254"/>
        <v>131.76226250000002</v>
      </c>
      <c r="BI64" s="28">
        <f t="shared" si="255"/>
        <v>33.539485000000013</v>
      </c>
      <c r="BJ64" s="29">
        <f t="shared" si="256"/>
        <v>9.5827099999999987</v>
      </c>
      <c r="BK64" s="29">
        <f t="shared" si="257"/>
        <v>1.9165419999999997</v>
      </c>
      <c r="BL64" s="28">
        <f t="shared" si="258"/>
        <v>258.73316999999997</v>
      </c>
      <c r="BM64" s="28">
        <f t="shared" si="259"/>
        <v>395.28678749999995</v>
      </c>
      <c r="BN64" s="28">
        <f t="shared" si="260"/>
        <v>301.85536500000001</v>
      </c>
      <c r="BO64" s="29">
        <f t="shared" si="261"/>
        <v>38.330840000000002</v>
      </c>
      <c r="BP64" s="30">
        <f t="shared" si="262"/>
        <v>7.6661680000000008</v>
      </c>
      <c r="BQ64" s="10">
        <v>0</v>
      </c>
      <c r="BR64" s="6">
        <v>0</v>
      </c>
      <c r="BS64" s="3"/>
    </row>
    <row r="65" spans="1:71" x14ac:dyDescent="0.25">
      <c r="A65" s="18"/>
      <c r="B65" s="18">
        <v>18</v>
      </c>
      <c r="C65" s="19" t="s">
        <v>60</v>
      </c>
      <c r="D65" s="60">
        <v>10071</v>
      </c>
      <c r="E65" s="47" t="s">
        <v>136</v>
      </c>
      <c r="F65" s="13" t="s">
        <v>207</v>
      </c>
      <c r="G65" s="53">
        <v>10751</v>
      </c>
      <c r="H65" s="54">
        <v>308</v>
      </c>
      <c r="I65" s="50">
        <f t="shared" si="209"/>
        <v>11059</v>
      </c>
      <c r="J65" s="45">
        <v>0.81</v>
      </c>
      <c r="K65" s="65">
        <f t="shared" si="210"/>
        <v>8708.31</v>
      </c>
      <c r="L65" s="66">
        <f t="shared" si="211"/>
        <v>0.18999999999999995</v>
      </c>
      <c r="M65" s="67">
        <f t="shared" si="212"/>
        <v>2042.6900000000005</v>
      </c>
      <c r="N65" s="43">
        <f t="shared" si="213"/>
        <v>44.734911000000011</v>
      </c>
      <c r="O65" s="92">
        <f t="shared" si="214"/>
        <v>82.014003500000015</v>
      </c>
      <c r="P65" s="72">
        <f t="shared" si="215"/>
        <v>52.190729500000018</v>
      </c>
      <c r="Q65" s="72">
        <f t="shared" si="216"/>
        <v>7.4558185000000021</v>
      </c>
      <c r="R65" s="25">
        <f t="shared" si="217"/>
        <v>1.4911637000000004</v>
      </c>
      <c r="S65" s="72">
        <f t="shared" si="218"/>
        <v>3.1985461365000014</v>
      </c>
      <c r="T65" s="72">
        <f t="shared" si="219"/>
        <v>4.4287561890000013</v>
      </c>
      <c r="U65" s="72">
        <f t="shared" si="220"/>
        <v>4.1827141785000013</v>
      </c>
      <c r="V65" s="72">
        <f t="shared" si="221"/>
        <v>0.61510502625000019</v>
      </c>
      <c r="W65" s="72">
        <f t="shared" si="222"/>
        <v>0.12302100525000004</v>
      </c>
      <c r="X65" s="72">
        <f t="shared" si="223"/>
        <v>4.6747981995000005</v>
      </c>
      <c r="Y65" s="72">
        <f t="shared" si="224"/>
        <v>6.3970922730000028</v>
      </c>
      <c r="Z65" s="72">
        <f t="shared" si="225"/>
        <v>4.4287561890000013</v>
      </c>
      <c r="AA65" s="72">
        <f t="shared" si="226"/>
        <v>0</v>
      </c>
      <c r="AB65" s="72">
        <f t="shared" si="227"/>
        <v>0</v>
      </c>
      <c r="AC65" s="91">
        <f t="shared" si="228"/>
        <v>36.861566664000009</v>
      </c>
      <c r="AD65" s="91">
        <f t="shared" si="229"/>
        <v>71.188155038000019</v>
      </c>
      <c r="AE65" s="91">
        <f t="shared" si="230"/>
        <v>43.579259132500013</v>
      </c>
      <c r="AF65" s="91">
        <f t="shared" si="231"/>
        <v>6.8407134737500019</v>
      </c>
      <c r="AG65" s="91">
        <f t="shared" si="232"/>
        <v>1.3681426947500004</v>
      </c>
      <c r="AH65" s="39">
        <f t="shared" si="233"/>
        <v>197.457189</v>
      </c>
      <c r="AI65" s="77">
        <f t="shared" si="234"/>
        <v>362.00484649999999</v>
      </c>
      <c r="AJ65" s="77">
        <f t="shared" si="235"/>
        <v>230.36672049999996</v>
      </c>
      <c r="AK65" s="77">
        <f t="shared" si="236"/>
        <v>32.909531499999993</v>
      </c>
      <c r="AL65" s="26">
        <f t="shared" si="237"/>
        <v>6.5819063</v>
      </c>
      <c r="AM65" s="27">
        <v>0.9</v>
      </c>
      <c r="AN65" s="27">
        <v>0.75</v>
      </c>
      <c r="AO65" s="27">
        <v>0.9</v>
      </c>
      <c r="AP65" s="27">
        <v>0.8</v>
      </c>
      <c r="AQ65" s="27">
        <v>0.8</v>
      </c>
      <c r="AR65" s="26">
        <f t="shared" si="238"/>
        <v>180.59016162284999</v>
      </c>
      <c r="AS65" s="26">
        <f t="shared" si="239"/>
        <v>274.82520201674998</v>
      </c>
      <c r="AT65" s="26">
        <f t="shared" si="240"/>
        <v>211.09449121064995</v>
      </c>
      <c r="AU65" s="26">
        <f t="shared" si="241"/>
        <v>26.819709220999997</v>
      </c>
      <c r="AV65" s="26">
        <f t="shared" si="242"/>
        <v>5.3639418442000002</v>
      </c>
      <c r="AW65" s="26">
        <f t="shared" si="243"/>
        <v>20.065573513650008</v>
      </c>
      <c r="AX65" s="26">
        <f t="shared" si="244"/>
        <v>91.608400672250013</v>
      </c>
      <c r="AY65" s="26">
        <f t="shared" si="245"/>
        <v>23.454943467850001</v>
      </c>
      <c r="AZ65" s="26">
        <f t="shared" si="246"/>
        <v>6.7049273052499956</v>
      </c>
      <c r="BA65" s="40">
        <f t="shared" si="247"/>
        <v>1.3409854610499998</v>
      </c>
      <c r="BB65" s="37">
        <f t="shared" si="248"/>
        <v>242.19210000000001</v>
      </c>
      <c r="BC65" s="28">
        <f t="shared" si="249"/>
        <v>444.01884999999999</v>
      </c>
      <c r="BD65" s="28">
        <f t="shared" si="250"/>
        <v>282.55744999999996</v>
      </c>
      <c r="BE65" s="29">
        <f t="shared" si="251"/>
        <v>40.365349999999992</v>
      </c>
      <c r="BF65" s="29">
        <f t="shared" si="252"/>
        <v>8.0730700000000013</v>
      </c>
      <c r="BG65" s="28">
        <f t="shared" si="253"/>
        <v>56.927140177650017</v>
      </c>
      <c r="BH65" s="28">
        <f t="shared" si="254"/>
        <v>162.79655571025003</v>
      </c>
      <c r="BI65" s="28">
        <f t="shared" si="255"/>
        <v>67.034202600350014</v>
      </c>
      <c r="BJ65" s="29">
        <f t="shared" si="256"/>
        <v>13.545640778999998</v>
      </c>
      <c r="BK65" s="29">
        <f t="shared" si="257"/>
        <v>2.7091281558000002</v>
      </c>
      <c r="BL65" s="28">
        <f t="shared" si="258"/>
        <v>185.26495982234999</v>
      </c>
      <c r="BM65" s="28">
        <f t="shared" si="259"/>
        <v>281.22229428974998</v>
      </c>
      <c r="BN65" s="28">
        <f t="shared" si="260"/>
        <v>215.52324739964996</v>
      </c>
      <c r="BO65" s="29">
        <f t="shared" si="261"/>
        <v>26.819709220999997</v>
      </c>
      <c r="BP65" s="30">
        <f t="shared" si="262"/>
        <v>5.3639418442000002</v>
      </c>
      <c r="BQ65" s="10">
        <v>936550</v>
      </c>
      <c r="BR65" s="6">
        <v>400000</v>
      </c>
      <c r="BS65" t="s">
        <v>128</v>
      </c>
    </row>
    <row r="66" spans="1:71" x14ac:dyDescent="0.25">
      <c r="A66" s="18"/>
      <c r="B66" s="18">
        <v>21</v>
      </c>
      <c r="C66" s="19" t="s">
        <v>62</v>
      </c>
      <c r="D66" s="60">
        <v>9250</v>
      </c>
      <c r="E66" s="47" t="s">
        <v>4</v>
      </c>
      <c r="F66" s="13" t="s">
        <v>207</v>
      </c>
      <c r="G66" s="53">
        <v>10650</v>
      </c>
      <c r="H66" s="53">
        <v>4435</v>
      </c>
      <c r="I66" s="50">
        <f t="shared" si="209"/>
        <v>15085</v>
      </c>
      <c r="J66" s="45">
        <v>0.75</v>
      </c>
      <c r="K66" s="65">
        <f t="shared" si="210"/>
        <v>7987.5</v>
      </c>
      <c r="L66" s="66">
        <f t="shared" si="211"/>
        <v>0.25</v>
      </c>
      <c r="M66" s="67">
        <f t="shared" si="212"/>
        <v>2662.5</v>
      </c>
      <c r="N66" s="43">
        <f t="shared" si="213"/>
        <v>58.308750000000003</v>
      </c>
      <c r="O66" s="92">
        <f t="shared" si="214"/>
        <v>106.89937500000001</v>
      </c>
      <c r="P66" s="72">
        <f t="shared" si="215"/>
        <v>68.026875000000004</v>
      </c>
      <c r="Q66" s="72">
        <f t="shared" si="216"/>
        <v>9.7181250000000006</v>
      </c>
      <c r="R66" s="25">
        <f t="shared" si="217"/>
        <v>1.9436249999999999</v>
      </c>
      <c r="S66" s="72">
        <f t="shared" si="218"/>
        <v>4.1690756250000005</v>
      </c>
      <c r="T66" s="72">
        <f t="shared" si="219"/>
        <v>5.7725662500000006</v>
      </c>
      <c r="U66" s="72">
        <f t="shared" si="220"/>
        <v>5.4518681250000007</v>
      </c>
      <c r="V66" s="72">
        <f t="shared" si="221"/>
        <v>0.80174531250000003</v>
      </c>
      <c r="W66" s="72">
        <f t="shared" si="222"/>
        <v>0.1603490625</v>
      </c>
      <c r="X66" s="72">
        <f t="shared" si="223"/>
        <v>6.0932643749999995</v>
      </c>
      <c r="Y66" s="72">
        <f t="shared" si="224"/>
        <v>8.338151250000001</v>
      </c>
      <c r="Z66" s="72">
        <f t="shared" si="225"/>
        <v>5.7725662500000006</v>
      </c>
      <c r="AA66" s="72">
        <f t="shared" si="226"/>
        <v>0</v>
      </c>
      <c r="AB66" s="72">
        <f t="shared" si="227"/>
        <v>0</v>
      </c>
      <c r="AC66" s="91">
        <f t="shared" si="228"/>
        <v>48.046410000000009</v>
      </c>
      <c r="AD66" s="91">
        <f t="shared" si="229"/>
        <v>92.788657500000014</v>
      </c>
      <c r="AE66" s="91">
        <f t="shared" si="230"/>
        <v>56.802440625000003</v>
      </c>
      <c r="AF66" s="91">
        <f t="shared" si="231"/>
        <v>8.916379687500001</v>
      </c>
      <c r="AG66" s="91">
        <f t="shared" si="232"/>
        <v>1.7832759375</v>
      </c>
      <c r="AH66" s="39">
        <f t="shared" si="233"/>
        <v>272.05275</v>
      </c>
      <c r="AI66" s="77">
        <f t="shared" si="234"/>
        <v>498.763375</v>
      </c>
      <c r="AJ66" s="77">
        <f t="shared" si="235"/>
        <v>317.39487500000001</v>
      </c>
      <c r="AK66" s="77">
        <f t="shared" si="236"/>
        <v>45.342125000000003</v>
      </c>
      <c r="AL66" s="26">
        <f t="shared" si="237"/>
        <v>9.0684249999999995</v>
      </c>
      <c r="AM66" s="27">
        <v>0.9</v>
      </c>
      <c r="AN66" s="27">
        <v>0.75</v>
      </c>
      <c r="AO66" s="27">
        <v>0.9</v>
      </c>
      <c r="AP66" s="27">
        <v>0.8</v>
      </c>
      <c r="AQ66" s="27">
        <v>0.8</v>
      </c>
      <c r="AR66" s="26">
        <f t="shared" si="238"/>
        <v>248.59964306250001</v>
      </c>
      <c r="AS66" s="26">
        <f t="shared" si="239"/>
        <v>378.40195593750002</v>
      </c>
      <c r="AT66" s="26">
        <f t="shared" si="240"/>
        <v>290.5620688125</v>
      </c>
      <c r="AU66" s="26">
        <f t="shared" si="241"/>
        <v>36.915096250000005</v>
      </c>
      <c r="AV66" s="26">
        <f t="shared" si="242"/>
        <v>7.3830192500000003</v>
      </c>
      <c r="AW66" s="26">
        <f t="shared" si="243"/>
        <v>27.622182562500001</v>
      </c>
      <c r="AX66" s="26">
        <f t="shared" si="244"/>
        <v>126.13398531249999</v>
      </c>
      <c r="AY66" s="26">
        <f t="shared" si="245"/>
        <v>32.284674312499988</v>
      </c>
      <c r="AZ66" s="26">
        <f t="shared" si="246"/>
        <v>9.2287740625000012</v>
      </c>
      <c r="BA66" s="40">
        <f t="shared" si="247"/>
        <v>1.8457548124999992</v>
      </c>
      <c r="BB66" s="37">
        <f t="shared" si="248"/>
        <v>330.36149999999998</v>
      </c>
      <c r="BC66" s="28">
        <f t="shared" si="249"/>
        <v>605.66274999999996</v>
      </c>
      <c r="BD66" s="28">
        <f t="shared" si="250"/>
        <v>385.42175000000003</v>
      </c>
      <c r="BE66" s="29">
        <f t="shared" si="251"/>
        <v>55.060250000000003</v>
      </c>
      <c r="BF66" s="29">
        <f t="shared" si="252"/>
        <v>11.012049999999999</v>
      </c>
      <c r="BG66" s="28">
        <f t="shared" si="253"/>
        <v>75.66859256250001</v>
      </c>
      <c r="BH66" s="28">
        <f t="shared" si="254"/>
        <v>218.92264281249999</v>
      </c>
      <c r="BI66" s="28">
        <f t="shared" si="255"/>
        <v>89.08711493749999</v>
      </c>
      <c r="BJ66" s="29">
        <f t="shared" si="256"/>
        <v>18.145153750000002</v>
      </c>
      <c r="BK66" s="29">
        <f t="shared" si="257"/>
        <v>3.6290307499999992</v>
      </c>
      <c r="BL66" s="28">
        <f t="shared" si="258"/>
        <v>254.6929074375</v>
      </c>
      <c r="BM66" s="28">
        <f t="shared" si="259"/>
        <v>386.74010718750003</v>
      </c>
      <c r="BN66" s="28">
        <f t="shared" si="260"/>
        <v>296.33463506250001</v>
      </c>
      <c r="BO66" s="29">
        <f t="shared" si="261"/>
        <v>36.915096250000005</v>
      </c>
      <c r="BP66" s="30">
        <f t="shared" si="262"/>
        <v>7.3830192500000003</v>
      </c>
      <c r="BQ66" s="10">
        <v>54000</v>
      </c>
      <c r="BR66" s="6">
        <v>0</v>
      </c>
      <c r="BS66" t="s">
        <v>128</v>
      </c>
    </row>
    <row r="67" spans="1:71" x14ac:dyDescent="0.25">
      <c r="A67" s="18"/>
      <c r="B67" s="18">
        <v>33</v>
      </c>
      <c r="C67" s="19" t="s">
        <v>73</v>
      </c>
      <c r="D67" s="60">
        <v>6024</v>
      </c>
      <c r="E67" s="47" t="s">
        <v>73</v>
      </c>
      <c r="F67" s="13" t="s">
        <v>207</v>
      </c>
      <c r="G67" s="53">
        <v>4753</v>
      </c>
      <c r="H67" s="53">
        <v>296</v>
      </c>
      <c r="I67" s="50">
        <f t="shared" si="209"/>
        <v>5049</v>
      </c>
      <c r="J67" s="45">
        <v>0.76</v>
      </c>
      <c r="K67" s="65">
        <f t="shared" si="210"/>
        <v>3612.28</v>
      </c>
      <c r="L67" s="66">
        <f t="shared" si="211"/>
        <v>0.24</v>
      </c>
      <c r="M67" s="67">
        <f t="shared" si="212"/>
        <v>1140.7199999999998</v>
      </c>
      <c r="N67" s="43">
        <f t="shared" si="213"/>
        <v>24.981767999999992</v>
      </c>
      <c r="O67" s="92">
        <f t="shared" si="214"/>
        <v>45.799907999999995</v>
      </c>
      <c r="P67" s="72">
        <f t="shared" si="215"/>
        <v>29.145395999999991</v>
      </c>
      <c r="Q67" s="72">
        <f t="shared" si="216"/>
        <v>4.1636279999999992</v>
      </c>
      <c r="R67" s="25">
        <f t="shared" si="217"/>
        <v>0.83272559999999984</v>
      </c>
      <c r="S67" s="72">
        <f t="shared" si="218"/>
        <v>1.7861964119999993</v>
      </c>
      <c r="T67" s="72">
        <f t="shared" si="219"/>
        <v>2.4731950319999996</v>
      </c>
      <c r="U67" s="72">
        <f t="shared" si="220"/>
        <v>2.3357953079999998</v>
      </c>
      <c r="V67" s="72">
        <f t="shared" si="221"/>
        <v>0.34349930999999995</v>
      </c>
      <c r="W67" s="72">
        <f t="shared" si="222"/>
        <v>6.8699861999999987E-2</v>
      </c>
      <c r="X67" s="72">
        <f t="shared" si="223"/>
        <v>2.6105947559999998</v>
      </c>
      <c r="Y67" s="72">
        <f t="shared" si="224"/>
        <v>3.5723928239999987</v>
      </c>
      <c r="Z67" s="72">
        <f t="shared" si="225"/>
        <v>2.4731950319999996</v>
      </c>
      <c r="AA67" s="72">
        <f t="shared" si="226"/>
        <v>0</v>
      </c>
      <c r="AB67" s="72">
        <f t="shared" si="227"/>
        <v>0</v>
      </c>
      <c r="AC67" s="91">
        <f t="shared" si="228"/>
        <v>20.584976831999992</v>
      </c>
      <c r="AD67" s="91">
        <f t="shared" si="229"/>
        <v>39.754320143999998</v>
      </c>
      <c r="AE67" s="91">
        <f t="shared" si="230"/>
        <v>24.33640565999999</v>
      </c>
      <c r="AF67" s="91">
        <f t="shared" si="231"/>
        <v>3.8201286899999993</v>
      </c>
      <c r="AG67" s="91">
        <f t="shared" si="232"/>
        <v>0.76402573799999984</v>
      </c>
      <c r="AH67" s="39">
        <f t="shared" si="233"/>
        <v>85.591331999999994</v>
      </c>
      <c r="AI67" s="77">
        <f t="shared" si="234"/>
        <v>156.91744200000002</v>
      </c>
      <c r="AJ67" s="77">
        <f t="shared" si="235"/>
        <v>99.856554000000017</v>
      </c>
      <c r="AK67" s="77">
        <f t="shared" si="236"/>
        <v>14.265222000000001</v>
      </c>
      <c r="AL67" s="26">
        <f t="shared" si="237"/>
        <v>2.8530444000000004</v>
      </c>
      <c r="AM67" s="27">
        <v>0.9</v>
      </c>
      <c r="AN67" s="27">
        <v>0.75</v>
      </c>
      <c r="AO67" s="27">
        <v>0.9</v>
      </c>
      <c r="AP67" s="27">
        <v>0.1</v>
      </c>
      <c r="AQ67" s="27">
        <v>0.1</v>
      </c>
      <c r="AR67" s="26">
        <f t="shared" si="238"/>
        <v>78.639775570799998</v>
      </c>
      <c r="AS67" s="26">
        <f t="shared" si="239"/>
        <v>119.54297777400002</v>
      </c>
      <c r="AT67" s="26">
        <f t="shared" si="240"/>
        <v>91.973114377200019</v>
      </c>
      <c r="AU67" s="26">
        <f t="shared" si="241"/>
        <v>1.4608721310000004</v>
      </c>
      <c r="AV67" s="26">
        <f t="shared" si="242"/>
        <v>0.29217442620000006</v>
      </c>
      <c r="AW67" s="26">
        <f t="shared" si="243"/>
        <v>8.7377528411999918</v>
      </c>
      <c r="AX67" s="26">
        <f t="shared" si="244"/>
        <v>39.847659258000007</v>
      </c>
      <c r="AY67" s="26">
        <f t="shared" si="245"/>
        <v>10.219234930799999</v>
      </c>
      <c r="AZ67" s="26">
        <f t="shared" si="246"/>
        <v>13.147849179000001</v>
      </c>
      <c r="BA67" s="40">
        <f t="shared" si="247"/>
        <v>2.6295698358000004</v>
      </c>
      <c r="BB67" s="37">
        <f t="shared" si="248"/>
        <v>110.57309999999998</v>
      </c>
      <c r="BC67" s="28">
        <f t="shared" si="249"/>
        <v>202.71735000000001</v>
      </c>
      <c r="BD67" s="28">
        <f t="shared" si="250"/>
        <v>129.00195000000002</v>
      </c>
      <c r="BE67" s="29">
        <f t="shared" si="251"/>
        <v>18.428850000000001</v>
      </c>
      <c r="BF67" s="29">
        <f t="shared" si="252"/>
        <v>3.6857700000000002</v>
      </c>
      <c r="BG67" s="28">
        <f t="shared" si="253"/>
        <v>29.322729673199984</v>
      </c>
      <c r="BH67" s="28">
        <f t="shared" si="254"/>
        <v>79.601979402000012</v>
      </c>
      <c r="BI67" s="28">
        <f t="shared" si="255"/>
        <v>34.555640590799989</v>
      </c>
      <c r="BJ67" s="29">
        <f t="shared" si="256"/>
        <v>16.967977869000002</v>
      </c>
      <c r="BK67" s="29">
        <f t="shared" si="257"/>
        <v>3.3935955738000003</v>
      </c>
      <c r="BL67" s="28">
        <f t="shared" si="258"/>
        <v>81.250370326799995</v>
      </c>
      <c r="BM67" s="28">
        <f t="shared" si="259"/>
        <v>123.11537059800003</v>
      </c>
      <c r="BN67" s="28">
        <f t="shared" si="260"/>
        <v>94.446309409200012</v>
      </c>
      <c r="BO67" s="29">
        <f t="shared" si="261"/>
        <v>1.4608721310000004</v>
      </c>
      <c r="BP67" s="30">
        <f t="shared" si="262"/>
        <v>0.29217442620000006</v>
      </c>
      <c r="BQ67" s="10">
        <f>1185300+92700*0.6</f>
        <v>1240920</v>
      </c>
      <c r="BR67" s="6">
        <v>120000</v>
      </c>
      <c r="BS67" t="s">
        <v>144</v>
      </c>
    </row>
    <row r="68" spans="1:71" x14ac:dyDescent="0.25">
      <c r="A68" s="18"/>
      <c r="B68" s="18">
        <v>40</v>
      </c>
      <c r="C68" s="19" t="s">
        <v>80</v>
      </c>
      <c r="D68" s="60">
        <v>4009</v>
      </c>
      <c r="E68" s="47" t="s">
        <v>183</v>
      </c>
      <c r="F68" s="13" t="s">
        <v>207</v>
      </c>
      <c r="G68" s="53">
        <v>3283</v>
      </c>
      <c r="H68" s="53">
        <v>0</v>
      </c>
      <c r="I68" s="50">
        <f t="shared" si="209"/>
        <v>3283</v>
      </c>
      <c r="J68" s="45">
        <v>0.67</v>
      </c>
      <c r="K68" s="65">
        <f t="shared" si="210"/>
        <v>2199.61</v>
      </c>
      <c r="L68" s="66">
        <f t="shared" si="211"/>
        <v>0.32999999999999996</v>
      </c>
      <c r="M68" s="67">
        <f t="shared" si="212"/>
        <v>1083.3899999999999</v>
      </c>
      <c r="N68" s="43">
        <f t="shared" si="213"/>
        <v>23.726240999999995</v>
      </c>
      <c r="O68" s="92">
        <f t="shared" si="214"/>
        <v>43.498108499999994</v>
      </c>
      <c r="P68" s="72">
        <f t="shared" si="215"/>
        <v>27.680614499999997</v>
      </c>
      <c r="Q68" s="72">
        <f t="shared" si="216"/>
        <v>3.9543734999999991</v>
      </c>
      <c r="R68" s="25">
        <f t="shared" si="217"/>
        <v>0.79087469999999993</v>
      </c>
      <c r="S68" s="72">
        <f t="shared" si="218"/>
        <v>1.6964262314999996</v>
      </c>
      <c r="T68" s="72">
        <f t="shared" si="219"/>
        <v>2.348897859</v>
      </c>
      <c r="U68" s="72">
        <f t="shared" si="220"/>
        <v>2.2184035335000001</v>
      </c>
      <c r="V68" s="72">
        <f t="shared" si="221"/>
        <v>0.32623581374999994</v>
      </c>
      <c r="W68" s="72">
        <f t="shared" si="222"/>
        <v>6.5247162750000004E-2</v>
      </c>
      <c r="X68" s="72">
        <f t="shared" si="223"/>
        <v>2.4793921844999995</v>
      </c>
      <c r="Y68" s="72">
        <f t="shared" si="224"/>
        <v>3.3928524629999992</v>
      </c>
      <c r="Z68" s="72">
        <f t="shared" si="225"/>
        <v>2.348897859</v>
      </c>
      <c r="AA68" s="72">
        <f t="shared" si="226"/>
        <v>0</v>
      </c>
      <c r="AB68" s="72">
        <f t="shared" si="227"/>
        <v>0</v>
      </c>
      <c r="AC68" s="91">
        <f t="shared" si="228"/>
        <v>19.550422583999996</v>
      </c>
      <c r="AD68" s="91">
        <f t="shared" si="229"/>
        <v>37.756358177999999</v>
      </c>
      <c r="AE68" s="91">
        <f t="shared" si="230"/>
        <v>23.113313107499994</v>
      </c>
      <c r="AF68" s="91">
        <f t="shared" si="231"/>
        <v>3.6281376862499992</v>
      </c>
      <c r="AG68" s="91">
        <f t="shared" si="232"/>
        <v>0.72562753724999995</v>
      </c>
      <c r="AH68" s="39">
        <f t="shared" si="233"/>
        <v>48.171458999999999</v>
      </c>
      <c r="AI68" s="77">
        <f t="shared" si="234"/>
        <v>88.314341499999998</v>
      </c>
      <c r="AJ68" s="77">
        <f t="shared" si="235"/>
        <v>56.200035500000006</v>
      </c>
      <c r="AK68" s="77">
        <f t="shared" si="236"/>
        <v>8.0285765000000016</v>
      </c>
      <c r="AL68" s="26">
        <f t="shared" si="237"/>
        <v>1.6057153</v>
      </c>
      <c r="AM68" s="27">
        <v>0.9</v>
      </c>
      <c r="AN68" s="27">
        <v>0.75</v>
      </c>
      <c r="AO68" s="27">
        <v>0.9</v>
      </c>
      <c r="AP68" s="27">
        <v>0.1</v>
      </c>
      <c r="AQ68" s="27">
        <v>0.1</v>
      </c>
      <c r="AR68" s="26">
        <f t="shared" si="238"/>
        <v>44.88109670835</v>
      </c>
      <c r="AS68" s="26">
        <f t="shared" si="239"/>
        <v>67.997429519250005</v>
      </c>
      <c r="AT68" s="26">
        <f t="shared" si="240"/>
        <v>52.576595130150011</v>
      </c>
      <c r="AU68" s="26">
        <f t="shared" si="241"/>
        <v>0.83548123137500019</v>
      </c>
      <c r="AV68" s="26">
        <f t="shared" si="242"/>
        <v>0.167096246275</v>
      </c>
      <c r="AW68" s="26">
        <f t="shared" si="243"/>
        <v>4.9867885231499969</v>
      </c>
      <c r="AX68" s="26">
        <f t="shared" si="244"/>
        <v>22.665809839749997</v>
      </c>
      <c r="AY68" s="26">
        <f t="shared" si="245"/>
        <v>5.8418439033499965</v>
      </c>
      <c r="AZ68" s="26">
        <f t="shared" si="246"/>
        <v>7.5193310823750004</v>
      </c>
      <c r="BA68" s="40">
        <f t="shared" si="247"/>
        <v>1.5038662164749999</v>
      </c>
      <c r="BB68" s="37">
        <f t="shared" si="248"/>
        <v>71.897699999999986</v>
      </c>
      <c r="BC68" s="28">
        <f t="shared" si="249"/>
        <v>131.81244999999998</v>
      </c>
      <c r="BD68" s="28">
        <f t="shared" si="250"/>
        <v>83.880650000000003</v>
      </c>
      <c r="BE68" s="29">
        <f t="shared" si="251"/>
        <v>11.982950000000001</v>
      </c>
      <c r="BF68" s="29">
        <f t="shared" si="252"/>
        <v>2.3965899999999998</v>
      </c>
      <c r="BG68" s="28">
        <f t="shared" si="253"/>
        <v>24.537211107149993</v>
      </c>
      <c r="BH68" s="28">
        <f t="shared" si="254"/>
        <v>60.422168017749996</v>
      </c>
      <c r="BI68" s="28">
        <f t="shared" si="255"/>
        <v>28.955157010849991</v>
      </c>
      <c r="BJ68" s="29">
        <f t="shared" si="256"/>
        <v>11.147468768625</v>
      </c>
      <c r="BK68" s="29">
        <f t="shared" si="257"/>
        <v>2.2294937537249999</v>
      </c>
      <c r="BL68" s="28">
        <f t="shared" si="258"/>
        <v>47.36048889285</v>
      </c>
      <c r="BM68" s="28">
        <f t="shared" si="259"/>
        <v>71.390281982250002</v>
      </c>
      <c r="BN68" s="28">
        <f t="shared" si="260"/>
        <v>54.925492989150008</v>
      </c>
      <c r="BO68" s="29">
        <f t="shared" si="261"/>
        <v>0.83548123137500019</v>
      </c>
      <c r="BP68" s="30">
        <f t="shared" si="262"/>
        <v>0.167096246275</v>
      </c>
      <c r="BQ68" s="10">
        <v>872050</v>
      </c>
      <c r="BR68" s="6">
        <v>0</v>
      </c>
      <c r="BS68" t="s">
        <v>128</v>
      </c>
    </row>
    <row r="69" spans="1:71" ht="30" x14ac:dyDescent="0.25">
      <c r="A69" s="18"/>
      <c r="B69" s="18">
        <v>45</v>
      </c>
      <c r="C69" s="19" t="s">
        <v>85</v>
      </c>
      <c r="D69" s="60">
        <v>3616</v>
      </c>
      <c r="E69" s="57" t="s">
        <v>147</v>
      </c>
      <c r="F69" s="14" t="s">
        <v>207</v>
      </c>
      <c r="G69" s="53">
        <v>4200</v>
      </c>
      <c r="H69" s="53">
        <v>3562</v>
      </c>
      <c r="I69" s="50">
        <f t="shared" si="209"/>
        <v>7762</v>
      </c>
      <c r="J69" s="45">
        <v>0.6</v>
      </c>
      <c r="K69" s="65">
        <f t="shared" si="210"/>
        <v>2520</v>
      </c>
      <c r="L69" s="66">
        <f t="shared" si="211"/>
        <v>0.4</v>
      </c>
      <c r="M69" s="67">
        <f t="shared" si="212"/>
        <v>1680</v>
      </c>
      <c r="N69" s="43">
        <f t="shared" si="213"/>
        <v>36.792000000000002</v>
      </c>
      <c r="O69" s="92">
        <f t="shared" si="214"/>
        <v>67.451999999999998</v>
      </c>
      <c r="P69" s="72">
        <f t="shared" si="215"/>
        <v>42.923999999999999</v>
      </c>
      <c r="Q69" s="72">
        <f t="shared" si="216"/>
        <v>6.1319999999999997</v>
      </c>
      <c r="R69" s="25">
        <f t="shared" si="217"/>
        <v>1.2263999999999999</v>
      </c>
      <c r="S69" s="72">
        <f t="shared" si="218"/>
        <v>2.6306280000000002</v>
      </c>
      <c r="T69" s="72">
        <f t="shared" si="219"/>
        <v>3.6424080000000001</v>
      </c>
      <c r="U69" s="72">
        <f t="shared" si="220"/>
        <v>3.4400520000000001</v>
      </c>
      <c r="V69" s="72">
        <f t="shared" si="221"/>
        <v>0.50588999999999995</v>
      </c>
      <c r="W69" s="72">
        <f t="shared" si="222"/>
        <v>0.101178</v>
      </c>
      <c r="X69" s="72">
        <f t="shared" si="223"/>
        <v>3.8447640000000001</v>
      </c>
      <c r="Y69" s="72">
        <f t="shared" si="224"/>
        <v>5.2612560000000004</v>
      </c>
      <c r="Z69" s="72">
        <f t="shared" si="225"/>
        <v>3.6424080000000001</v>
      </c>
      <c r="AA69" s="72">
        <f t="shared" si="226"/>
        <v>0</v>
      </c>
      <c r="AB69" s="72">
        <f t="shared" si="227"/>
        <v>0</v>
      </c>
      <c r="AC69" s="91">
        <f t="shared" si="228"/>
        <v>30.316607999999999</v>
      </c>
      <c r="AD69" s="91">
        <f t="shared" si="229"/>
        <v>58.548335999999992</v>
      </c>
      <c r="AE69" s="91">
        <f t="shared" si="230"/>
        <v>35.841539999999995</v>
      </c>
      <c r="AF69" s="91">
        <f t="shared" si="231"/>
        <v>5.6261099999999997</v>
      </c>
      <c r="AG69" s="91">
        <f t="shared" si="232"/>
        <v>1.1252219999999999</v>
      </c>
      <c r="AH69" s="39">
        <f t="shared" si="233"/>
        <v>133.19579999999999</v>
      </c>
      <c r="AI69" s="77">
        <f t="shared" si="234"/>
        <v>244.19229999999999</v>
      </c>
      <c r="AJ69" s="77">
        <f t="shared" si="235"/>
        <v>155.39510000000001</v>
      </c>
      <c r="AK69" s="77">
        <f t="shared" si="236"/>
        <v>22.199300000000001</v>
      </c>
      <c r="AL69" s="26">
        <f t="shared" si="237"/>
        <v>4.4398600000000004</v>
      </c>
      <c r="AM69" s="27">
        <v>0.9</v>
      </c>
      <c r="AN69" s="27">
        <v>0.75</v>
      </c>
      <c r="AO69" s="27">
        <v>0.9</v>
      </c>
      <c r="AP69" s="27">
        <v>0.1</v>
      </c>
      <c r="AQ69" s="27">
        <v>0.1</v>
      </c>
      <c r="AR69" s="26">
        <f t="shared" si="238"/>
        <v>122.24378519999999</v>
      </c>
      <c r="AS69" s="26">
        <f t="shared" si="239"/>
        <v>185.87603099999998</v>
      </c>
      <c r="AT69" s="26">
        <f t="shared" si="240"/>
        <v>142.95163680000002</v>
      </c>
      <c r="AU69" s="26">
        <f t="shared" si="241"/>
        <v>2.2705190000000002</v>
      </c>
      <c r="AV69" s="26">
        <f t="shared" si="242"/>
        <v>0.45410380000000006</v>
      </c>
      <c r="AW69" s="26">
        <f t="shared" si="243"/>
        <v>13.582642800000002</v>
      </c>
      <c r="AX69" s="26">
        <f t="shared" si="244"/>
        <v>61.958676999999994</v>
      </c>
      <c r="AY69" s="26">
        <f t="shared" si="245"/>
        <v>15.883515200000005</v>
      </c>
      <c r="AZ69" s="26">
        <f t="shared" si="246"/>
        <v>20.434671000000002</v>
      </c>
      <c r="BA69" s="40">
        <f t="shared" si="247"/>
        <v>4.0869342</v>
      </c>
      <c r="BB69" s="37">
        <f t="shared" si="248"/>
        <v>169.98779999999999</v>
      </c>
      <c r="BC69" s="28">
        <f t="shared" si="249"/>
        <v>311.64429999999999</v>
      </c>
      <c r="BD69" s="28">
        <f t="shared" si="250"/>
        <v>198.31910000000002</v>
      </c>
      <c r="BE69" s="29">
        <f t="shared" si="251"/>
        <v>28.331299999999999</v>
      </c>
      <c r="BF69" s="29">
        <f t="shared" si="252"/>
        <v>5.6662600000000003</v>
      </c>
      <c r="BG69" s="28">
        <f t="shared" si="253"/>
        <v>43.899250800000004</v>
      </c>
      <c r="BH69" s="28">
        <f t="shared" si="254"/>
        <v>120.50701299999999</v>
      </c>
      <c r="BI69" s="28">
        <f t="shared" si="255"/>
        <v>51.7250552</v>
      </c>
      <c r="BJ69" s="29">
        <f t="shared" si="256"/>
        <v>26.060781000000002</v>
      </c>
      <c r="BK69" s="29">
        <f t="shared" si="257"/>
        <v>5.2121561999999999</v>
      </c>
      <c r="BL69" s="28">
        <f t="shared" si="258"/>
        <v>126.08854919999999</v>
      </c>
      <c r="BM69" s="28">
        <f t="shared" si="259"/>
        <v>191.13728699999999</v>
      </c>
      <c r="BN69" s="28">
        <f t="shared" si="260"/>
        <v>146.59404480000001</v>
      </c>
      <c r="BO69" s="29">
        <f t="shared" si="261"/>
        <v>2.2705190000000002</v>
      </c>
      <c r="BP69" s="30">
        <f t="shared" si="262"/>
        <v>0.45410380000000006</v>
      </c>
      <c r="BQ69" s="10">
        <v>0</v>
      </c>
      <c r="BR69" s="6">
        <v>210000</v>
      </c>
      <c r="BS69" t="s">
        <v>128</v>
      </c>
    </row>
    <row r="70" spans="1:71" x14ac:dyDescent="0.25">
      <c r="A70" s="18"/>
      <c r="B70" s="18">
        <v>48</v>
      </c>
      <c r="C70" s="19" t="s">
        <v>89</v>
      </c>
      <c r="D70" s="60">
        <v>3201</v>
      </c>
      <c r="E70" s="47" t="s">
        <v>179</v>
      </c>
      <c r="F70" s="13" t="s">
        <v>207</v>
      </c>
      <c r="G70" s="53">
        <v>2959</v>
      </c>
      <c r="H70" s="54">
        <v>0</v>
      </c>
      <c r="I70" s="50">
        <f t="shared" si="209"/>
        <v>2959</v>
      </c>
      <c r="J70" s="45">
        <v>0.81</v>
      </c>
      <c r="K70" s="65">
        <f t="shared" si="210"/>
        <v>2396.79</v>
      </c>
      <c r="L70" s="66">
        <f t="shared" si="211"/>
        <v>0.18999999999999995</v>
      </c>
      <c r="M70" s="67">
        <f t="shared" si="212"/>
        <v>562.21</v>
      </c>
      <c r="N70" s="43">
        <f t="shared" si="213"/>
        <v>12.312399000000001</v>
      </c>
      <c r="O70" s="92">
        <f t="shared" si="214"/>
        <v>22.572731500000003</v>
      </c>
      <c r="P70" s="72">
        <f t="shared" si="215"/>
        <v>14.364465500000001</v>
      </c>
      <c r="Q70" s="72">
        <f t="shared" si="216"/>
        <v>2.0520665</v>
      </c>
      <c r="R70" s="25">
        <f t="shared" si="217"/>
        <v>0.41041330000000004</v>
      </c>
      <c r="S70" s="72">
        <f t="shared" si="218"/>
        <v>0.8803365285000001</v>
      </c>
      <c r="T70" s="72">
        <f t="shared" si="219"/>
        <v>1.2189275010000002</v>
      </c>
      <c r="U70" s="72">
        <f t="shared" si="220"/>
        <v>1.1512093065</v>
      </c>
      <c r="V70" s="72">
        <f t="shared" si="221"/>
        <v>0.16929548625000002</v>
      </c>
      <c r="W70" s="72">
        <f t="shared" si="222"/>
        <v>3.3859097250000005E-2</v>
      </c>
      <c r="X70" s="72">
        <f t="shared" si="223"/>
        <v>1.2866456955000003</v>
      </c>
      <c r="Y70" s="72">
        <f t="shared" si="224"/>
        <v>1.7606730570000002</v>
      </c>
      <c r="Z70" s="72">
        <f t="shared" si="225"/>
        <v>1.2189275010000002</v>
      </c>
      <c r="AA70" s="72">
        <f t="shared" si="226"/>
        <v>0</v>
      </c>
      <c r="AB70" s="72">
        <f t="shared" si="227"/>
        <v>0</v>
      </c>
      <c r="AC70" s="91">
        <f t="shared" si="228"/>
        <v>10.145416775999999</v>
      </c>
      <c r="AD70" s="91">
        <f t="shared" si="229"/>
        <v>19.593130942000002</v>
      </c>
      <c r="AE70" s="91">
        <f t="shared" si="230"/>
        <v>11.994328692500002</v>
      </c>
      <c r="AF70" s="91">
        <f t="shared" si="231"/>
        <v>1.88277101375</v>
      </c>
      <c r="AG70" s="91">
        <f t="shared" si="232"/>
        <v>0.37655420275000001</v>
      </c>
      <c r="AH70" s="39">
        <f t="shared" si="233"/>
        <v>52.489700999999997</v>
      </c>
      <c r="AI70" s="77">
        <f t="shared" si="234"/>
        <v>96.231118500000008</v>
      </c>
      <c r="AJ70" s="77">
        <f t="shared" si="235"/>
        <v>61.237984499999996</v>
      </c>
      <c r="AK70" s="77">
        <f t="shared" si="236"/>
        <v>8.7482834999999994</v>
      </c>
      <c r="AL70" s="26">
        <f t="shared" si="237"/>
        <v>1.7496566999999998</v>
      </c>
      <c r="AM70" s="27">
        <v>0.9</v>
      </c>
      <c r="AN70" s="27">
        <v>0.75</v>
      </c>
      <c r="AO70" s="27">
        <v>0.9</v>
      </c>
      <c r="AP70" s="27">
        <v>0.1</v>
      </c>
      <c r="AQ70" s="27">
        <v>0.1</v>
      </c>
      <c r="AR70" s="26">
        <f t="shared" si="238"/>
        <v>48.033033775649997</v>
      </c>
      <c r="AS70" s="26">
        <f t="shared" si="239"/>
        <v>73.087534500749996</v>
      </c>
      <c r="AT70" s="26">
        <f t="shared" si="240"/>
        <v>56.15027442585</v>
      </c>
      <c r="AU70" s="26">
        <f t="shared" si="241"/>
        <v>0.89175789862499999</v>
      </c>
      <c r="AV70" s="26">
        <f t="shared" si="242"/>
        <v>0.17835157972499999</v>
      </c>
      <c r="AW70" s="26">
        <f t="shared" si="243"/>
        <v>5.3370037528500021</v>
      </c>
      <c r="AX70" s="26">
        <f t="shared" si="244"/>
        <v>24.362511500250008</v>
      </c>
      <c r="AY70" s="26">
        <f t="shared" si="245"/>
        <v>6.2389193806499961</v>
      </c>
      <c r="AZ70" s="26">
        <f t="shared" si="246"/>
        <v>8.0258210876249994</v>
      </c>
      <c r="BA70" s="40">
        <f t="shared" si="247"/>
        <v>1.6051642175249998</v>
      </c>
      <c r="BB70" s="37">
        <f t="shared" si="248"/>
        <v>64.802099999999996</v>
      </c>
      <c r="BC70" s="28">
        <f t="shared" si="249"/>
        <v>118.80385000000001</v>
      </c>
      <c r="BD70" s="28">
        <f t="shared" si="250"/>
        <v>75.602450000000005</v>
      </c>
      <c r="BE70" s="29">
        <f t="shared" si="251"/>
        <v>10.80035</v>
      </c>
      <c r="BF70" s="29">
        <f t="shared" si="252"/>
        <v>2.1600699999999997</v>
      </c>
      <c r="BG70" s="28">
        <f t="shared" si="253"/>
        <v>15.482420528850001</v>
      </c>
      <c r="BH70" s="28">
        <f t="shared" si="254"/>
        <v>43.95564244225001</v>
      </c>
      <c r="BI70" s="28">
        <f t="shared" si="255"/>
        <v>18.233248073149998</v>
      </c>
      <c r="BJ70" s="29">
        <f t="shared" si="256"/>
        <v>9.9085921013749996</v>
      </c>
      <c r="BK70" s="29">
        <f t="shared" si="257"/>
        <v>1.9817184202749998</v>
      </c>
      <c r="BL70" s="28">
        <f t="shared" si="258"/>
        <v>49.319679471149996</v>
      </c>
      <c r="BM70" s="28">
        <f t="shared" si="259"/>
        <v>74.848207557750001</v>
      </c>
      <c r="BN70" s="28">
        <f t="shared" si="260"/>
        <v>57.369201926850003</v>
      </c>
      <c r="BO70" s="29">
        <f t="shared" si="261"/>
        <v>0.89175789862499999</v>
      </c>
      <c r="BP70" s="30">
        <f t="shared" si="262"/>
        <v>0.17835157972499999</v>
      </c>
      <c r="BQ70" s="10">
        <v>0</v>
      </c>
      <c r="BR70" s="6">
        <v>0</v>
      </c>
      <c r="BS70" t="s">
        <v>132</v>
      </c>
    </row>
    <row r="71" spans="1:71" ht="30" x14ac:dyDescent="0.25">
      <c r="A71" s="18"/>
      <c r="B71" s="18">
        <v>58</v>
      </c>
      <c r="C71" s="19" t="s">
        <v>15</v>
      </c>
      <c r="D71" s="60">
        <v>2617</v>
      </c>
      <c r="E71" s="57" t="s">
        <v>156</v>
      </c>
      <c r="F71" s="14" t="s">
        <v>207</v>
      </c>
      <c r="G71" s="53">
        <v>2483</v>
      </c>
      <c r="H71" s="53">
        <v>1457</v>
      </c>
      <c r="I71" s="50">
        <f t="shared" si="209"/>
        <v>3940</v>
      </c>
      <c r="J71" s="45">
        <v>0.65</v>
      </c>
      <c r="K71" s="65">
        <f t="shared" si="210"/>
        <v>1613.95</v>
      </c>
      <c r="L71" s="66">
        <f t="shared" si="211"/>
        <v>0.35</v>
      </c>
      <c r="M71" s="67">
        <f t="shared" si="212"/>
        <v>869.05</v>
      </c>
      <c r="N71" s="43">
        <f t="shared" si="213"/>
        <v>19.032195000000002</v>
      </c>
      <c r="O71" s="92">
        <f t="shared" si="214"/>
        <v>34.892357500000003</v>
      </c>
      <c r="P71" s="72">
        <f t="shared" si="215"/>
        <v>22.204227499999998</v>
      </c>
      <c r="Q71" s="72">
        <f t="shared" si="216"/>
        <v>3.1720324999999998</v>
      </c>
      <c r="R71" s="25">
        <f t="shared" si="217"/>
        <v>0.63440649999999998</v>
      </c>
      <c r="S71" s="72">
        <f t="shared" si="218"/>
        <v>1.3608019425</v>
      </c>
      <c r="T71" s="72">
        <f t="shared" si="219"/>
        <v>1.884187305</v>
      </c>
      <c r="U71" s="72">
        <f t="shared" si="220"/>
        <v>1.7795102324999998</v>
      </c>
      <c r="V71" s="72">
        <f t="shared" si="221"/>
        <v>0.26169268125</v>
      </c>
      <c r="W71" s="72">
        <f t="shared" si="222"/>
        <v>5.2338536249999998E-2</v>
      </c>
      <c r="X71" s="72">
        <f t="shared" si="223"/>
        <v>1.9888643775000001</v>
      </c>
      <c r="Y71" s="72">
        <f t="shared" si="224"/>
        <v>2.7216038849999999</v>
      </c>
      <c r="Z71" s="72">
        <f t="shared" si="225"/>
        <v>1.884187305</v>
      </c>
      <c r="AA71" s="72">
        <f t="shared" si="226"/>
        <v>0</v>
      </c>
      <c r="AB71" s="72">
        <f t="shared" si="227"/>
        <v>0</v>
      </c>
      <c r="AC71" s="91">
        <f t="shared" si="228"/>
        <v>15.682528680000001</v>
      </c>
      <c r="AD71" s="91">
        <f t="shared" si="229"/>
        <v>30.286566310000005</v>
      </c>
      <c r="AE71" s="91">
        <f t="shared" si="230"/>
        <v>18.540529962499999</v>
      </c>
      <c r="AF71" s="91">
        <f t="shared" si="231"/>
        <v>2.9103398187499998</v>
      </c>
      <c r="AG71" s="91">
        <f t="shared" si="232"/>
        <v>0.58206796375000003</v>
      </c>
      <c r="AH71" s="39">
        <f t="shared" si="233"/>
        <v>67.253805</v>
      </c>
      <c r="AI71" s="77">
        <f t="shared" si="234"/>
        <v>123.2986425</v>
      </c>
      <c r="AJ71" s="77">
        <f t="shared" si="235"/>
        <v>78.4627725</v>
      </c>
      <c r="AK71" s="77">
        <f t="shared" si="236"/>
        <v>11.2089675</v>
      </c>
      <c r="AL71" s="26">
        <f t="shared" si="237"/>
        <v>2.2417935</v>
      </c>
      <c r="AM71" s="27">
        <v>0.9</v>
      </c>
      <c r="AN71" s="27">
        <v>0.75</v>
      </c>
      <c r="AO71" s="27">
        <v>0.9</v>
      </c>
      <c r="AP71" s="27">
        <v>0.1</v>
      </c>
      <c r="AQ71" s="27">
        <v>0.1</v>
      </c>
      <c r="AR71" s="26">
        <f t="shared" si="238"/>
        <v>61.753146248250005</v>
      </c>
      <c r="AS71" s="26">
        <f t="shared" si="239"/>
        <v>93.887122353750001</v>
      </c>
      <c r="AT71" s="26">
        <f t="shared" si="240"/>
        <v>72.218054459249998</v>
      </c>
      <c r="AU71" s="26">
        <f t="shared" si="241"/>
        <v>1.1470660181250001</v>
      </c>
      <c r="AV71" s="26">
        <f t="shared" si="242"/>
        <v>0.22941320362500003</v>
      </c>
      <c r="AW71" s="26">
        <f t="shared" si="243"/>
        <v>6.8614606942499989</v>
      </c>
      <c r="AX71" s="26">
        <f t="shared" si="244"/>
        <v>31.295707451249996</v>
      </c>
      <c r="AY71" s="26">
        <f t="shared" si="245"/>
        <v>8.024228273250003</v>
      </c>
      <c r="AZ71" s="26">
        <f t="shared" si="246"/>
        <v>10.323594163125</v>
      </c>
      <c r="BA71" s="40">
        <f t="shared" si="247"/>
        <v>2.0647188326250001</v>
      </c>
      <c r="BB71" s="37">
        <f t="shared" si="248"/>
        <v>86.286000000000001</v>
      </c>
      <c r="BC71" s="28">
        <f t="shared" si="249"/>
        <v>158.191</v>
      </c>
      <c r="BD71" s="28">
        <f t="shared" si="250"/>
        <v>100.667</v>
      </c>
      <c r="BE71" s="29">
        <f t="shared" si="251"/>
        <v>14.381</v>
      </c>
      <c r="BF71" s="29">
        <f t="shared" si="252"/>
        <v>2.8761999999999999</v>
      </c>
      <c r="BG71" s="28">
        <f t="shared" si="253"/>
        <v>22.54398937425</v>
      </c>
      <c r="BH71" s="28">
        <f t="shared" si="254"/>
        <v>61.582273761250001</v>
      </c>
      <c r="BI71" s="28">
        <f t="shared" si="255"/>
        <v>26.564758235750002</v>
      </c>
      <c r="BJ71" s="29">
        <f t="shared" si="256"/>
        <v>13.233933981874999</v>
      </c>
      <c r="BK71" s="29">
        <f t="shared" si="257"/>
        <v>2.6467867963750003</v>
      </c>
      <c r="BL71" s="28">
        <f t="shared" si="258"/>
        <v>63.742010625750005</v>
      </c>
      <c r="BM71" s="28">
        <f t="shared" si="259"/>
        <v>96.608726238749995</v>
      </c>
      <c r="BN71" s="28">
        <f t="shared" si="260"/>
        <v>74.102241764249996</v>
      </c>
      <c r="BO71" s="29">
        <f t="shared" si="261"/>
        <v>1.1470660181250001</v>
      </c>
      <c r="BP71" s="30">
        <f t="shared" si="262"/>
        <v>0.22941320362500003</v>
      </c>
      <c r="BQ71" s="10">
        <v>361800</v>
      </c>
      <c r="BR71" s="6">
        <v>186000</v>
      </c>
      <c r="BS71" t="s">
        <v>128</v>
      </c>
    </row>
    <row r="72" spans="1:71" x14ac:dyDescent="0.25">
      <c r="A72" s="18"/>
      <c r="B72" s="18">
        <v>69</v>
      </c>
      <c r="C72" s="19" t="s">
        <v>104</v>
      </c>
      <c r="D72" s="60">
        <v>2124</v>
      </c>
      <c r="E72" s="47" t="s">
        <v>161</v>
      </c>
      <c r="F72" s="13" t="s">
        <v>207</v>
      </c>
      <c r="G72" s="53">
        <v>2200</v>
      </c>
      <c r="H72" s="54">
        <v>0</v>
      </c>
      <c r="I72" s="50">
        <f t="shared" si="209"/>
        <v>2200</v>
      </c>
      <c r="J72" s="45">
        <v>0.5</v>
      </c>
      <c r="K72" s="65">
        <f t="shared" si="210"/>
        <v>1100</v>
      </c>
      <c r="L72" s="66">
        <f t="shared" si="211"/>
        <v>0.5</v>
      </c>
      <c r="M72" s="67">
        <f t="shared" si="212"/>
        <v>1100</v>
      </c>
      <c r="N72" s="43">
        <f t="shared" si="213"/>
        <v>24.09</v>
      </c>
      <c r="O72" s="92">
        <f t="shared" si="214"/>
        <v>44.164999999999999</v>
      </c>
      <c r="P72" s="72">
        <f t="shared" si="215"/>
        <v>28.105</v>
      </c>
      <c r="Q72" s="72">
        <f t="shared" si="216"/>
        <v>4.0149999999999997</v>
      </c>
      <c r="R72" s="25">
        <f t="shared" si="217"/>
        <v>0.80300000000000005</v>
      </c>
      <c r="S72" s="72">
        <f t="shared" si="218"/>
        <v>1.7224350000000002</v>
      </c>
      <c r="T72" s="72">
        <f t="shared" si="219"/>
        <v>2.3849100000000001</v>
      </c>
      <c r="U72" s="72">
        <f t="shared" si="220"/>
        <v>2.2524150000000001</v>
      </c>
      <c r="V72" s="72">
        <f t="shared" si="221"/>
        <v>0.33123749999999996</v>
      </c>
      <c r="W72" s="72">
        <f t="shared" si="222"/>
        <v>6.6247500000000001E-2</v>
      </c>
      <c r="X72" s="72">
        <f t="shared" si="223"/>
        <v>2.5174050000000001</v>
      </c>
      <c r="Y72" s="72">
        <f t="shared" si="224"/>
        <v>3.4448700000000003</v>
      </c>
      <c r="Z72" s="72">
        <f t="shared" si="225"/>
        <v>2.3849100000000001</v>
      </c>
      <c r="AA72" s="72">
        <f t="shared" si="226"/>
        <v>0</v>
      </c>
      <c r="AB72" s="72">
        <f t="shared" si="227"/>
        <v>0</v>
      </c>
      <c r="AC72" s="91">
        <f t="shared" si="228"/>
        <v>19.850159999999999</v>
      </c>
      <c r="AD72" s="91">
        <f t="shared" si="229"/>
        <v>38.33522</v>
      </c>
      <c r="AE72" s="91">
        <f t="shared" si="230"/>
        <v>23.467675</v>
      </c>
      <c r="AF72" s="91">
        <f t="shared" si="231"/>
        <v>3.6837624999999998</v>
      </c>
      <c r="AG72" s="91">
        <f t="shared" si="232"/>
        <v>0.73675250000000003</v>
      </c>
      <c r="AH72" s="39">
        <f t="shared" si="233"/>
        <v>24.09</v>
      </c>
      <c r="AI72" s="77">
        <f t="shared" si="234"/>
        <v>44.164999999999999</v>
      </c>
      <c r="AJ72" s="77">
        <f t="shared" si="235"/>
        <v>28.105</v>
      </c>
      <c r="AK72" s="77">
        <f t="shared" si="236"/>
        <v>4.0149999999999997</v>
      </c>
      <c r="AL72" s="26">
        <f t="shared" si="237"/>
        <v>0.80300000000000005</v>
      </c>
      <c r="AM72" s="27">
        <v>0.9</v>
      </c>
      <c r="AN72" s="27">
        <v>0.75</v>
      </c>
      <c r="AO72" s="27">
        <v>0.9</v>
      </c>
      <c r="AP72" s="27">
        <v>0.1</v>
      </c>
      <c r="AQ72" s="27">
        <v>0.1</v>
      </c>
      <c r="AR72" s="26">
        <f t="shared" si="238"/>
        <v>23.231191500000001</v>
      </c>
      <c r="AS72" s="26">
        <f t="shared" si="239"/>
        <v>34.912432499999994</v>
      </c>
      <c r="AT72" s="26">
        <f t="shared" si="240"/>
        <v>27.321673499999999</v>
      </c>
      <c r="AU72" s="26">
        <f t="shared" si="241"/>
        <v>0.43462375000000003</v>
      </c>
      <c r="AV72" s="26">
        <f t="shared" si="242"/>
        <v>8.6924750000000009E-2</v>
      </c>
      <c r="AW72" s="26">
        <f t="shared" si="243"/>
        <v>2.5812434999999994</v>
      </c>
      <c r="AX72" s="26">
        <f t="shared" si="244"/>
        <v>11.637477500000003</v>
      </c>
      <c r="AY72" s="26">
        <f t="shared" si="245"/>
        <v>3.0357415000000003</v>
      </c>
      <c r="AZ72" s="26">
        <f t="shared" si="246"/>
        <v>3.9116137499999999</v>
      </c>
      <c r="BA72" s="40">
        <f t="shared" si="247"/>
        <v>0.78232275000000007</v>
      </c>
      <c r="BB72" s="37">
        <f t="shared" si="248"/>
        <v>48.18</v>
      </c>
      <c r="BC72" s="28">
        <f t="shared" si="249"/>
        <v>88.33</v>
      </c>
      <c r="BD72" s="28">
        <f t="shared" si="250"/>
        <v>56.21</v>
      </c>
      <c r="BE72" s="29">
        <f t="shared" si="251"/>
        <v>8.0299999999999994</v>
      </c>
      <c r="BF72" s="29">
        <f t="shared" si="252"/>
        <v>1.6060000000000001</v>
      </c>
      <c r="BG72" s="28">
        <f t="shared" si="253"/>
        <v>22.431403499999998</v>
      </c>
      <c r="BH72" s="28">
        <f t="shared" si="254"/>
        <v>49.972697500000002</v>
      </c>
      <c r="BI72" s="28">
        <f t="shared" si="255"/>
        <v>26.5034165</v>
      </c>
      <c r="BJ72" s="29">
        <f t="shared" si="256"/>
        <v>7.5953762499999993</v>
      </c>
      <c r="BK72" s="29">
        <f t="shared" si="257"/>
        <v>1.5190752500000002</v>
      </c>
      <c r="BL72" s="28">
        <f t="shared" si="258"/>
        <v>25.748596500000001</v>
      </c>
      <c r="BM72" s="28">
        <f t="shared" si="259"/>
        <v>38.357302499999996</v>
      </c>
      <c r="BN72" s="28">
        <f t="shared" si="260"/>
        <v>29.706583500000001</v>
      </c>
      <c r="BO72" s="29">
        <f t="shared" si="261"/>
        <v>0.43462375000000003</v>
      </c>
      <c r="BP72" s="30">
        <f t="shared" si="262"/>
        <v>8.6924750000000009E-2</v>
      </c>
      <c r="BQ72" s="10">
        <v>1301163</v>
      </c>
      <c r="BR72" s="6">
        <v>553173</v>
      </c>
      <c r="BS72" t="s">
        <v>128</v>
      </c>
    </row>
    <row r="73" spans="1:71" x14ac:dyDescent="0.25">
      <c r="A73" s="18"/>
      <c r="B73" s="18">
        <v>72</v>
      </c>
      <c r="C73" s="19" t="s">
        <v>111</v>
      </c>
      <c r="D73" s="60">
        <v>2059</v>
      </c>
      <c r="E73" s="47" t="s">
        <v>4</v>
      </c>
      <c r="F73" s="13" t="s">
        <v>207</v>
      </c>
      <c r="G73" s="53">
        <v>2161</v>
      </c>
      <c r="H73" s="54">
        <v>0</v>
      </c>
      <c r="I73" s="50">
        <f t="shared" si="209"/>
        <v>2161</v>
      </c>
      <c r="J73" s="45">
        <v>0.98</v>
      </c>
      <c r="K73" s="65">
        <f t="shared" si="210"/>
        <v>2117.7800000000002</v>
      </c>
      <c r="L73" s="66">
        <f t="shared" si="211"/>
        <v>2.0000000000000018E-2</v>
      </c>
      <c r="M73" s="67">
        <f t="shared" si="212"/>
        <v>43.2199999999998</v>
      </c>
      <c r="N73" s="43">
        <f t="shared" si="213"/>
        <v>0.94651799999999553</v>
      </c>
      <c r="O73" s="92">
        <f t="shared" si="214"/>
        <v>1.7352829999999919</v>
      </c>
      <c r="P73" s="72">
        <f t="shared" si="215"/>
        <v>1.1042709999999949</v>
      </c>
      <c r="Q73" s="72">
        <f t="shared" si="216"/>
        <v>0.15775299999999928</v>
      </c>
      <c r="R73" s="25">
        <f t="shared" si="217"/>
        <v>3.1550599999999852E-2</v>
      </c>
      <c r="S73" s="72">
        <f t="shared" si="218"/>
        <v>6.7676036999999689E-2</v>
      </c>
      <c r="T73" s="72">
        <f t="shared" si="219"/>
        <v>9.3705281999999571E-2</v>
      </c>
      <c r="U73" s="72">
        <f t="shared" si="220"/>
        <v>8.84994329999996E-2</v>
      </c>
      <c r="V73" s="72">
        <f t="shared" si="221"/>
        <v>1.3014622499999941E-2</v>
      </c>
      <c r="W73" s="72">
        <f t="shared" si="222"/>
        <v>2.602924499999988E-3</v>
      </c>
      <c r="X73" s="72">
        <f t="shared" si="223"/>
        <v>9.8911130999999555E-2</v>
      </c>
      <c r="Y73" s="72">
        <f t="shared" si="224"/>
        <v>0.13535207399999938</v>
      </c>
      <c r="Z73" s="72">
        <f t="shared" si="225"/>
        <v>9.3705281999999571E-2</v>
      </c>
      <c r="AA73" s="72">
        <f t="shared" si="226"/>
        <v>0</v>
      </c>
      <c r="AB73" s="72">
        <f t="shared" si="227"/>
        <v>0</v>
      </c>
      <c r="AC73" s="91">
        <f t="shared" si="228"/>
        <v>0.77993083199999624</v>
      </c>
      <c r="AD73" s="91">
        <f t="shared" si="229"/>
        <v>1.506225643999993</v>
      </c>
      <c r="AE73" s="91">
        <f t="shared" si="230"/>
        <v>0.92206628499999577</v>
      </c>
      <c r="AF73" s="91">
        <f t="shared" si="231"/>
        <v>0.14473837749999935</v>
      </c>
      <c r="AG73" s="91">
        <f t="shared" si="232"/>
        <v>2.8947675499999864E-2</v>
      </c>
      <c r="AH73" s="39">
        <f t="shared" si="233"/>
        <v>46.379382000000007</v>
      </c>
      <c r="AI73" s="77">
        <f t="shared" si="234"/>
        <v>85.028867000000005</v>
      </c>
      <c r="AJ73" s="77">
        <f t="shared" si="235"/>
        <v>54.109279000000001</v>
      </c>
      <c r="AK73" s="77">
        <f t="shared" si="236"/>
        <v>7.7298970000000011</v>
      </c>
      <c r="AL73" s="26">
        <f t="shared" si="237"/>
        <v>1.5459794000000002</v>
      </c>
      <c r="AM73" s="27">
        <v>0.9</v>
      </c>
      <c r="AN73" s="27">
        <v>0.75</v>
      </c>
      <c r="AO73" s="27">
        <v>0.9</v>
      </c>
      <c r="AP73" s="27">
        <v>0.1</v>
      </c>
      <c r="AQ73" s="27">
        <v>0.1</v>
      </c>
      <c r="AR73" s="26">
        <f t="shared" si="238"/>
        <v>41.802352233300006</v>
      </c>
      <c r="AS73" s="26">
        <f t="shared" si="239"/>
        <v>63.841929211500002</v>
      </c>
      <c r="AT73" s="26">
        <f t="shared" si="240"/>
        <v>48.778000589700007</v>
      </c>
      <c r="AU73" s="26">
        <f t="shared" si="241"/>
        <v>0.77429116225000016</v>
      </c>
      <c r="AV73" s="26">
        <f t="shared" si="242"/>
        <v>0.15485823245000002</v>
      </c>
      <c r="AW73" s="26">
        <f t="shared" si="243"/>
        <v>4.6447058036999991</v>
      </c>
      <c r="AX73" s="26">
        <f t="shared" si="244"/>
        <v>21.280643070500005</v>
      </c>
      <c r="AY73" s="26">
        <f t="shared" si="245"/>
        <v>5.4197778432999968</v>
      </c>
      <c r="AZ73" s="26">
        <f t="shared" si="246"/>
        <v>6.9686204602500013</v>
      </c>
      <c r="BA73" s="40">
        <f t="shared" si="247"/>
        <v>1.39372409205</v>
      </c>
      <c r="BB73" s="37">
        <f t="shared" si="248"/>
        <v>47.325900000000004</v>
      </c>
      <c r="BC73" s="28">
        <f t="shared" si="249"/>
        <v>86.764150000000001</v>
      </c>
      <c r="BD73" s="28">
        <f t="shared" si="250"/>
        <v>55.213549999999998</v>
      </c>
      <c r="BE73" s="29">
        <f t="shared" si="251"/>
        <v>7.8876500000000007</v>
      </c>
      <c r="BF73" s="29">
        <f t="shared" si="252"/>
        <v>1.5775300000000001</v>
      </c>
      <c r="BG73" s="28">
        <f t="shared" si="253"/>
        <v>5.4246366356999953</v>
      </c>
      <c r="BH73" s="28">
        <f t="shared" si="254"/>
        <v>22.786868714499999</v>
      </c>
      <c r="BI73" s="28">
        <f t="shared" si="255"/>
        <v>6.3418441282999929</v>
      </c>
      <c r="BJ73" s="29">
        <f t="shared" si="256"/>
        <v>7.1133588377500008</v>
      </c>
      <c r="BK73" s="29">
        <f t="shared" si="257"/>
        <v>1.4226717675499998</v>
      </c>
      <c r="BL73" s="28">
        <f t="shared" si="258"/>
        <v>41.901263364300007</v>
      </c>
      <c r="BM73" s="28">
        <f t="shared" si="259"/>
        <v>63.977281285499998</v>
      </c>
      <c r="BN73" s="28">
        <f t="shared" si="260"/>
        <v>48.871705871700009</v>
      </c>
      <c r="BO73" s="29">
        <f t="shared" si="261"/>
        <v>0.77429116225000016</v>
      </c>
      <c r="BP73" s="30">
        <f t="shared" si="262"/>
        <v>0.15485823245000002</v>
      </c>
      <c r="BQ73" s="10">
        <v>0</v>
      </c>
      <c r="BR73" s="6">
        <v>0</v>
      </c>
    </row>
    <row r="74" spans="1:71" ht="75.75" thickBot="1" x14ac:dyDescent="0.3">
      <c r="A74" s="111"/>
      <c r="B74" s="18">
        <v>80</v>
      </c>
      <c r="C74" s="19" t="s">
        <v>117</v>
      </c>
      <c r="D74" s="60">
        <v>1706</v>
      </c>
      <c r="E74" s="57" t="s">
        <v>197</v>
      </c>
      <c r="F74" s="14" t="s">
        <v>207</v>
      </c>
      <c r="G74" s="122">
        <v>2047</v>
      </c>
      <c r="H74" s="124">
        <v>0</v>
      </c>
      <c r="I74" s="125">
        <f t="shared" si="209"/>
        <v>2047</v>
      </c>
      <c r="J74" s="126">
        <v>0.55000000000000004</v>
      </c>
      <c r="K74" s="129">
        <f t="shared" si="210"/>
        <v>1125.8499999999999</v>
      </c>
      <c r="L74" s="130">
        <f t="shared" si="211"/>
        <v>0.44999999999999996</v>
      </c>
      <c r="M74" s="131">
        <f t="shared" si="212"/>
        <v>921.15000000000009</v>
      </c>
      <c r="N74" s="132">
        <f t="shared" si="213"/>
        <v>20.173185000000004</v>
      </c>
      <c r="O74" s="135">
        <f t="shared" si="214"/>
        <v>36.984172500000007</v>
      </c>
      <c r="P74" s="136">
        <f t="shared" si="215"/>
        <v>23.535382500000004</v>
      </c>
      <c r="Q74" s="136">
        <f t="shared" si="216"/>
        <v>3.3621975000000002</v>
      </c>
      <c r="R74" s="137">
        <f t="shared" si="217"/>
        <v>0.67243950000000008</v>
      </c>
      <c r="S74" s="136">
        <f t="shared" si="218"/>
        <v>1.4423827275000001</v>
      </c>
      <c r="T74" s="136">
        <f t="shared" si="219"/>
        <v>1.997145315</v>
      </c>
      <c r="U74" s="136">
        <f t="shared" si="220"/>
        <v>1.8861927975000001</v>
      </c>
      <c r="V74" s="136">
        <f t="shared" si="221"/>
        <v>0.27738129375000004</v>
      </c>
      <c r="W74" s="136">
        <f t="shared" si="222"/>
        <v>5.5476258750000007E-2</v>
      </c>
      <c r="X74" s="136">
        <f t="shared" si="223"/>
        <v>2.1080978325000004</v>
      </c>
      <c r="Y74" s="136">
        <f t="shared" si="224"/>
        <v>2.8847654550000001</v>
      </c>
      <c r="Z74" s="136">
        <f t="shared" si="225"/>
        <v>1.997145315</v>
      </c>
      <c r="AA74" s="136">
        <f t="shared" si="226"/>
        <v>0</v>
      </c>
      <c r="AB74" s="136">
        <f t="shared" si="227"/>
        <v>0</v>
      </c>
      <c r="AC74" s="138">
        <f t="shared" si="228"/>
        <v>16.622704440000003</v>
      </c>
      <c r="AD74" s="138">
        <f t="shared" si="229"/>
        <v>32.102261730000009</v>
      </c>
      <c r="AE74" s="138">
        <f t="shared" si="230"/>
        <v>19.652044387500002</v>
      </c>
      <c r="AF74" s="138">
        <f t="shared" si="231"/>
        <v>3.0848162062500002</v>
      </c>
      <c r="AG74" s="138">
        <f t="shared" si="232"/>
        <v>0.61696324125000013</v>
      </c>
      <c r="AH74" s="139">
        <f t="shared" si="233"/>
        <v>24.656115</v>
      </c>
      <c r="AI74" s="141">
        <f t="shared" si="234"/>
        <v>45.202877499999992</v>
      </c>
      <c r="AJ74" s="141">
        <f t="shared" si="235"/>
        <v>28.7654675</v>
      </c>
      <c r="AK74" s="141">
        <f t="shared" si="236"/>
        <v>4.1093525</v>
      </c>
      <c r="AL74" s="142">
        <f t="shared" si="237"/>
        <v>0.82187049999999984</v>
      </c>
      <c r="AM74" s="143">
        <v>0.9</v>
      </c>
      <c r="AN74" s="143">
        <v>0.75</v>
      </c>
      <c r="AO74" s="143">
        <v>0.9</v>
      </c>
      <c r="AP74" s="143">
        <v>0.1</v>
      </c>
      <c r="AQ74" s="143">
        <v>0.1</v>
      </c>
      <c r="AR74" s="142">
        <f t="shared" si="238"/>
        <v>23.48864795475</v>
      </c>
      <c r="AS74" s="142">
        <f t="shared" si="239"/>
        <v>35.400017111249994</v>
      </c>
      <c r="AT74" s="142">
        <f t="shared" si="240"/>
        <v>27.586494267750002</v>
      </c>
      <c r="AU74" s="142">
        <f t="shared" si="241"/>
        <v>0.43867337937500006</v>
      </c>
      <c r="AV74" s="142">
        <f t="shared" si="242"/>
        <v>8.7734675875000001E-2</v>
      </c>
      <c r="AW74" s="142">
        <f t="shared" si="243"/>
        <v>2.6098497727499996</v>
      </c>
      <c r="AX74" s="142">
        <f t="shared" si="244"/>
        <v>11.800005703749996</v>
      </c>
      <c r="AY74" s="142">
        <f t="shared" si="245"/>
        <v>3.0651660297499994</v>
      </c>
      <c r="AZ74" s="142">
        <f t="shared" si="246"/>
        <v>3.9480604143750004</v>
      </c>
      <c r="BA74" s="145">
        <f t="shared" si="247"/>
        <v>0.78961208287499995</v>
      </c>
      <c r="BB74" s="147">
        <f t="shared" si="248"/>
        <v>44.829300000000003</v>
      </c>
      <c r="BC74" s="150">
        <f t="shared" si="249"/>
        <v>82.187049999999999</v>
      </c>
      <c r="BD74" s="150">
        <f t="shared" si="250"/>
        <v>52.300850000000004</v>
      </c>
      <c r="BE74" s="151">
        <f t="shared" si="251"/>
        <v>7.4715500000000006</v>
      </c>
      <c r="BF74" s="151">
        <f t="shared" si="252"/>
        <v>1.49431</v>
      </c>
      <c r="BG74" s="150">
        <f t="shared" si="253"/>
        <v>19.232554212750003</v>
      </c>
      <c r="BH74" s="150">
        <f t="shared" si="254"/>
        <v>43.902267433750005</v>
      </c>
      <c r="BI74" s="150">
        <f t="shared" si="255"/>
        <v>22.717210417250001</v>
      </c>
      <c r="BJ74" s="151">
        <f t="shared" si="256"/>
        <v>7.0328766206250002</v>
      </c>
      <c r="BK74" s="151">
        <f t="shared" si="257"/>
        <v>1.4065753241250001</v>
      </c>
      <c r="BL74" s="150">
        <f t="shared" si="258"/>
        <v>25.596745787250001</v>
      </c>
      <c r="BM74" s="150">
        <f t="shared" si="259"/>
        <v>38.284782566249994</v>
      </c>
      <c r="BN74" s="150">
        <f t="shared" si="260"/>
        <v>29.583639582750003</v>
      </c>
      <c r="BO74" s="151">
        <f t="shared" si="261"/>
        <v>0.43867337937500006</v>
      </c>
      <c r="BP74" s="152">
        <f t="shared" si="262"/>
        <v>8.7734675875000001E-2</v>
      </c>
      <c r="BQ74" s="10">
        <v>281006</v>
      </c>
      <c r="BR74" s="6">
        <v>80776</v>
      </c>
      <c r="BS74" t="s">
        <v>128</v>
      </c>
    </row>
    <row r="75" spans="1:71" s="117" customFormat="1" ht="16.5" thickBot="1" x14ac:dyDescent="0.3">
      <c r="A75" s="113"/>
      <c r="B75" s="173" t="s">
        <v>216</v>
      </c>
      <c r="C75" s="174"/>
      <c r="D75" s="174"/>
      <c r="E75" s="175"/>
      <c r="F75" s="119"/>
      <c r="G75" s="123">
        <f>SUM(G62:G74)</f>
        <v>170569</v>
      </c>
      <c r="H75" s="123">
        <f t="shared" ref="H75:M75" si="263">SUM(H62:H74)</f>
        <v>15107</v>
      </c>
      <c r="I75" s="123">
        <f t="shared" si="263"/>
        <v>185676</v>
      </c>
      <c r="J75" s="128">
        <f>K75/G75</f>
        <v>0.79146544800051577</v>
      </c>
      <c r="K75" s="123">
        <f t="shared" si="263"/>
        <v>134999.46999999997</v>
      </c>
      <c r="L75" s="128">
        <f>M75/G75</f>
        <v>0.20853455199948412</v>
      </c>
      <c r="M75" s="123">
        <f t="shared" si="263"/>
        <v>35569.530000000006</v>
      </c>
      <c r="N75" s="134">
        <f t="shared" ref="N75" si="264">SUM(N62:N74)</f>
        <v>778.97270700000001</v>
      </c>
      <c r="O75" s="134">
        <f t="shared" ref="O75" si="265">SUM(O62:O74)</f>
        <v>1428.1166294999998</v>
      </c>
      <c r="P75" s="134">
        <f t="shared" ref="P75" si="266">SUM(P62:P74)</f>
        <v>908.80149150000011</v>
      </c>
      <c r="Q75" s="134">
        <f t="shared" ref="Q75" si="267">SUM(Q62:Q74)</f>
        <v>129.82878450000001</v>
      </c>
      <c r="R75" s="134">
        <f t="shared" ref="R75" si="268">SUM(R62:R74)</f>
        <v>25.965756899999999</v>
      </c>
      <c r="S75" s="134">
        <f t="shared" ref="S75" si="269">SUM(S62:S74)</f>
        <v>55.696548550499998</v>
      </c>
      <c r="T75" s="134">
        <f t="shared" ref="T75" si="270">SUM(T62:T74)</f>
        <v>77.118297992999999</v>
      </c>
      <c r="U75" s="134">
        <f t="shared" ref="U75" si="271">SUM(U62:U74)</f>
        <v>72.833948104499996</v>
      </c>
      <c r="V75" s="134">
        <f t="shared" ref="V75" si="272">SUM(V62:V74)</f>
        <v>10.710874721250002</v>
      </c>
      <c r="W75" s="134">
        <f t="shared" ref="W75" si="273">SUM(W62:W74)</f>
        <v>2.1421749442499998</v>
      </c>
      <c r="X75" s="134">
        <f t="shared" ref="X75" si="274">SUM(X62:X74)</f>
        <v>81.402647881499973</v>
      </c>
      <c r="Y75" s="134">
        <f t="shared" ref="Y75" si="275">SUM(Y62:Y74)</f>
        <v>111.393097101</v>
      </c>
      <c r="Z75" s="134">
        <f t="shared" ref="Z75" si="276">SUM(Z62:Z74)</f>
        <v>77.118297992999999</v>
      </c>
      <c r="AA75" s="134">
        <f t="shared" ref="AA75" si="277">SUM(AA62:AA74)</f>
        <v>0</v>
      </c>
      <c r="AB75" s="134">
        <f t="shared" ref="AB75" si="278">SUM(AB62:AB74)</f>
        <v>0</v>
      </c>
      <c r="AC75" s="134">
        <f t="shared" ref="AC75" si="279">SUM(AC62:AC74)</f>
        <v>641.87351056799992</v>
      </c>
      <c r="AD75" s="134">
        <f t="shared" ref="AD75" si="280">SUM(AD62:AD74)</f>
        <v>1239.6052344059999</v>
      </c>
      <c r="AE75" s="134">
        <f t="shared" ref="AE75" si="281">SUM(AE62:AE74)</f>
        <v>758.84924540250017</v>
      </c>
      <c r="AF75" s="134">
        <f t="shared" ref="AF75" si="282">SUM(AF62:AF74)</f>
        <v>119.11790977875</v>
      </c>
      <c r="AG75" s="134">
        <f t="shared" ref="AG75" si="283">SUM(AG62:AG74)</f>
        <v>23.823581955750004</v>
      </c>
      <c r="AH75" s="140">
        <f t="shared" ref="AH75" si="284">SUM(AH62:AH74)</f>
        <v>3287.3316930000001</v>
      </c>
      <c r="AI75" s="140">
        <f t="shared" ref="AI75" si="285">SUM(AI62:AI74)</f>
        <v>6026.7747705000002</v>
      </c>
      <c r="AJ75" s="140">
        <f t="shared" ref="AJ75" si="286">SUM(AJ62:AJ74)</f>
        <v>3835.2203085000001</v>
      </c>
      <c r="AK75" s="140">
        <f t="shared" ref="AK75" si="287">SUM(AK62:AK74)</f>
        <v>547.88861550000001</v>
      </c>
      <c r="AL75" s="140">
        <f t="shared" ref="AL75" si="288">SUM(AL62:AL74)</f>
        <v>109.5777231</v>
      </c>
      <c r="AM75" s="140"/>
      <c r="AN75" s="140"/>
      <c r="AO75" s="140"/>
      <c r="AP75" s="140"/>
      <c r="AQ75" s="140"/>
      <c r="AR75" s="140">
        <f t="shared" ref="AR75" si="289">SUM(AR62:AR74)</f>
        <v>3008.7254173954498</v>
      </c>
      <c r="AS75" s="140">
        <f t="shared" ref="AS75" si="290">SUM(AS62:AS74)</f>
        <v>4577.9198013697514</v>
      </c>
      <c r="AT75" s="140">
        <f t="shared" ref="AT75" si="291">SUM(AT62:AT74)</f>
        <v>3517.24883094405</v>
      </c>
      <c r="AU75" s="140">
        <f t="shared" ref="AU75" si="292">SUM(AU62:AU74)</f>
        <v>389.10660018174991</v>
      </c>
      <c r="AV75" s="140">
        <f t="shared" ref="AV75" si="293">SUM(AV62:AV74)</f>
        <v>77.821320036350002</v>
      </c>
      <c r="AW75" s="140">
        <f t="shared" ref="AW75" si="294">SUM(AW62:AW74)</f>
        <v>334.30282415505008</v>
      </c>
      <c r="AX75" s="140">
        <f t="shared" ref="AX75" si="295">SUM(AX62:AX74)</f>
        <v>1525.9732671232498</v>
      </c>
      <c r="AY75" s="140">
        <f t="shared" ref="AY75" si="296">SUM(AY62:AY74)</f>
        <v>390.80542566044988</v>
      </c>
      <c r="AZ75" s="140">
        <f t="shared" ref="AZ75" si="297">SUM(AZ62:AZ74)</f>
        <v>169.49289003949997</v>
      </c>
      <c r="BA75" s="140">
        <f t="shared" ref="BA75" si="298">SUM(BA62:BA74)</f>
        <v>33.898578007899999</v>
      </c>
      <c r="BB75" s="149">
        <f t="shared" ref="BB75" si="299">SUM(BB62:BB74)</f>
        <v>4066.3043999999995</v>
      </c>
      <c r="BC75" s="149">
        <f t="shared" ref="BC75" si="300">SUM(BC62:BC74)</f>
        <v>7454.8914000000004</v>
      </c>
      <c r="BD75" s="149">
        <f t="shared" ref="BD75" si="301">SUM(BD62:BD74)</f>
        <v>4744.0218000000004</v>
      </c>
      <c r="BE75" s="149">
        <f t="shared" ref="BE75" si="302">SUM(BE62:BE74)</f>
        <v>677.71739999999977</v>
      </c>
      <c r="BF75" s="149">
        <f t="shared" ref="BF75" si="303">SUM(BF62:BF74)</f>
        <v>135.54348000000002</v>
      </c>
      <c r="BG75" s="149">
        <f t="shared" ref="BG75" si="304">SUM(BG62:BG74)</f>
        <v>976.17633472304976</v>
      </c>
      <c r="BH75" s="149">
        <f t="shared" ref="BH75" si="305">SUM(BH62:BH74)</f>
        <v>2765.5785015292495</v>
      </c>
      <c r="BI75" s="149">
        <f t="shared" ref="BI75" si="306">SUM(BI62:BI74)</f>
        <v>1149.65467106295</v>
      </c>
      <c r="BJ75" s="149">
        <f t="shared" ref="BJ75" si="307">SUM(BJ62:BJ74)</f>
        <v>288.61079981825003</v>
      </c>
      <c r="BK75" s="149">
        <f t="shared" ref="BK75" si="308">SUM(BK62:BK74)</f>
        <v>57.72215996365</v>
      </c>
      <c r="BL75" s="149">
        <f t="shared" ref="BL75" si="309">SUM(BL62:BL74)</f>
        <v>3090.1280652769497</v>
      </c>
      <c r="BM75" s="149">
        <f t="shared" ref="BM75" si="310">SUM(BM62:BM74)</f>
        <v>4689.31289847075</v>
      </c>
      <c r="BN75" s="149">
        <f t="shared" ref="BN75" si="311">SUM(BN62:BN74)</f>
        <v>3594.3671289370504</v>
      </c>
      <c r="BO75" s="149">
        <f t="shared" ref="BO75" si="312">SUM(BO62:BO74)</f>
        <v>389.10660018174991</v>
      </c>
      <c r="BP75" s="149">
        <f t="shared" ref="BP75" si="313">SUM(BP62:BP74)</f>
        <v>77.821320036350002</v>
      </c>
      <c r="BQ75" s="115"/>
      <c r="BR75" s="116"/>
    </row>
    <row r="76" spans="1:71" s="3" customFormat="1" ht="19.5" thickBot="1" x14ac:dyDescent="0.35">
      <c r="A76" s="112"/>
      <c r="B76" s="201" t="s">
        <v>217</v>
      </c>
      <c r="C76" s="202"/>
      <c r="D76" s="202"/>
      <c r="E76" s="202"/>
      <c r="F76" s="202"/>
      <c r="G76" s="202"/>
      <c r="H76" s="202"/>
      <c r="I76" s="203"/>
      <c r="J76" s="127"/>
      <c r="K76" s="96"/>
      <c r="L76" s="97"/>
      <c r="M76" s="98"/>
      <c r="N76" s="133"/>
      <c r="O76" s="99"/>
      <c r="P76" s="100"/>
      <c r="Q76" s="100"/>
      <c r="R76" s="100"/>
      <c r="S76" s="100"/>
      <c r="T76" s="100"/>
      <c r="U76" s="100"/>
      <c r="V76" s="100"/>
      <c r="W76" s="100"/>
      <c r="X76" s="100"/>
      <c r="Y76" s="100"/>
      <c r="Z76" s="100"/>
      <c r="AA76" s="100"/>
      <c r="AB76" s="100"/>
      <c r="AC76" s="101"/>
      <c r="AD76" s="101"/>
      <c r="AE76" s="101"/>
      <c r="AF76" s="101"/>
      <c r="AG76" s="101"/>
      <c r="AH76" s="133"/>
      <c r="AI76" s="100"/>
      <c r="AJ76" s="100"/>
      <c r="AK76" s="100"/>
      <c r="AL76" s="100"/>
      <c r="AM76" s="144"/>
      <c r="AN76" s="144"/>
      <c r="AO76" s="144"/>
      <c r="AP76" s="144"/>
      <c r="AQ76" s="144"/>
      <c r="AR76" s="100"/>
      <c r="AS76" s="100"/>
      <c r="AT76" s="100"/>
      <c r="AU76" s="100"/>
      <c r="AV76" s="100"/>
      <c r="AW76" s="100"/>
      <c r="AX76" s="100"/>
      <c r="AY76" s="100"/>
      <c r="AZ76" s="100"/>
      <c r="BA76" s="146"/>
      <c r="BB76" s="148"/>
      <c r="BC76" s="99"/>
      <c r="BD76" s="99"/>
      <c r="BE76" s="101"/>
      <c r="BF76" s="101"/>
      <c r="BG76" s="99"/>
      <c r="BH76" s="99"/>
      <c r="BI76" s="99"/>
      <c r="BJ76" s="101"/>
      <c r="BK76" s="101"/>
      <c r="BL76" s="99"/>
      <c r="BM76" s="99"/>
      <c r="BN76" s="99"/>
      <c r="BO76" s="101"/>
      <c r="BP76" s="153"/>
      <c r="BQ76" s="102"/>
      <c r="BR76" s="103"/>
    </row>
    <row r="77" spans="1:71" x14ac:dyDescent="0.25">
      <c r="B77" s="18">
        <v>1</v>
      </c>
      <c r="C77" s="19" t="s">
        <v>43</v>
      </c>
      <c r="D77" s="60">
        <v>699203</v>
      </c>
      <c r="E77" s="47" t="s">
        <v>127</v>
      </c>
      <c r="F77" s="13" t="s">
        <v>205</v>
      </c>
      <c r="G77" s="53">
        <v>759000</v>
      </c>
      <c r="H77" s="53">
        <f>839914-697175</f>
        <v>142739</v>
      </c>
      <c r="I77" s="50">
        <f t="shared" ref="I77:I84" si="314">G77+H77</f>
        <v>901739</v>
      </c>
      <c r="J77" s="45">
        <v>0.83</v>
      </c>
      <c r="K77" s="65">
        <f t="shared" ref="K77:K84" si="315">ROUND(G77*J77,2)</f>
        <v>629970</v>
      </c>
      <c r="L77" s="66">
        <f t="shared" ref="L77:L84" si="316">1-J77</f>
        <v>0.17000000000000004</v>
      </c>
      <c r="M77" s="67">
        <f t="shared" ref="M77:M84" si="317">G77-K77</f>
        <v>129030</v>
      </c>
      <c r="N77" s="43">
        <f t="shared" ref="N77:N84" si="318">M77*60*365/1000000</f>
        <v>2825.7570000000001</v>
      </c>
      <c r="O77" s="92">
        <f t="shared" ref="O77:O84" si="319">M77*110*365/1000000</f>
        <v>5180.5545000000002</v>
      </c>
      <c r="P77" s="72">
        <f t="shared" ref="P77:P84" si="320">M77*70*365/1000000</f>
        <v>3296.7165</v>
      </c>
      <c r="Q77" s="72">
        <f t="shared" ref="Q77:Q84" si="321">M77*10*365/1000000</f>
        <v>470.95949999999999</v>
      </c>
      <c r="R77" s="25">
        <f t="shared" ref="R77:R84" si="322">M77*2*365/1000000</f>
        <v>94.191900000000004</v>
      </c>
      <c r="S77" s="72">
        <f t="shared" ref="S77:S84" si="323">M77*13*365/1000000*0.33</f>
        <v>202.04162550000001</v>
      </c>
      <c r="T77" s="72">
        <f t="shared" ref="T77:T84" si="324">M77*18*365/1000000*0.33</f>
        <v>279.74994299999997</v>
      </c>
      <c r="U77" s="72">
        <f t="shared" ref="U77:U84" si="325">M77*17*365/1000000*0.33</f>
        <v>264.2082795</v>
      </c>
      <c r="V77" s="72">
        <f t="shared" ref="V77:V84" si="326">M77*2.5*365/1000000*0.33</f>
        <v>38.854158750000003</v>
      </c>
      <c r="W77" s="72">
        <f t="shared" ref="W77:W84" si="327">M77*0.5*365/1000000*0.33</f>
        <v>7.770831750000001</v>
      </c>
      <c r="X77" s="72">
        <f t="shared" ref="X77:X84" si="328">M77*19*365/1000000*0.33</f>
        <v>295.2916065</v>
      </c>
      <c r="Y77" s="72">
        <f t="shared" ref="Y77:Y84" si="329">M77*26*365/1000000*0.33</f>
        <v>404.08325100000002</v>
      </c>
      <c r="Z77" s="72">
        <f t="shared" ref="Z77:Z84" si="330">M77*18*365/1000000*0.33</f>
        <v>279.74994299999997</v>
      </c>
      <c r="AA77" s="72">
        <f t="shared" ref="AA77:AA84" si="331">M77*0*365/1000000*0.33</f>
        <v>0</v>
      </c>
      <c r="AB77" s="72">
        <f t="shared" ref="AB77:AB84" si="332">M77*0*365/1000000*0.33</f>
        <v>0</v>
      </c>
      <c r="AC77" s="91">
        <f t="shared" ref="AC77:AG84" si="333">N77-S77-X77</f>
        <v>2328.4237680000001</v>
      </c>
      <c r="AD77" s="91">
        <f t="shared" si="333"/>
        <v>4496.7213060000004</v>
      </c>
      <c r="AE77" s="91">
        <f t="shared" si="333"/>
        <v>2752.7582775000001</v>
      </c>
      <c r="AF77" s="91">
        <f t="shared" si="333"/>
        <v>432.10534124999998</v>
      </c>
      <c r="AG77" s="91">
        <f t="shared" si="333"/>
        <v>86.421068250000005</v>
      </c>
      <c r="AH77" s="39">
        <f t="shared" ref="AH77:AH84" si="334">(K77+H77)*60*365/1000000</f>
        <v>16922.327099999999</v>
      </c>
      <c r="AI77" s="77">
        <f t="shared" ref="AI77:AI84" si="335">($K77+$H77)*110*365/1000000</f>
        <v>31024.266350000002</v>
      </c>
      <c r="AJ77" s="77">
        <f t="shared" ref="AJ77:AJ84" si="336">($K77+$H77)*70*365/1000000</f>
        <v>19742.714950000001</v>
      </c>
      <c r="AK77" s="77">
        <f t="shared" ref="AK77:AK84" si="337">($K77+$H77)*10*365/1000000</f>
        <v>2820.3878500000001</v>
      </c>
      <c r="AL77" s="26">
        <f t="shared" ref="AL77:AL84" si="338">($K77+$H77)*2*365/1000000</f>
        <v>564.07757000000004</v>
      </c>
      <c r="AM77" s="27">
        <v>0.9</v>
      </c>
      <c r="AN77" s="27">
        <v>0.75</v>
      </c>
      <c r="AO77" s="27">
        <v>0.9</v>
      </c>
      <c r="AP77" s="27">
        <v>0.8</v>
      </c>
      <c r="AQ77" s="27">
        <v>0.8</v>
      </c>
      <c r="AR77" s="26">
        <f t="shared" ref="AR77:AV84" si="339">(S77+AH77)*AM77</f>
        <v>15411.931852949998</v>
      </c>
      <c r="AS77" s="26">
        <f t="shared" si="339"/>
        <v>23478.012219750002</v>
      </c>
      <c r="AT77" s="26">
        <f t="shared" si="339"/>
        <v>18006.230906550001</v>
      </c>
      <c r="AU77" s="26">
        <f t="shared" si="339"/>
        <v>2287.393607</v>
      </c>
      <c r="AV77" s="26">
        <f t="shared" si="339"/>
        <v>457.47872140000004</v>
      </c>
      <c r="AW77" s="26">
        <f t="shared" ref="AW77:BA84" si="340">S77+AH77-AR77</f>
        <v>1712.436872549999</v>
      </c>
      <c r="AX77" s="26">
        <f t="shared" si="340"/>
        <v>7826.0040732499983</v>
      </c>
      <c r="AY77" s="26">
        <f t="shared" si="340"/>
        <v>2000.6923229499989</v>
      </c>
      <c r="AZ77" s="26">
        <f t="shared" si="340"/>
        <v>571.84840174999999</v>
      </c>
      <c r="BA77" s="40">
        <f t="shared" si="340"/>
        <v>114.36968034999995</v>
      </c>
      <c r="BB77" s="37">
        <f t="shared" ref="BB77:BF84" si="341">N77+AH77</f>
        <v>19748.0841</v>
      </c>
      <c r="BC77" s="28">
        <f t="shared" si="341"/>
        <v>36204.820850000004</v>
      </c>
      <c r="BD77" s="28">
        <f t="shared" si="341"/>
        <v>23039.43145</v>
      </c>
      <c r="BE77" s="28">
        <f t="shared" si="341"/>
        <v>3291.34735</v>
      </c>
      <c r="BF77" s="28">
        <f t="shared" si="341"/>
        <v>658.26947000000007</v>
      </c>
      <c r="BG77" s="28">
        <f t="shared" ref="BG77:BK84" si="342">AC77+AW77</f>
        <v>4040.8606405499991</v>
      </c>
      <c r="BH77" s="28">
        <f t="shared" si="342"/>
        <v>12322.725379249998</v>
      </c>
      <c r="BI77" s="28">
        <f t="shared" si="342"/>
        <v>4753.450600449999</v>
      </c>
      <c r="BJ77" s="28">
        <f t="shared" si="342"/>
        <v>1003.953743</v>
      </c>
      <c r="BK77" s="28">
        <f t="shared" si="342"/>
        <v>200.79074859999997</v>
      </c>
      <c r="BL77" s="28">
        <f t="shared" ref="BL77:BP84" si="343">X77+AR77</f>
        <v>15707.223459449999</v>
      </c>
      <c r="BM77" s="28">
        <f t="shared" si="343"/>
        <v>23882.095470750002</v>
      </c>
      <c r="BN77" s="28">
        <f t="shared" si="343"/>
        <v>18285.98084955</v>
      </c>
      <c r="BO77" s="28">
        <f t="shared" si="343"/>
        <v>2287.393607</v>
      </c>
      <c r="BP77" s="110">
        <f t="shared" si="343"/>
        <v>457.47872140000004</v>
      </c>
      <c r="BQ77" s="24" t="s">
        <v>169</v>
      </c>
      <c r="BR77" s="5" t="s">
        <v>169</v>
      </c>
      <c r="BS77" s="1"/>
    </row>
    <row r="78" spans="1:71" x14ac:dyDescent="0.25">
      <c r="B78" s="18">
        <v>3</v>
      </c>
      <c r="C78" s="19" t="s">
        <v>45</v>
      </c>
      <c r="D78" s="60">
        <v>82413</v>
      </c>
      <c r="E78" s="47" t="s">
        <v>127</v>
      </c>
      <c r="F78" s="13" t="s">
        <v>205</v>
      </c>
      <c r="G78" s="53">
        <v>89000</v>
      </c>
      <c r="H78" s="53">
        <v>4700</v>
      </c>
      <c r="I78" s="50">
        <f t="shared" si="314"/>
        <v>93700</v>
      </c>
      <c r="J78" s="45">
        <v>0.89</v>
      </c>
      <c r="K78" s="65">
        <f t="shared" si="315"/>
        <v>79210</v>
      </c>
      <c r="L78" s="66">
        <f t="shared" si="316"/>
        <v>0.10999999999999999</v>
      </c>
      <c r="M78" s="67">
        <f t="shared" si="317"/>
        <v>9790</v>
      </c>
      <c r="N78" s="43">
        <f t="shared" si="318"/>
        <v>214.40100000000001</v>
      </c>
      <c r="O78" s="92">
        <f t="shared" si="319"/>
        <v>393.06849999999997</v>
      </c>
      <c r="P78" s="72">
        <f t="shared" si="320"/>
        <v>250.1345</v>
      </c>
      <c r="Q78" s="72">
        <f t="shared" si="321"/>
        <v>35.733499999999999</v>
      </c>
      <c r="R78" s="25">
        <f t="shared" si="322"/>
        <v>7.1467000000000001</v>
      </c>
      <c r="S78" s="72">
        <f t="shared" si="323"/>
        <v>15.3296715</v>
      </c>
      <c r="T78" s="72">
        <f t="shared" si="324"/>
        <v>21.225699000000002</v>
      </c>
      <c r="U78" s="72">
        <f t="shared" si="325"/>
        <v>20.0464935</v>
      </c>
      <c r="V78" s="72">
        <f t="shared" si="326"/>
        <v>2.9480137499999999</v>
      </c>
      <c r="W78" s="72">
        <f t="shared" si="327"/>
        <v>0.58960275000000006</v>
      </c>
      <c r="X78" s="72">
        <f t="shared" si="328"/>
        <v>22.404904500000001</v>
      </c>
      <c r="Y78" s="72">
        <f t="shared" si="329"/>
        <v>30.659343</v>
      </c>
      <c r="Z78" s="72">
        <f t="shared" si="330"/>
        <v>21.225699000000002</v>
      </c>
      <c r="AA78" s="72">
        <f t="shared" si="331"/>
        <v>0</v>
      </c>
      <c r="AB78" s="72">
        <f t="shared" si="332"/>
        <v>0</v>
      </c>
      <c r="AC78" s="91">
        <f t="shared" si="333"/>
        <v>176.66642400000001</v>
      </c>
      <c r="AD78" s="91">
        <f t="shared" si="333"/>
        <v>341.18345799999997</v>
      </c>
      <c r="AE78" s="91">
        <f t="shared" si="333"/>
        <v>208.86230750000001</v>
      </c>
      <c r="AF78" s="91">
        <f t="shared" si="333"/>
        <v>32.785486249999998</v>
      </c>
      <c r="AG78" s="91">
        <f t="shared" si="333"/>
        <v>6.55709725</v>
      </c>
      <c r="AH78" s="39">
        <f t="shared" si="334"/>
        <v>1837.6289999999999</v>
      </c>
      <c r="AI78" s="77">
        <f t="shared" si="335"/>
        <v>3368.9865</v>
      </c>
      <c r="AJ78" s="77">
        <f t="shared" si="336"/>
        <v>2143.9005000000002</v>
      </c>
      <c r="AK78" s="77">
        <f t="shared" si="337"/>
        <v>306.2715</v>
      </c>
      <c r="AL78" s="26">
        <f t="shared" si="338"/>
        <v>61.254300000000001</v>
      </c>
      <c r="AM78" s="27">
        <v>0.9</v>
      </c>
      <c r="AN78" s="27">
        <v>0.75</v>
      </c>
      <c r="AO78" s="27">
        <v>0.9</v>
      </c>
      <c r="AP78" s="27">
        <v>0.8</v>
      </c>
      <c r="AQ78" s="27">
        <v>0.8</v>
      </c>
      <c r="AR78" s="26">
        <f t="shared" si="339"/>
        <v>1667.6628043499998</v>
      </c>
      <c r="AS78" s="26">
        <f t="shared" si="339"/>
        <v>2542.6591492500002</v>
      </c>
      <c r="AT78" s="26">
        <f t="shared" si="339"/>
        <v>1947.5522941500003</v>
      </c>
      <c r="AU78" s="26">
        <f t="shared" si="339"/>
        <v>247.37561099999999</v>
      </c>
      <c r="AV78" s="26">
        <f t="shared" si="339"/>
        <v>49.475122200000001</v>
      </c>
      <c r="AW78" s="26">
        <f t="shared" si="340"/>
        <v>185.29586715000005</v>
      </c>
      <c r="AX78" s="26">
        <f t="shared" si="340"/>
        <v>847.5530497499999</v>
      </c>
      <c r="AY78" s="26">
        <f t="shared" si="340"/>
        <v>216.39469934999988</v>
      </c>
      <c r="AZ78" s="26">
        <f t="shared" si="340"/>
        <v>61.843902749999984</v>
      </c>
      <c r="BA78" s="40">
        <f t="shared" si="340"/>
        <v>12.368780549999997</v>
      </c>
      <c r="BB78" s="37">
        <f t="shared" si="341"/>
        <v>2052.0299999999997</v>
      </c>
      <c r="BC78" s="28">
        <f t="shared" si="341"/>
        <v>3762.0549999999998</v>
      </c>
      <c r="BD78" s="28">
        <f t="shared" si="341"/>
        <v>2394.0350000000003</v>
      </c>
      <c r="BE78" s="29">
        <f t="shared" si="341"/>
        <v>342.005</v>
      </c>
      <c r="BF78" s="29">
        <f t="shared" si="341"/>
        <v>68.400999999999996</v>
      </c>
      <c r="BG78" s="28">
        <f t="shared" si="342"/>
        <v>361.96229115000006</v>
      </c>
      <c r="BH78" s="28">
        <f t="shared" si="342"/>
        <v>1188.7365077499999</v>
      </c>
      <c r="BI78" s="28">
        <f t="shared" si="342"/>
        <v>425.25700684999993</v>
      </c>
      <c r="BJ78" s="29">
        <f t="shared" si="342"/>
        <v>94.629388999999975</v>
      </c>
      <c r="BK78" s="29">
        <f t="shared" si="342"/>
        <v>18.925877799999995</v>
      </c>
      <c r="BL78" s="28">
        <f t="shared" si="343"/>
        <v>1690.0677088499997</v>
      </c>
      <c r="BM78" s="28">
        <f t="shared" si="343"/>
        <v>2573.31849225</v>
      </c>
      <c r="BN78" s="28">
        <f t="shared" si="343"/>
        <v>1968.7779931500004</v>
      </c>
      <c r="BO78" s="29">
        <f t="shared" si="343"/>
        <v>247.37561099999999</v>
      </c>
      <c r="BP78" s="30">
        <f t="shared" si="343"/>
        <v>49.475122200000001</v>
      </c>
      <c r="BQ78" s="10">
        <v>1846880</v>
      </c>
      <c r="BR78" s="6">
        <v>14561180</v>
      </c>
      <c r="BS78" t="s">
        <v>128</v>
      </c>
    </row>
    <row r="79" spans="1:71" x14ac:dyDescent="0.25">
      <c r="B79" s="18">
        <v>6</v>
      </c>
      <c r="C79" s="19" t="s">
        <v>49</v>
      </c>
      <c r="D79" s="60">
        <v>38082</v>
      </c>
      <c r="E79" s="47" t="s">
        <v>127</v>
      </c>
      <c r="F79" s="13" t="s">
        <v>205</v>
      </c>
      <c r="G79" s="53">
        <v>43800</v>
      </c>
      <c r="H79" s="53">
        <v>1226</v>
      </c>
      <c r="I79" s="50">
        <f t="shared" si="314"/>
        <v>45026</v>
      </c>
      <c r="J79" s="45">
        <v>0.85</v>
      </c>
      <c r="K79" s="65">
        <f t="shared" si="315"/>
        <v>37230</v>
      </c>
      <c r="L79" s="66">
        <f t="shared" si="316"/>
        <v>0.15000000000000002</v>
      </c>
      <c r="M79" s="67">
        <f t="shared" si="317"/>
        <v>6570</v>
      </c>
      <c r="N79" s="43">
        <f t="shared" si="318"/>
        <v>143.88300000000001</v>
      </c>
      <c r="O79" s="92">
        <f t="shared" si="319"/>
        <v>263.78550000000001</v>
      </c>
      <c r="P79" s="72">
        <f t="shared" si="320"/>
        <v>167.86349999999999</v>
      </c>
      <c r="Q79" s="72">
        <f t="shared" si="321"/>
        <v>23.980499999999999</v>
      </c>
      <c r="R79" s="25">
        <f t="shared" si="322"/>
        <v>4.7961</v>
      </c>
      <c r="S79" s="72">
        <f t="shared" si="323"/>
        <v>10.287634500000001</v>
      </c>
      <c r="T79" s="72">
        <f t="shared" si="324"/>
        <v>14.244417000000002</v>
      </c>
      <c r="U79" s="72">
        <f t="shared" si="325"/>
        <v>13.453060499999999</v>
      </c>
      <c r="V79" s="72">
        <f t="shared" si="326"/>
        <v>1.97839125</v>
      </c>
      <c r="W79" s="72">
        <f t="shared" si="327"/>
        <v>0.39567825000000001</v>
      </c>
      <c r="X79" s="72">
        <f t="shared" si="328"/>
        <v>15.035773500000001</v>
      </c>
      <c r="Y79" s="72">
        <f t="shared" si="329"/>
        <v>20.575269000000002</v>
      </c>
      <c r="Z79" s="72">
        <f t="shared" si="330"/>
        <v>14.244417000000002</v>
      </c>
      <c r="AA79" s="72">
        <f t="shared" si="331"/>
        <v>0</v>
      </c>
      <c r="AB79" s="72">
        <f t="shared" si="332"/>
        <v>0</v>
      </c>
      <c r="AC79" s="91">
        <f t="shared" si="333"/>
        <v>118.55959200000001</v>
      </c>
      <c r="AD79" s="91">
        <f t="shared" si="333"/>
        <v>228.96581400000002</v>
      </c>
      <c r="AE79" s="91">
        <f t="shared" si="333"/>
        <v>140.1660225</v>
      </c>
      <c r="AF79" s="91">
        <f t="shared" si="333"/>
        <v>22.002108749999998</v>
      </c>
      <c r="AG79" s="91">
        <f t="shared" si="333"/>
        <v>4.4004217499999996</v>
      </c>
      <c r="AH79" s="39">
        <f t="shared" si="334"/>
        <v>842.18640000000005</v>
      </c>
      <c r="AI79" s="77">
        <f t="shared" si="335"/>
        <v>1544.0083999999999</v>
      </c>
      <c r="AJ79" s="77">
        <f t="shared" si="336"/>
        <v>982.55079999999998</v>
      </c>
      <c r="AK79" s="77">
        <f t="shared" si="337"/>
        <v>140.36439999999999</v>
      </c>
      <c r="AL79" s="26">
        <f t="shared" si="338"/>
        <v>28.072880000000001</v>
      </c>
      <c r="AM79" s="27">
        <v>0.9</v>
      </c>
      <c r="AN79" s="27">
        <v>0.75</v>
      </c>
      <c r="AO79" s="27">
        <v>0.9</v>
      </c>
      <c r="AP79" s="27">
        <v>0.8</v>
      </c>
      <c r="AQ79" s="27">
        <v>0.8</v>
      </c>
      <c r="AR79" s="26">
        <f t="shared" si="339"/>
        <v>767.22663105000004</v>
      </c>
      <c r="AS79" s="26">
        <f t="shared" si="339"/>
        <v>1168.6896127499999</v>
      </c>
      <c r="AT79" s="26">
        <f t="shared" si="339"/>
        <v>896.40347444999998</v>
      </c>
      <c r="AU79" s="26">
        <f t="shared" si="339"/>
        <v>113.87423299999999</v>
      </c>
      <c r="AV79" s="26">
        <f t="shared" si="339"/>
        <v>22.774846600000004</v>
      </c>
      <c r="AW79" s="26">
        <f t="shared" si="340"/>
        <v>85.247403449999979</v>
      </c>
      <c r="AX79" s="26">
        <f t="shared" si="340"/>
        <v>389.56320425000013</v>
      </c>
      <c r="AY79" s="26">
        <f t="shared" si="340"/>
        <v>99.600386049999997</v>
      </c>
      <c r="AZ79" s="26">
        <f t="shared" si="340"/>
        <v>28.468558249999987</v>
      </c>
      <c r="BA79" s="40">
        <f t="shared" si="340"/>
        <v>5.6937116499999973</v>
      </c>
      <c r="BB79" s="37">
        <f t="shared" si="341"/>
        <v>986.06940000000009</v>
      </c>
      <c r="BC79" s="28">
        <f t="shared" si="341"/>
        <v>1807.7938999999999</v>
      </c>
      <c r="BD79" s="28">
        <f t="shared" si="341"/>
        <v>1150.4142999999999</v>
      </c>
      <c r="BE79" s="29">
        <f t="shared" si="341"/>
        <v>164.3449</v>
      </c>
      <c r="BF79" s="29">
        <f t="shared" si="341"/>
        <v>32.868980000000001</v>
      </c>
      <c r="BG79" s="28">
        <f t="shared" si="342"/>
        <v>203.80699544999999</v>
      </c>
      <c r="BH79" s="28">
        <f t="shared" si="342"/>
        <v>618.52901825000015</v>
      </c>
      <c r="BI79" s="28">
        <f t="shared" si="342"/>
        <v>239.76640854999999</v>
      </c>
      <c r="BJ79" s="29">
        <f t="shared" si="342"/>
        <v>50.470666999999985</v>
      </c>
      <c r="BK79" s="29">
        <f t="shared" si="342"/>
        <v>10.094133399999997</v>
      </c>
      <c r="BL79" s="28">
        <f t="shared" si="343"/>
        <v>782.26240455000004</v>
      </c>
      <c r="BM79" s="28">
        <f t="shared" si="343"/>
        <v>1189.2648817499999</v>
      </c>
      <c r="BN79" s="28">
        <f t="shared" si="343"/>
        <v>910.64789144999997</v>
      </c>
      <c r="BO79" s="29">
        <f t="shared" si="343"/>
        <v>113.87423299999999</v>
      </c>
      <c r="BP79" s="30">
        <f t="shared" si="343"/>
        <v>22.774846600000004</v>
      </c>
      <c r="BQ79" s="10">
        <f>(298720+60000+144280+1842476+382812)*0.6</f>
        <v>1636972.8</v>
      </c>
      <c r="BR79" s="6">
        <f>(1854360+1896459)*0.6</f>
        <v>2250491.4</v>
      </c>
      <c r="BS79" t="s">
        <v>128</v>
      </c>
    </row>
    <row r="80" spans="1:71" x14ac:dyDescent="0.25">
      <c r="B80" s="18">
        <v>20</v>
      </c>
      <c r="C80" s="19" t="s">
        <v>63</v>
      </c>
      <c r="D80" s="60">
        <v>9598</v>
      </c>
      <c r="E80" s="47" t="s">
        <v>175</v>
      </c>
      <c r="F80" s="13" t="s">
        <v>205</v>
      </c>
      <c r="G80" s="53">
        <v>6390</v>
      </c>
      <c r="H80" s="53">
        <v>323</v>
      </c>
      <c r="I80" s="50">
        <f t="shared" si="314"/>
        <v>6713</v>
      </c>
      <c r="J80" s="45">
        <v>0.68</v>
      </c>
      <c r="K80" s="65">
        <f t="shared" si="315"/>
        <v>4345.2</v>
      </c>
      <c r="L80" s="66">
        <f t="shared" si="316"/>
        <v>0.31999999999999995</v>
      </c>
      <c r="M80" s="67">
        <f t="shared" si="317"/>
        <v>2044.8000000000002</v>
      </c>
      <c r="N80" s="43">
        <f t="shared" si="318"/>
        <v>44.781120000000008</v>
      </c>
      <c r="O80" s="92">
        <f t="shared" si="319"/>
        <v>82.098720000000014</v>
      </c>
      <c r="P80" s="72">
        <f t="shared" si="320"/>
        <v>52.244639999999997</v>
      </c>
      <c r="Q80" s="72">
        <f t="shared" si="321"/>
        <v>7.4635199999999999</v>
      </c>
      <c r="R80" s="25">
        <f t="shared" si="322"/>
        <v>1.4927040000000003</v>
      </c>
      <c r="S80" s="72">
        <f t="shared" si="323"/>
        <v>3.2018500800000003</v>
      </c>
      <c r="T80" s="72">
        <f t="shared" si="324"/>
        <v>4.4333308800000006</v>
      </c>
      <c r="U80" s="72">
        <f t="shared" si="325"/>
        <v>4.1870347200000007</v>
      </c>
      <c r="V80" s="72">
        <f t="shared" si="326"/>
        <v>0.61574040000000008</v>
      </c>
      <c r="W80" s="72">
        <f t="shared" si="327"/>
        <v>0.12314808000000002</v>
      </c>
      <c r="X80" s="72">
        <f t="shared" si="328"/>
        <v>4.6796270400000006</v>
      </c>
      <c r="Y80" s="72">
        <f t="shared" si="329"/>
        <v>6.4037001600000005</v>
      </c>
      <c r="Z80" s="72">
        <f t="shared" si="330"/>
        <v>4.4333308800000006</v>
      </c>
      <c r="AA80" s="72">
        <f t="shared" si="331"/>
        <v>0</v>
      </c>
      <c r="AB80" s="72">
        <f t="shared" si="332"/>
        <v>0</v>
      </c>
      <c r="AC80" s="91">
        <f t="shared" si="333"/>
        <v>36.899642880000009</v>
      </c>
      <c r="AD80" s="91">
        <f t="shared" si="333"/>
        <v>71.261688960000015</v>
      </c>
      <c r="AE80" s="91">
        <f t="shared" si="333"/>
        <v>43.624274399999997</v>
      </c>
      <c r="AF80" s="91">
        <f t="shared" si="333"/>
        <v>6.8477796</v>
      </c>
      <c r="AG80" s="91">
        <f t="shared" si="333"/>
        <v>1.3695559200000003</v>
      </c>
      <c r="AH80" s="39">
        <f t="shared" si="334"/>
        <v>102.23358</v>
      </c>
      <c r="AI80" s="77">
        <f t="shared" si="335"/>
        <v>187.42823000000001</v>
      </c>
      <c r="AJ80" s="77">
        <f t="shared" si="336"/>
        <v>119.27251</v>
      </c>
      <c r="AK80" s="77">
        <f t="shared" si="337"/>
        <v>17.038930000000001</v>
      </c>
      <c r="AL80" s="26">
        <f t="shared" si="338"/>
        <v>3.4077860000000002</v>
      </c>
      <c r="AM80" s="27">
        <v>0.9</v>
      </c>
      <c r="AN80" s="27">
        <v>0.75</v>
      </c>
      <c r="AO80" s="27">
        <v>0.9</v>
      </c>
      <c r="AP80" s="27">
        <v>0.8</v>
      </c>
      <c r="AQ80" s="27">
        <v>0.8</v>
      </c>
      <c r="AR80" s="26">
        <f t="shared" si="339"/>
        <v>94.891887072000003</v>
      </c>
      <c r="AS80" s="26">
        <f t="shared" si="339"/>
        <v>143.89617066</v>
      </c>
      <c r="AT80" s="26">
        <f t="shared" si="339"/>
        <v>111.11359024799999</v>
      </c>
      <c r="AU80" s="26">
        <f t="shared" si="339"/>
        <v>14.123736320000001</v>
      </c>
      <c r="AV80" s="26">
        <f t="shared" si="339"/>
        <v>2.8247472640000004</v>
      </c>
      <c r="AW80" s="26">
        <f t="shared" si="340"/>
        <v>10.543543008</v>
      </c>
      <c r="AX80" s="26">
        <f t="shared" si="340"/>
        <v>47.965390220000018</v>
      </c>
      <c r="AY80" s="26">
        <f t="shared" si="340"/>
        <v>12.345954472000003</v>
      </c>
      <c r="AZ80" s="26">
        <f t="shared" si="340"/>
        <v>3.5309340799999998</v>
      </c>
      <c r="BA80" s="40">
        <f t="shared" si="340"/>
        <v>0.70618681599999977</v>
      </c>
      <c r="BB80" s="37">
        <f t="shared" si="341"/>
        <v>147.0147</v>
      </c>
      <c r="BC80" s="28">
        <f t="shared" si="341"/>
        <v>269.52695000000006</v>
      </c>
      <c r="BD80" s="28">
        <f t="shared" si="341"/>
        <v>171.51714999999999</v>
      </c>
      <c r="BE80" s="29">
        <f t="shared" si="341"/>
        <v>24.50245</v>
      </c>
      <c r="BF80" s="29">
        <f t="shared" si="341"/>
        <v>4.9004900000000005</v>
      </c>
      <c r="BG80" s="28">
        <f t="shared" si="342"/>
        <v>47.443185888000009</v>
      </c>
      <c r="BH80" s="28">
        <f t="shared" si="342"/>
        <v>119.22707918000003</v>
      </c>
      <c r="BI80" s="28">
        <f t="shared" si="342"/>
        <v>55.970228872</v>
      </c>
      <c r="BJ80" s="29">
        <f t="shared" si="342"/>
        <v>10.378713680000001</v>
      </c>
      <c r="BK80" s="29">
        <f t="shared" si="342"/>
        <v>2.075742736</v>
      </c>
      <c r="BL80" s="28">
        <f t="shared" si="343"/>
        <v>99.571514112000003</v>
      </c>
      <c r="BM80" s="28">
        <f t="shared" si="343"/>
        <v>150.29987082</v>
      </c>
      <c r="BN80" s="28">
        <f t="shared" si="343"/>
        <v>115.54692112799999</v>
      </c>
      <c r="BO80" s="29">
        <f t="shared" si="343"/>
        <v>14.123736320000001</v>
      </c>
      <c r="BP80" s="30">
        <f t="shared" si="343"/>
        <v>2.8247472640000004</v>
      </c>
      <c r="BQ80" s="10">
        <v>1708700</v>
      </c>
      <c r="BR80" s="6">
        <v>0</v>
      </c>
      <c r="BS80" t="s">
        <v>128</v>
      </c>
    </row>
    <row r="81" spans="1:71" ht="30" x14ac:dyDescent="0.25">
      <c r="B81" s="18">
        <v>35</v>
      </c>
      <c r="C81" s="19" t="s">
        <v>74</v>
      </c>
      <c r="D81" s="60">
        <v>5920</v>
      </c>
      <c r="E81" s="57" t="s">
        <v>178</v>
      </c>
      <c r="F81" s="14" t="s">
        <v>205</v>
      </c>
      <c r="G81" s="53">
        <v>10100</v>
      </c>
      <c r="H81" s="53">
        <v>5023</v>
      </c>
      <c r="I81" s="50">
        <f t="shared" si="314"/>
        <v>15123</v>
      </c>
      <c r="J81" s="45">
        <v>0.85</v>
      </c>
      <c r="K81" s="65">
        <f t="shared" si="315"/>
        <v>8585</v>
      </c>
      <c r="L81" s="66">
        <f t="shared" si="316"/>
        <v>0.15000000000000002</v>
      </c>
      <c r="M81" s="67">
        <f t="shared" si="317"/>
        <v>1515</v>
      </c>
      <c r="N81" s="43">
        <f t="shared" si="318"/>
        <v>33.1785</v>
      </c>
      <c r="O81" s="92">
        <f t="shared" si="319"/>
        <v>60.827249999999999</v>
      </c>
      <c r="P81" s="72">
        <f t="shared" si="320"/>
        <v>38.70825</v>
      </c>
      <c r="Q81" s="72">
        <f t="shared" si="321"/>
        <v>5.5297499999999999</v>
      </c>
      <c r="R81" s="25">
        <f t="shared" si="322"/>
        <v>1.10595</v>
      </c>
      <c r="S81" s="72">
        <f t="shared" si="323"/>
        <v>2.37226275</v>
      </c>
      <c r="T81" s="72">
        <f t="shared" si="324"/>
        <v>3.2846715</v>
      </c>
      <c r="U81" s="72">
        <f t="shared" si="325"/>
        <v>3.10218975</v>
      </c>
      <c r="V81" s="72">
        <f t="shared" si="326"/>
        <v>0.456204375</v>
      </c>
      <c r="W81" s="72">
        <f t="shared" si="327"/>
        <v>9.1240874999999999E-2</v>
      </c>
      <c r="X81" s="72">
        <f t="shared" si="328"/>
        <v>3.46715325</v>
      </c>
      <c r="Y81" s="72">
        <f t="shared" si="329"/>
        <v>4.7445255</v>
      </c>
      <c r="Z81" s="72">
        <f t="shared" si="330"/>
        <v>3.2846715</v>
      </c>
      <c r="AA81" s="72">
        <f t="shared" si="331"/>
        <v>0</v>
      </c>
      <c r="AB81" s="72">
        <f t="shared" si="332"/>
        <v>0</v>
      </c>
      <c r="AC81" s="91">
        <f t="shared" si="333"/>
        <v>27.339084</v>
      </c>
      <c r="AD81" s="91">
        <f t="shared" si="333"/>
        <v>52.798052999999996</v>
      </c>
      <c r="AE81" s="91">
        <f t="shared" si="333"/>
        <v>32.321388749999997</v>
      </c>
      <c r="AF81" s="91">
        <f t="shared" si="333"/>
        <v>5.0735456249999995</v>
      </c>
      <c r="AG81" s="91">
        <f t="shared" si="333"/>
        <v>1.014709125</v>
      </c>
      <c r="AH81" s="39">
        <f t="shared" si="334"/>
        <v>298.01519999999999</v>
      </c>
      <c r="AI81" s="77">
        <f t="shared" si="335"/>
        <v>546.36120000000005</v>
      </c>
      <c r="AJ81" s="77">
        <f t="shared" si="336"/>
        <v>347.68439999999998</v>
      </c>
      <c r="AK81" s="77">
        <f t="shared" si="337"/>
        <v>49.669199999999996</v>
      </c>
      <c r="AL81" s="26">
        <f t="shared" si="338"/>
        <v>9.93384</v>
      </c>
      <c r="AM81" s="27">
        <v>0.9</v>
      </c>
      <c r="AN81" s="27">
        <v>0.75</v>
      </c>
      <c r="AO81" s="27">
        <v>0.9</v>
      </c>
      <c r="AP81" s="27">
        <v>0.8</v>
      </c>
      <c r="AQ81" s="27">
        <v>0.8</v>
      </c>
      <c r="AR81" s="26">
        <f t="shared" si="339"/>
        <v>270.348716475</v>
      </c>
      <c r="AS81" s="26">
        <f t="shared" si="339"/>
        <v>412.23440362500003</v>
      </c>
      <c r="AT81" s="26">
        <f t="shared" si="339"/>
        <v>315.70793077499997</v>
      </c>
      <c r="AU81" s="26">
        <f t="shared" si="339"/>
        <v>40.100323500000002</v>
      </c>
      <c r="AV81" s="26">
        <f t="shared" si="339"/>
        <v>8.0200647000000007</v>
      </c>
      <c r="AW81" s="26">
        <f t="shared" si="340"/>
        <v>30.038746274999994</v>
      </c>
      <c r="AX81" s="26">
        <f t="shared" si="340"/>
        <v>137.41146787499997</v>
      </c>
      <c r="AY81" s="26">
        <f t="shared" si="340"/>
        <v>35.078658974999996</v>
      </c>
      <c r="AZ81" s="26">
        <f t="shared" si="340"/>
        <v>10.025080874999993</v>
      </c>
      <c r="BA81" s="40">
        <f t="shared" si="340"/>
        <v>2.0050161749999997</v>
      </c>
      <c r="BB81" s="37">
        <f t="shared" si="341"/>
        <v>331.19369999999998</v>
      </c>
      <c r="BC81" s="28">
        <f t="shared" si="341"/>
        <v>607.1884500000001</v>
      </c>
      <c r="BD81" s="28">
        <f t="shared" si="341"/>
        <v>386.39265</v>
      </c>
      <c r="BE81" s="29">
        <f t="shared" si="341"/>
        <v>55.198949999999996</v>
      </c>
      <c r="BF81" s="29">
        <f t="shared" si="341"/>
        <v>11.03979</v>
      </c>
      <c r="BG81" s="28">
        <f t="shared" si="342"/>
        <v>57.377830274999994</v>
      </c>
      <c r="BH81" s="28">
        <f t="shared" si="342"/>
        <v>190.20952087499995</v>
      </c>
      <c r="BI81" s="28">
        <f t="shared" si="342"/>
        <v>67.400047724999993</v>
      </c>
      <c r="BJ81" s="29">
        <f t="shared" si="342"/>
        <v>15.098626499999993</v>
      </c>
      <c r="BK81" s="29">
        <f t="shared" si="342"/>
        <v>3.0197252999999997</v>
      </c>
      <c r="BL81" s="28">
        <f t="shared" si="343"/>
        <v>273.81586972500003</v>
      </c>
      <c r="BM81" s="28">
        <f t="shared" si="343"/>
        <v>416.97892912500004</v>
      </c>
      <c r="BN81" s="28">
        <f t="shared" si="343"/>
        <v>318.99260227499997</v>
      </c>
      <c r="BO81" s="29">
        <f t="shared" si="343"/>
        <v>40.100323500000002</v>
      </c>
      <c r="BP81" s="30">
        <f t="shared" si="343"/>
        <v>8.0200647000000007</v>
      </c>
      <c r="BQ81" s="10">
        <v>1932201</v>
      </c>
      <c r="BR81" s="6">
        <v>0</v>
      </c>
      <c r="BS81" t="s">
        <v>128</v>
      </c>
    </row>
    <row r="82" spans="1:71" ht="30" x14ac:dyDescent="0.25">
      <c r="B82" s="18">
        <v>49</v>
      </c>
      <c r="C82" s="19" t="s">
        <v>86</v>
      </c>
      <c r="D82" s="60">
        <v>3184</v>
      </c>
      <c r="E82" s="57" t="s">
        <v>178</v>
      </c>
      <c r="F82" s="14" t="s">
        <v>205</v>
      </c>
      <c r="G82" s="53">
        <v>2500</v>
      </c>
      <c r="H82" s="53">
        <v>4027</v>
      </c>
      <c r="I82" s="50">
        <f t="shared" si="314"/>
        <v>6527</v>
      </c>
      <c r="J82" s="45">
        <v>0.12</v>
      </c>
      <c r="K82" s="65">
        <f t="shared" si="315"/>
        <v>300</v>
      </c>
      <c r="L82" s="66">
        <f t="shared" si="316"/>
        <v>0.88</v>
      </c>
      <c r="M82" s="67">
        <f t="shared" si="317"/>
        <v>2200</v>
      </c>
      <c r="N82" s="43">
        <f t="shared" si="318"/>
        <v>48.18</v>
      </c>
      <c r="O82" s="92">
        <f t="shared" si="319"/>
        <v>88.33</v>
      </c>
      <c r="P82" s="72">
        <f t="shared" si="320"/>
        <v>56.21</v>
      </c>
      <c r="Q82" s="72">
        <f t="shared" si="321"/>
        <v>8.0299999999999994</v>
      </c>
      <c r="R82" s="25">
        <f t="shared" si="322"/>
        <v>1.6060000000000001</v>
      </c>
      <c r="S82" s="72">
        <f t="shared" si="323"/>
        <v>3.4448700000000003</v>
      </c>
      <c r="T82" s="72">
        <f t="shared" si="324"/>
        <v>4.7698200000000002</v>
      </c>
      <c r="U82" s="72">
        <f t="shared" si="325"/>
        <v>4.5048300000000001</v>
      </c>
      <c r="V82" s="72">
        <f t="shared" si="326"/>
        <v>0.66247499999999993</v>
      </c>
      <c r="W82" s="72">
        <f t="shared" si="327"/>
        <v>0.132495</v>
      </c>
      <c r="X82" s="72">
        <f t="shared" si="328"/>
        <v>5.0348100000000002</v>
      </c>
      <c r="Y82" s="72">
        <f t="shared" si="329"/>
        <v>6.8897400000000006</v>
      </c>
      <c r="Z82" s="72">
        <f t="shared" si="330"/>
        <v>4.7698200000000002</v>
      </c>
      <c r="AA82" s="72">
        <f t="shared" si="331"/>
        <v>0</v>
      </c>
      <c r="AB82" s="72">
        <f t="shared" si="332"/>
        <v>0</v>
      </c>
      <c r="AC82" s="91">
        <f t="shared" si="333"/>
        <v>39.700319999999998</v>
      </c>
      <c r="AD82" s="91">
        <f t="shared" si="333"/>
        <v>76.670439999999999</v>
      </c>
      <c r="AE82" s="91">
        <f t="shared" si="333"/>
        <v>46.93535</v>
      </c>
      <c r="AF82" s="91">
        <f t="shared" si="333"/>
        <v>7.3675249999999997</v>
      </c>
      <c r="AG82" s="91">
        <f t="shared" si="333"/>
        <v>1.4735050000000001</v>
      </c>
      <c r="AH82" s="39">
        <f t="shared" si="334"/>
        <v>94.761300000000006</v>
      </c>
      <c r="AI82" s="77">
        <f t="shared" si="335"/>
        <v>173.72905</v>
      </c>
      <c r="AJ82" s="77">
        <f t="shared" si="336"/>
        <v>110.55485</v>
      </c>
      <c r="AK82" s="77">
        <f t="shared" si="337"/>
        <v>15.79355</v>
      </c>
      <c r="AL82" s="26">
        <f t="shared" si="338"/>
        <v>3.1587100000000001</v>
      </c>
      <c r="AM82" s="27">
        <v>0.9</v>
      </c>
      <c r="AN82" s="27">
        <v>0.75</v>
      </c>
      <c r="AO82" s="27">
        <v>0.9</v>
      </c>
      <c r="AP82" s="27">
        <v>0.1</v>
      </c>
      <c r="AQ82" s="27">
        <v>0.1</v>
      </c>
      <c r="AR82" s="26">
        <f t="shared" si="339"/>
        <v>88.385553000000002</v>
      </c>
      <c r="AS82" s="26">
        <f t="shared" si="339"/>
        <v>133.87415250000001</v>
      </c>
      <c r="AT82" s="26">
        <f t="shared" si="339"/>
        <v>103.553712</v>
      </c>
      <c r="AU82" s="26">
        <f t="shared" si="339"/>
        <v>1.6456025000000001</v>
      </c>
      <c r="AV82" s="26">
        <f t="shared" si="339"/>
        <v>0.32912050000000004</v>
      </c>
      <c r="AW82" s="26">
        <f t="shared" si="340"/>
        <v>9.8206169999999986</v>
      </c>
      <c r="AX82" s="26">
        <f t="shared" si="340"/>
        <v>44.624717500000003</v>
      </c>
      <c r="AY82" s="26">
        <f t="shared" si="340"/>
        <v>11.505967999999996</v>
      </c>
      <c r="AZ82" s="26">
        <f t="shared" si="340"/>
        <v>14.8104225</v>
      </c>
      <c r="BA82" s="40">
        <f t="shared" si="340"/>
        <v>2.9620845</v>
      </c>
      <c r="BB82" s="37">
        <f t="shared" si="341"/>
        <v>142.94130000000001</v>
      </c>
      <c r="BC82" s="28">
        <f t="shared" si="341"/>
        <v>262.05905000000001</v>
      </c>
      <c r="BD82" s="28">
        <f t="shared" si="341"/>
        <v>166.76485</v>
      </c>
      <c r="BE82" s="29">
        <f t="shared" si="341"/>
        <v>23.823549999999997</v>
      </c>
      <c r="BF82" s="29">
        <f t="shared" si="341"/>
        <v>4.76471</v>
      </c>
      <c r="BG82" s="28">
        <f t="shared" si="342"/>
        <v>49.520936999999996</v>
      </c>
      <c r="BH82" s="28">
        <f t="shared" si="342"/>
        <v>121.2951575</v>
      </c>
      <c r="BI82" s="28">
        <f t="shared" si="342"/>
        <v>58.441317999999995</v>
      </c>
      <c r="BJ82" s="29">
        <f t="shared" si="342"/>
        <v>22.177947499999998</v>
      </c>
      <c r="BK82" s="29">
        <f t="shared" si="342"/>
        <v>4.4355894999999999</v>
      </c>
      <c r="BL82" s="28">
        <f t="shared" si="343"/>
        <v>93.420363000000009</v>
      </c>
      <c r="BM82" s="28">
        <f t="shared" si="343"/>
        <v>140.7638925</v>
      </c>
      <c r="BN82" s="28">
        <f t="shared" si="343"/>
        <v>108.323532</v>
      </c>
      <c r="BO82" s="29">
        <f t="shared" si="343"/>
        <v>1.6456025000000001</v>
      </c>
      <c r="BP82" s="30">
        <f t="shared" si="343"/>
        <v>0.32912050000000004</v>
      </c>
      <c r="BQ82" s="10">
        <f>256800+775600+111850</f>
        <v>1144250</v>
      </c>
      <c r="BR82" s="6">
        <v>0</v>
      </c>
      <c r="BS82" t="s">
        <v>132</v>
      </c>
    </row>
    <row r="83" spans="1:71" ht="45" x14ac:dyDescent="0.25">
      <c r="B83" s="18">
        <v>52</v>
      </c>
      <c r="C83" s="19" t="s">
        <v>93</v>
      </c>
      <c r="D83" s="60">
        <v>3077</v>
      </c>
      <c r="E83" s="57" t="s">
        <v>151</v>
      </c>
      <c r="F83" s="14" t="s">
        <v>205</v>
      </c>
      <c r="G83" s="53">
        <v>6122</v>
      </c>
      <c r="H83" s="54">
        <v>833</v>
      </c>
      <c r="I83" s="50">
        <f t="shared" si="314"/>
        <v>6955</v>
      </c>
      <c r="J83" s="45">
        <v>0.22</v>
      </c>
      <c r="K83" s="65">
        <f t="shared" si="315"/>
        <v>1346.84</v>
      </c>
      <c r="L83" s="66">
        <f t="shared" si="316"/>
        <v>0.78</v>
      </c>
      <c r="M83" s="67">
        <f t="shared" si="317"/>
        <v>4775.16</v>
      </c>
      <c r="N83" s="43">
        <f t="shared" si="318"/>
        <v>104.57600399999998</v>
      </c>
      <c r="O83" s="92">
        <f t="shared" si="319"/>
        <v>191.72267400000001</v>
      </c>
      <c r="P83" s="72">
        <f t="shared" si="320"/>
        <v>122.00533799999999</v>
      </c>
      <c r="Q83" s="72">
        <f t="shared" si="321"/>
        <v>17.429334000000001</v>
      </c>
      <c r="R83" s="25">
        <f t="shared" si="322"/>
        <v>3.4858667999999997</v>
      </c>
      <c r="S83" s="72">
        <f t="shared" si="323"/>
        <v>7.477184286</v>
      </c>
      <c r="T83" s="72">
        <f t="shared" si="324"/>
        <v>10.353024396</v>
      </c>
      <c r="U83" s="72">
        <f t="shared" si="325"/>
        <v>9.7778563740000006</v>
      </c>
      <c r="V83" s="72">
        <f t="shared" si="326"/>
        <v>1.4379200550000002</v>
      </c>
      <c r="W83" s="72">
        <f t="shared" si="327"/>
        <v>0.28758401099999997</v>
      </c>
      <c r="X83" s="72">
        <f t="shared" si="328"/>
        <v>10.928192418</v>
      </c>
      <c r="Y83" s="72">
        <f t="shared" si="329"/>
        <v>14.954368572</v>
      </c>
      <c r="Z83" s="72">
        <f t="shared" si="330"/>
        <v>10.353024396</v>
      </c>
      <c r="AA83" s="72">
        <f t="shared" si="331"/>
        <v>0</v>
      </c>
      <c r="AB83" s="72">
        <f t="shared" si="332"/>
        <v>0</v>
      </c>
      <c r="AC83" s="91">
        <f t="shared" si="333"/>
        <v>86.170627295999992</v>
      </c>
      <c r="AD83" s="91">
        <f t="shared" si="333"/>
        <v>166.41528103200002</v>
      </c>
      <c r="AE83" s="91">
        <f t="shared" si="333"/>
        <v>101.87445723</v>
      </c>
      <c r="AF83" s="91">
        <f t="shared" si="333"/>
        <v>15.991413945000001</v>
      </c>
      <c r="AG83" s="91">
        <f t="shared" si="333"/>
        <v>3.1982827889999998</v>
      </c>
      <c r="AH83" s="39">
        <f t="shared" si="334"/>
        <v>47.738495999999998</v>
      </c>
      <c r="AI83" s="77">
        <f t="shared" si="335"/>
        <v>87.52057600000002</v>
      </c>
      <c r="AJ83" s="77">
        <f t="shared" si="336"/>
        <v>55.694912000000009</v>
      </c>
      <c r="AK83" s="77">
        <f t="shared" si="337"/>
        <v>7.9564160000000008</v>
      </c>
      <c r="AL83" s="26">
        <f t="shared" si="338"/>
        <v>1.5912832000000001</v>
      </c>
      <c r="AM83" s="27">
        <v>0.9</v>
      </c>
      <c r="AN83" s="27">
        <v>0.75</v>
      </c>
      <c r="AO83" s="27">
        <v>0.9</v>
      </c>
      <c r="AP83" s="27">
        <v>0.1</v>
      </c>
      <c r="AQ83" s="27">
        <v>0.1</v>
      </c>
      <c r="AR83" s="26">
        <f t="shared" si="339"/>
        <v>49.694112257399993</v>
      </c>
      <c r="AS83" s="26">
        <f t="shared" si="339"/>
        <v>73.405200297000007</v>
      </c>
      <c r="AT83" s="26">
        <f t="shared" si="339"/>
        <v>58.925491536600013</v>
      </c>
      <c r="AU83" s="26">
        <f t="shared" si="339"/>
        <v>0.9394336055000001</v>
      </c>
      <c r="AV83" s="26">
        <f t="shared" si="339"/>
        <v>0.18788672110000004</v>
      </c>
      <c r="AW83" s="26">
        <f t="shared" si="340"/>
        <v>5.5215680286000008</v>
      </c>
      <c r="AX83" s="26">
        <f t="shared" si="340"/>
        <v>24.468400099000007</v>
      </c>
      <c r="AY83" s="26">
        <f t="shared" si="340"/>
        <v>6.5472768373999983</v>
      </c>
      <c r="AZ83" s="26">
        <f t="shared" si="340"/>
        <v>8.4549024495000005</v>
      </c>
      <c r="BA83" s="40">
        <f t="shared" si="340"/>
        <v>1.6909804899000003</v>
      </c>
      <c r="BB83" s="37">
        <f t="shared" si="341"/>
        <v>152.31449999999998</v>
      </c>
      <c r="BC83" s="28">
        <f t="shared" si="341"/>
        <v>279.24325000000005</v>
      </c>
      <c r="BD83" s="28">
        <f t="shared" si="341"/>
        <v>177.70025000000001</v>
      </c>
      <c r="BE83" s="29">
        <f t="shared" si="341"/>
        <v>25.385750000000002</v>
      </c>
      <c r="BF83" s="29">
        <f t="shared" si="341"/>
        <v>5.0771499999999996</v>
      </c>
      <c r="BG83" s="28">
        <f t="shared" si="342"/>
        <v>91.692195324599993</v>
      </c>
      <c r="BH83" s="28">
        <f t="shared" si="342"/>
        <v>190.88368113100003</v>
      </c>
      <c r="BI83" s="28">
        <f t="shared" si="342"/>
        <v>108.4217340674</v>
      </c>
      <c r="BJ83" s="29">
        <f t="shared" si="342"/>
        <v>24.446316394500002</v>
      </c>
      <c r="BK83" s="29">
        <f t="shared" si="342"/>
        <v>4.8892632788999997</v>
      </c>
      <c r="BL83" s="28">
        <f t="shared" si="343"/>
        <v>60.622304675399995</v>
      </c>
      <c r="BM83" s="28">
        <f t="shared" si="343"/>
        <v>88.359568869000015</v>
      </c>
      <c r="BN83" s="28">
        <f t="shared" si="343"/>
        <v>69.278515932600016</v>
      </c>
      <c r="BO83" s="29">
        <f t="shared" si="343"/>
        <v>0.9394336055000001</v>
      </c>
      <c r="BP83" s="30">
        <f t="shared" si="343"/>
        <v>0.18788672110000004</v>
      </c>
      <c r="BQ83" s="10">
        <v>650460</v>
      </c>
      <c r="BR83" s="6">
        <v>0</v>
      </c>
      <c r="BS83" t="s">
        <v>128</v>
      </c>
    </row>
    <row r="84" spans="1:71" ht="30.75" thickBot="1" x14ac:dyDescent="0.3">
      <c r="B84" s="18">
        <v>56</v>
      </c>
      <c r="C84" s="19" t="s">
        <v>101</v>
      </c>
      <c r="D84" s="60">
        <v>2854</v>
      </c>
      <c r="E84" s="57" t="s">
        <v>154</v>
      </c>
      <c r="F84" s="14" t="s">
        <v>205</v>
      </c>
      <c r="G84" s="122">
        <v>3603</v>
      </c>
      <c r="H84" s="124">
        <v>41000</v>
      </c>
      <c r="I84" s="125">
        <f t="shared" si="314"/>
        <v>44603</v>
      </c>
      <c r="J84" s="126">
        <v>0.36</v>
      </c>
      <c r="K84" s="129">
        <f t="shared" si="315"/>
        <v>1297.08</v>
      </c>
      <c r="L84" s="130">
        <f t="shared" si="316"/>
        <v>0.64</v>
      </c>
      <c r="M84" s="131">
        <f t="shared" si="317"/>
        <v>2305.92</v>
      </c>
      <c r="N84" s="132">
        <f t="shared" si="318"/>
        <v>50.499648000000008</v>
      </c>
      <c r="O84" s="135">
        <f t="shared" si="319"/>
        <v>92.582688000000005</v>
      </c>
      <c r="P84" s="136">
        <f t="shared" si="320"/>
        <v>58.916255999999997</v>
      </c>
      <c r="Q84" s="136">
        <f t="shared" si="321"/>
        <v>8.4166080000000001</v>
      </c>
      <c r="R84" s="137">
        <f t="shared" si="322"/>
        <v>1.6833216000000002</v>
      </c>
      <c r="S84" s="136">
        <f t="shared" si="323"/>
        <v>3.6107248320000003</v>
      </c>
      <c r="T84" s="136">
        <f t="shared" si="324"/>
        <v>4.999465152</v>
      </c>
      <c r="U84" s="136">
        <f t="shared" si="325"/>
        <v>4.7217170880000001</v>
      </c>
      <c r="V84" s="136">
        <f t="shared" si="326"/>
        <v>0.69437016000000007</v>
      </c>
      <c r="W84" s="136">
        <f t="shared" si="327"/>
        <v>0.13887403200000004</v>
      </c>
      <c r="X84" s="136">
        <f t="shared" si="328"/>
        <v>5.2772132160000007</v>
      </c>
      <c r="Y84" s="136">
        <f t="shared" si="329"/>
        <v>7.2214496640000005</v>
      </c>
      <c r="Z84" s="136">
        <f t="shared" si="330"/>
        <v>4.999465152</v>
      </c>
      <c r="AA84" s="136">
        <f t="shared" si="331"/>
        <v>0</v>
      </c>
      <c r="AB84" s="136">
        <f t="shared" si="332"/>
        <v>0</v>
      </c>
      <c r="AC84" s="138">
        <f t="shared" si="333"/>
        <v>41.611709952000005</v>
      </c>
      <c r="AD84" s="138">
        <f t="shared" si="333"/>
        <v>80.361773184</v>
      </c>
      <c r="AE84" s="138">
        <f t="shared" si="333"/>
        <v>49.19507376</v>
      </c>
      <c r="AF84" s="138">
        <f t="shared" si="333"/>
        <v>7.72223784</v>
      </c>
      <c r="AG84" s="138">
        <f t="shared" si="333"/>
        <v>1.5444475680000003</v>
      </c>
      <c r="AH84" s="139">
        <f t="shared" si="334"/>
        <v>926.30605200000014</v>
      </c>
      <c r="AI84" s="141">
        <f t="shared" si="335"/>
        <v>1698.227762</v>
      </c>
      <c r="AJ84" s="141">
        <f t="shared" si="336"/>
        <v>1080.690394</v>
      </c>
      <c r="AK84" s="141">
        <f t="shared" si="337"/>
        <v>154.38434200000003</v>
      </c>
      <c r="AL84" s="142">
        <f t="shared" si="338"/>
        <v>30.876868400000003</v>
      </c>
      <c r="AM84" s="143">
        <v>0.9</v>
      </c>
      <c r="AN84" s="143">
        <v>0.75</v>
      </c>
      <c r="AO84" s="143">
        <v>0.9</v>
      </c>
      <c r="AP84" s="143">
        <v>0.1</v>
      </c>
      <c r="AQ84" s="143">
        <v>0.1</v>
      </c>
      <c r="AR84" s="142">
        <f t="shared" si="339"/>
        <v>836.92509914880009</v>
      </c>
      <c r="AS84" s="142">
        <f t="shared" si="339"/>
        <v>1277.4204203640002</v>
      </c>
      <c r="AT84" s="142">
        <f t="shared" si="339"/>
        <v>976.87089997920009</v>
      </c>
      <c r="AU84" s="142">
        <f t="shared" si="339"/>
        <v>15.507871216000005</v>
      </c>
      <c r="AV84" s="142">
        <f t="shared" si="339"/>
        <v>3.1015742432000004</v>
      </c>
      <c r="AW84" s="142">
        <f t="shared" si="340"/>
        <v>92.99167768320001</v>
      </c>
      <c r="AX84" s="142">
        <f t="shared" si="340"/>
        <v>425.8068067879999</v>
      </c>
      <c r="AY84" s="142">
        <f t="shared" si="340"/>
        <v>108.54121110879998</v>
      </c>
      <c r="AZ84" s="142">
        <f t="shared" si="340"/>
        <v>139.57084094400003</v>
      </c>
      <c r="BA84" s="145">
        <f t="shared" si="340"/>
        <v>27.914168188800002</v>
      </c>
      <c r="BB84" s="147">
        <f t="shared" si="341"/>
        <v>976.80570000000012</v>
      </c>
      <c r="BC84" s="150">
        <f t="shared" si="341"/>
        <v>1790.8104499999999</v>
      </c>
      <c r="BD84" s="150">
        <f t="shared" si="341"/>
        <v>1139.6066499999999</v>
      </c>
      <c r="BE84" s="151">
        <f t="shared" si="341"/>
        <v>162.80095000000003</v>
      </c>
      <c r="BF84" s="151">
        <f t="shared" si="341"/>
        <v>32.560190000000006</v>
      </c>
      <c r="BG84" s="150">
        <f t="shared" si="342"/>
        <v>134.60338763520002</v>
      </c>
      <c r="BH84" s="150">
        <f t="shared" si="342"/>
        <v>506.16857997199992</v>
      </c>
      <c r="BI84" s="150">
        <f t="shared" si="342"/>
        <v>157.7362848688</v>
      </c>
      <c r="BJ84" s="151">
        <f t="shared" si="342"/>
        <v>147.29307878400002</v>
      </c>
      <c r="BK84" s="151">
        <f t="shared" si="342"/>
        <v>29.4586157568</v>
      </c>
      <c r="BL84" s="150">
        <f t="shared" si="343"/>
        <v>842.20231236480004</v>
      </c>
      <c r="BM84" s="150">
        <f t="shared" si="343"/>
        <v>1284.6418700280001</v>
      </c>
      <c r="BN84" s="150">
        <f t="shared" si="343"/>
        <v>981.87036513120006</v>
      </c>
      <c r="BO84" s="151">
        <f t="shared" si="343"/>
        <v>15.507871216000005</v>
      </c>
      <c r="BP84" s="152">
        <f t="shared" si="343"/>
        <v>3.1015742432000004</v>
      </c>
      <c r="BQ84" s="10">
        <v>0</v>
      </c>
      <c r="BR84" s="6">
        <v>0</v>
      </c>
      <c r="BS84" t="s">
        <v>3</v>
      </c>
    </row>
    <row r="85" spans="1:71" s="117" customFormat="1" ht="16.5" thickBot="1" x14ac:dyDescent="0.3">
      <c r="B85" s="173" t="s">
        <v>218</v>
      </c>
      <c r="C85" s="174"/>
      <c r="D85" s="174"/>
      <c r="E85" s="175"/>
      <c r="F85" s="119"/>
      <c r="G85" s="123">
        <f>SUM(G77:G84)</f>
        <v>920515</v>
      </c>
      <c r="H85" s="123">
        <f t="shared" ref="H85:M85" si="344">SUM(H77:H84)</f>
        <v>199871</v>
      </c>
      <c r="I85" s="123">
        <f t="shared" si="344"/>
        <v>1120386</v>
      </c>
      <c r="J85" s="128">
        <f>K85/G85</f>
        <v>0.82810613623895302</v>
      </c>
      <c r="K85" s="123">
        <f t="shared" si="344"/>
        <v>762284.11999999988</v>
      </c>
      <c r="L85" s="128">
        <f>M85/G85</f>
        <v>0.17189386376104682</v>
      </c>
      <c r="M85" s="123">
        <f t="shared" si="344"/>
        <v>158230.88</v>
      </c>
      <c r="N85" s="134">
        <f t="shared" ref="N85" si="345">SUM(N77:N84)</f>
        <v>3465.2562719999996</v>
      </c>
      <c r="O85" s="134">
        <f t="shared" ref="O85" si="346">SUM(O77:O84)</f>
        <v>6352.9698320000007</v>
      </c>
      <c r="P85" s="134">
        <f t="shared" ref="P85" si="347">SUM(P77:P84)</f>
        <v>4042.798984</v>
      </c>
      <c r="Q85" s="134">
        <f t="shared" ref="Q85" si="348">SUM(Q77:Q84)</f>
        <v>577.54271200000005</v>
      </c>
      <c r="R85" s="134">
        <f t="shared" ref="R85" si="349">SUM(R77:R84)</f>
        <v>115.50854239999998</v>
      </c>
      <c r="S85" s="134">
        <f t="shared" ref="S85" si="350">SUM(S77:S84)</f>
        <v>247.76582344800002</v>
      </c>
      <c r="T85" s="134">
        <f t="shared" ref="T85" si="351">SUM(T77:T84)</f>
        <v>343.06037092800005</v>
      </c>
      <c r="U85" s="134">
        <f t="shared" ref="U85" si="352">SUM(U77:U84)</f>
        <v>324.00146143199999</v>
      </c>
      <c r="V85" s="134">
        <f t="shared" ref="V85" si="353">SUM(V77:V84)</f>
        <v>47.647273740000003</v>
      </c>
      <c r="W85" s="134">
        <f t="shared" ref="W85" si="354">SUM(W77:W84)</f>
        <v>9.5294547480000009</v>
      </c>
      <c r="X85" s="134">
        <f t="shared" ref="X85" si="355">SUM(X77:X84)</f>
        <v>362.11928042400001</v>
      </c>
      <c r="Y85" s="134">
        <f t="shared" ref="Y85" si="356">SUM(Y77:Y84)</f>
        <v>495.53164689600004</v>
      </c>
      <c r="Z85" s="134">
        <f t="shared" ref="Z85" si="357">SUM(Z77:Z84)</f>
        <v>343.06037092800005</v>
      </c>
      <c r="AA85" s="134">
        <f t="shared" ref="AA85" si="358">SUM(AA77:AA84)</f>
        <v>0</v>
      </c>
      <c r="AB85" s="134">
        <f t="shared" ref="AB85" si="359">SUM(AB77:AB84)</f>
        <v>0</v>
      </c>
      <c r="AC85" s="134">
        <f t="shared" ref="AC85" si="360">SUM(AC77:AC84)</f>
        <v>2855.3711681280006</v>
      </c>
      <c r="AD85" s="134">
        <f t="shared" ref="AD85" si="361">SUM(AD77:AD84)</f>
        <v>5514.3778141760022</v>
      </c>
      <c r="AE85" s="134">
        <f t="shared" ref="AE85" si="362">SUM(AE77:AE84)</f>
        <v>3375.7371516400008</v>
      </c>
      <c r="AF85" s="134">
        <f t="shared" ref="AF85" si="363">SUM(AF77:AF84)</f>
        <v>529.89543826000011</v>
      </c>
      <c r="AG85" s="134">
        <f t="shared" ref="AG85" si="364">SUM(AG77:AG84)</f>
        <v>105.979087652</v>
      </c>
      <c r="AH85" s="140">
        <f t="shared" ref="AH85" si="365">SUM(AH77:AH84)</f>
        <v>21071.197128</v>
      </c>
      <c r="AI85" s="140">
        <f t="shared" ref="AI85" si="366">SUM(AI77:AI84)</f>
        <v>38630.528068000007</v>
      </c>
      <c r="AJ85" s="140">
        <f t="shared" ref="AJ85" si="367">SUM(AJ77:AJ84)</f>
        <v>24583.063316</v>
      </c>
      <c r="AK85" s="140">
        <f t="shared" ref="AK85" si="368">SUM(AK77:AK84)</f>
        <v>3511.8661879999995</v>
      </c>
      <c r="AL85" s="140">
        <f t="shared" ref="AL85" si="369">SUM(AL77:AL84)</f>
        <v>702.37323760000015</v>
      </c>
      <c r="AM85" s="140"/>
      <c r="AN85" s="140"/>
      <c r="AO85" s="140"/>
      <c r="AP85" s="140"/>
      <c r="AQ85" s="140"/>
      <c r="AR85" s="140">
        <f t="shared" ref="AR85" si="370">SUM(AR77:AR84)</f>
        <v>19187.066656303199</v>
      </c>
      <c r="AS85" s="140">
        <f t="shared" ref="AS85" si="371">SUM(AS77:AS84)</f>
        <v>29230.191329196001</v>
      </c>
      <c r="AT85" s="140">
        <f t="shared" ref="AT85" si="372">SUM(AT77:AT84)</f>
        <v>22416.3582996888</v>
      </c>
      <c r="AU85" s="140">
        <f t="shared" ref="AU85" si="373">SUM(AU77:AU84)</f>
        <v>2720.9604181414998</v>
      </c>
      <c r="AV85" s="140">
        <f t="shared" ref="AV85" si="374">SUM(AV77:AV84)</f>
        <v>544.19208362830022</v>
      </c>
      <c r="AW85" s="140">
        <f t="shared" ref="AW85" si="375">SUM(AW77:AW84)</f>
        <v>2131.8962951447993</v>
      </c>
      <c r="AX85" s="140">
        <f t="shared" ref="AX85" si="376">SUM(AX77:AX84)</f>
        <v>9743.3971097319991</v>
      </c>
      <c r="AY85" s="140">
        <f t="shared" ref="AY85" si="377">SUM(AY77:AY84)</f>
        <v>2490.7064777431988</v>
      </c>
      <c r="AZ85" s="140">
        <f t="shared" ref="AZ85" si="378">SUM(AZ77:AZ84)</f>
        <v>838.55304359849981</v>
      </c>
      <c r="BA85" s="140">
        <f t="shared" ref="BA85" si="379">SUM(BA77:BA84)</f>
        <v>167.71060871969999</v>
      </c>
      <c r="BB85" s="149">
        <f t="shared" ref="BB85" si="380">SUM(BB77:BB84)</f>
        <v>24536.453399999999</v>
      </c>
      <c r="BC85" s="149">
        <f t="shared" ref="BC85" si="381">SUM(BC77:BC84)</f>
        <v>44983.497900000002</v>
      </c>
      <c r="BD85" s="149">
        <f t="shared" ref="BD85" si="382">SUM(BD77:BD84)</f>
        <v>28625.862300000004</v>
      </c>
      <c r="BE85" s="149">
        <f t="shared" ref="BE85" si="383">SUM(BE77:BE84)</f>
        <v>4089.4088999999999</v>
      </c>
      <c r="BF85" s="149">
        <f t="shared" ref="BF85" si="384">SUM(BF77:BF84)</f>
        <v>817.88178000000005</v>
      </c>
      <c r="BG85" s="149">
        <f t="shared" ref="BG85" si="385">SUM(BG77:BG84)</f>
        <v>4987.2674632727985</v>
      </c>
      <c r="BH85" s="149">
        <f t="shared" ref="BH85" si="386">SUM(BH77:BH84)</f>
        <v>15257.774923907997</v>
      </c>
      <c r="BI85" s="149">
        <f t="shared" ref="BI85" si="387">SUM(BI77:BI84)</f>
        <v>5866.4436293831995</v>
      </c>
      <c r="BJ85" s="149">
        <f t="shared" ref="BJ85" si="388">SUM(BJ77:BJ84)</f>
        <v>1368.4484818584999</v>
      </c>
      <c r="BK85" s="149">
        <f t="shared" ref="BK85" si="389">SUM(BK77:BK84)</f>
        <v>273.68969637169994</v>
      </c>
      <c r="BL85" s="149">
        <f t="shared" ref="BL85" si="390">SUM(BL77:BL84)</f>
        <v>19549.185936727201</v>
      </c>
      <c r="BM85" s="149">
        <f t="shared" ref="BM85" si="391">SUM(BM77:BM84)</f>
        <v>29725.722976092005</v>
      </c>
      <c r="BN85" s="149">
        <f t="shared" ref="BN85" si="392">SUM(BN77:BN84)</f>
        <v>22759.4186706168</v>
      </c>
      <c r="BO85" s="149">
        <f t="shared" ref="BO85" si="393">SUM(BO77:BO84)</f>
        <v>2720.9604181414998</v>
      </c>
      <c r="BP85" s="149">
        <f t="shared" ref="BP85" si="394">SUM(BP77:BP84)</f>
        <v>544.19208362830022</v>
      </c>
      <c r="BQ85" s="115"/>
      <c r="BR85" s="116"/>
    </row>
    <row r="86" spans="1:71" s="3" customFormat="1" ht="19.5" thickBot="1" x14ac:dyDescent="0.35">
      <c r="B86" s="201" t="s">
        <v>219</v>
      </c>
      <c r="C86" s="202"/>
      <c r="D86" s="202"/>
      <c r="E86" s="202"/>
      <c r="F86" s="202"/>
      <c r="G86" s="202"/>
      <c r="H86" s="202"/>
      <c r="I86" s="203"/>
      <c r="J86" s="127"/>
      <c r="K86" s="96"/>
      <c r="L86" s="97"/>
      <c r="M86" s="98"/>
      <c r="N86" s="133"/>
      <c r="O86" s="99"/>
      <c r="P86" s="100"/>
      <c r="Q86" s="100"/>
      <c r="R86" s="100"/>
      <c r="S86" s="100"/>
      <c r="T86" s="100"/>
      <c r="U86" s="100"/>
      <c r="V86" s="100"/>
      <c r="W86" s="100"/>
      <c r="X86" s="100"/>
      <c r="Y86" s="100"/>
      <c r="Z86" s="100"/>
      <c r="AA86" s="100"/>
      <c r="AB86" s="100"/>
      <c r="AC86" s="101"/>
      <c r="AD86" s="101"/>
      <c r="AE86" s="101"/>
      <c r="AF86" s="101"/>
      <c r="AG86" s="101"/>
      <c r="AH86" s="133"/>
      <c r="AI86" s="100"/>
      <c r="AJ86" s="100"/>
      <c r="AK86" s="100"/>
      <c r="AL86" s="100"/>
      <c r="AM86" s="144"/>
      <c r="AN86" s="144"/>
      <c r="AO86" s="144"/>
      <c r="AP86" s="144"/>
      <c r="AQ86" s="144"/>
      <c r="AR86" s="100"/>
      <c r="AS86" s="100"/>
      <c r="AT86" s="100"/>
      <c r="AU86" s="100"/>
      <c r="AV86" s="100"/>
      <c r="AW86" s="100"/>
      <c r="AX86" s="100"/>
      <c r="AY86" s="100"/>
      <c r="AZ86" s="100"/>
      <c r="BA86" s="146"/>
      <c r="BB86" s="148"/>
      <c r="BC86" s="99"/>
      <c r="BD86" s="99"/>
      <c r="BE86" s="101"/>
      <c r="BF86" s="101"/>
      <c r="BG86" s="99"/>
      <c r="BH86" s="99"/>
      <c r="BI86" s="99"/>
      <c r="BJ86" s="101"/>
      <c r="BK86" s="101"/>
      <c r="BL86" s="99"/>
      <c r="BM86" s="99"/>
      <c r="BN86" s="99"/>
      <c r="BO86" s="101"/>
      <c r="BP86" s="153"/>
      <c r="BQ86" s="102"/>
      <c r="BR86" s="103"/>
    </row>
    <row r="87" spans="1:71" x14ac:dyDescent="0.25">
      <c r="A87" s="18"/>
      <c r="B87" s="18">
        <v>11</v>
      </c>
      <c r="C87" s="19" t="s">
        <v>53</v>
      </c>
      <c r="D87" s="60">
        <v>18053</v>
      </c>
      <c r="E87" s="47" t="s">
        <v>7</v>
      </c>
      <c r="F87" s="13" t="s">
        <v>209</v>
      </c>
      <c r="G87" s="53">
        <v>19412</v>
      </c>
      <c r="H87" s="53">
        <v>4400</v>
      </c>
      <c r="I87" s="50">
        <f t="shared" ref="I87:I102" si="395">G87+H87</f>
        <v>23812</v>
      </c>
      <c r="J87" s="45">
        <v>0.76</v>
      </c>
      <c r="K87" s="65">
        <f t="shared" ref="K87:K102" si="396">ROUND(G87*J87,2)</f>
        <v>14753.12</v>
      </c>
      <c r="L87" s="66">
        <f t="shared" ref="L87:L102" si="397">1-J87</f>
        <v>0.24</v>
      </c>
      <c r="M87" s="67">
        <f t="shared" ref="M87:M102" si="398">G87-K87</f>
        <v>4658.8799999999992</v>
      </c>
      <c r="N87" s="43">
        <f t="shared" ref="N87:N102" si="399">M87*60*365/1000000</f>
        <v>102.02947199999997</v>
      </c>
      <c r="O87" s="92">
        <f t="shared" ref="O87:O102" si="400">M87*110*365/1000000</f>
        <v>187.05403199999998</v>
      </c>
      <c r="P87" s="72">
        <f t="shared" ref="P87:P102" si="401">M87*70*365/1000000</f>
        <v>119.03438399999997</v>
      </c>
      <c r="Q87" s="72">
        <f t="shared" ref="Q87:Q102" si="402">M87*10*365/1000000</f>
        <v>17.004911999999997</v>
      </c>
      <c r="R87" s="25">
        <f t="shared" ref="R87:R102" si="403">M87*2*365/1000000</f>
        <v>3.4009823999999993</v>
      </c>
      <c r="S87" s="72">
        <f t="shared" ref="S87:S102" si="404">M87*13*365/1000000*0.33</f>
        <v>7.2951072479999981</v>
      </c>
      <c r="T87" s="72">
        <f t="shared" ref="T87:T102" si="405">M87*18*365/1000000*0.33</f>
        <v>10.100917727999999</v>
      </c>
      <c r="U87" s="72">
        <f t="shared" ref="U87:U102" si="406">M87*17*365/1000000*0.33</f>
        <v>9.5397556320000003</v>
      </c>
      <c r="V87" s="72">
        <f t="shared" ref="V87:V102" si="407">M87*2.5*365/1000000*0.33</f>
        <v>1.4029052399999999</v>
      </c>
      <c r="W87" s="72">
        <f t="shared" ref="W87:W102" si="408">M87*0.5*365/1000000*0.33</f>
        <v>0.28058104799999994</v>
      </c>
      <c r="X87" s="72">
        <f t="shared" ref="X87:X102" si="409">M87*19*365/1000000*0.33</f>
        <v>10.662079823999997</v>
      </c>
      <c r="Y87" s="72">
        <f t="shared" ref="Y87:Y102" si="410">M87*26*365/1000000*0.33</f>
        <v>14.590214495999996</v>
      </c>
      <c r="Z87" s="72">
        <f t="shared" ref="Z87:Z102" si="411">M87*18*365/1000000*0.33</f>
        <v>10.100917727999999</v>
      </c>
      <c r="AA87" s="72">
        <f t="shared" ref="AA87:AA102" si="412">M87*0*365/1000000*0.33</f>
        <v>0</v>
      </c>
      <c r="AB87" s="72">
        <f t="shared" ref="AB87:AB102" si="413">M87*0*365/1000000*0.33</f>
        <v>0</v>
      </c>
      <c r="AC87" s="91">
        <f t="shared" ref="AC87:AC102" si="414">N87-S87-X87</f>
        <v>84.072284927999974</v>
      </c>
      <c r="AD87" s="91">
        <f t="shared" ref="AD87:AD102" si="415">O87-T87-Y87</f>
        <v>162.36289977600001</v>
      </c>
      <c r="AE87" s="91">
        <f t="shared" ref="AE87:AE102" si="416">P87-U87-Z87</f>
        <v>99.393710639999981</v>
      </c>
      <c r="AF87" s="91">
        <f t="shared" ref="AF87:AF102" si="417">Q87-V87-AA87</f>
        <v>15.602006759999998</v>
      </c>
      <c r="AG87" s="91">
        <f t="shared" ref="AG87:AG102" si="418">R87-W87-AB87</f>
        <v>3.1204013519999991</v>
      </c>
      <c r="AH87" s="39">
        <f t="shared" ref="AH87:AH102" si="419">(K87+H87)*60*365/1000000</f>
        <v>419.45332800000006</v>
      </c>
      <c r="AI87" s="77">
        <f t="shared" ref="AI87:AI102" si="420">($K87+$H87)*110*365/1000000</f>
        <v>768.99776800000006</v>
      </c>
      <c r="AJ87" s="77">
        <f t="shared" ref="AJ87:AJ102" si="421">($K87+$H87)*70*365/1000000</f>
        <v>489.36221600000005</v>
      </c>
      <c r="AK87" s="77">
        <f t="shared" ref="AK87:AK102" si="422">($K87+$H87)*10*365/1000000</f>
        <v>69.908888000000005</v>
      </c>
      <c r="AL87" s="26">
        <f t="shared" ref="AL87:AL102" si="423">($K87+$H87)*2*365/1000000</f>
        <v>13.981777600000001</v>
      </c>
      <c r="AM87" s="27">
        <v>0.9</v>
      </c>
      <c r="AN87" s="27">
        <v>0.75</v>
      </c>
      <c r="AO87" s="27">
        <v>0.9</v>
      </c>
      <c r="AP87" s="27">
        <v>0.8</v>
      </c>
      <c r="AQ87" s="27">
        <v>0.8</v>
      </c>
      <c r="AR87" s="26">
        <f t="shared" ref="AR87:AR102" si="424">(S87+AH87)*AM87</f>
        <v>384.07359172320008</v>
      </c>
      <c r="AS87" s="26">
        <f t="shared" ref="AS87:AS102" si="425">(T87+AI87)*AN87</f>
        <v>584.32401429600009</v>
      </c>
      <c r="AT87" s="26">
        <f t="shared" ref="AT87:AT102" si="426">(U87+AJ87)*AO87</f>
        <v>449.01177446880001</v>
      </c>
      <c r="AU87" s="26">
        <f t="shared" ref="AU87:AU102" si="427">(V87+AK87)*AP87</f>
        <v>57.049434592000004</v>
      </c>
      <c r="AV87" s="26">
        <f t="shared" ref="AV87:AV102" si="428">(W87+AL87)*AQ87</f>
        <v>11.409886918400002</v>
      </c>
      <c r="AW87" s="26">
        <f t="shared" ref="AW87:AW102" si="429">S87+AH87-AR87</f>
        <v>42.674843524799996</v>
      </c>
      <c r="AX87" s="26">
        <f t="shared" ref="AX87:AX102" si="430">T87+AI87-AS87</f>
        <v>194.77467143199999</v>
      </c>
      <c r="AY87" s="26">
        <f t="shared" ref="AY87:AY102" si="431">U87+AJ87-AT87</f>
        <v>49.890197163200014</v>
      </c>
      <c r="AZ87" s="26">
        <f t="shared" ref="AZ87:AZ102" si="432">V87+AK87-AU87</f>
        <v>14.262358647999996</v>
      </c>
      <c r="BA87" s="40">
        <f t="shared" ref="BA87:BA102" si="433">W87+AL87-AV87</f>
        <v>2.8524717295999995</v>
      </c>
      <c r="BB87" s="37">
        <f t="shared" ref="BB87:BB102" si="434">N87+AH87</f>
        <v>521.4828</v>
      </c>
      <c r="BC87" s="28">
        <f t="shared" ref="BC87:BC102" si="435">O87+AI87</f>
        <v>956.05180000000007</v>
      </c>
      <c r="BD87" s="28">
        <f t="shared" ref="BD87:BD102" si="436">P87+AJ87</f>
        <v>608.39660000000003</v>
      </c>
      <c r="BE87" s="29">
        <f t="shared" ref="BE87:BE102" si="437">Q87+AK87</f>
        <v>86.913800000000009</v>
      </c>
      <c r="BF87" s="29">
        <f t="shared" ref="BF87:BF102" si="438">R87+AL87</f>
        <v>17.382760000000001</v>
      </c>
      <c r="BG87" s="28">
        <f t="shared" ref="BG87:BG102" si="439">AC87+AW87</f>
        <v>126.74712845279997</v>
      </c>
      <c r="BH87" s="28">
        <f t="shared" ref="BH87:BH102" si="440">AD87+AX87</f>
        <v>357.137571208</v>
      </c>
      <c r="BI87" s="28">
        <f t="shared" ref="BI87:BI102" si="441">AE87+AY87</f>
        <v>149.28390780320001</v>
      </c>
      <c r="BJ87" s="29">
        <f t="shared" ref="BJ87:BJ102" si="442">AF87+AZ87</f>
        <v>29.864365407999994</v>
      </c>
      <c r="BK87" s="29">
        <f t="shared" ref="BK87:BK102" si="443">AG87+BA87</f>
        <v>5.9728730815999986</v>
      </c>
      <c r="BL87" s="28">
        <f t="shared" ref="BL87:BL102" si="444">X87+AR87</f>
        <v>394.73567154720007</v>
      </c>
      <c r="BM87" s="28">
        <f t="shared" ref="BM87:BM102" si="445">Y87+AS87</f>
        <v>598.91422879200013</v>
      </c>
      <c r="BN87" s="28">
        <f t="shared" ref="BN87:BN102" si="446">Z87+AT87</f>
        <v>459.11269219680003</v>
      </c>
      <c r="BO87" s="29">
        <f t="shared" ref="BO87:BO102" si="447">AA87+AU87</f>
        <v>57.049434592000004</v>
      </c>
      <c r="BP87" s="30">
        <f t="shared" ref="BP87:BP102" si="448">AB87+AV87</f>
        <v>11.409886918400002</v>
      </c>
      <c r="BQ87" s="10">
        <v>0</v>
      </c>
      <c r="BR87" s="6">
        <v>0</v>
      </c>
    </row>
    <row r="88" spans="1:71" x14ac:dyDescent="0.25">
      <c r="A88" s="18"/>
      <c r="B88" s="18">
        <v>15</v>
      </c>
      <c r="C88" s="19" t="s">
        <v>57</v>
      </c>
      <c r="D88" s="60">
        <v>11456</v>
      </c>
      <c r="E88" s="47" t="s">
        <v>9</v>
      </c>
      <c r="F88" s="13" t="s">
        <v>209</v>
      </c>
      <c r="G88" s="53">
        <v>13272</v>
      </c>
      <c r="H88" s="54">
        <v>138</v>
      </c>
      <c r="I88" s="50">
        <f t="shared" si="395"/>
        <v>13410</v>
      </c>
      <c r="J88" s="45">
        <v>0.84</v>
      </c>
      <c r="K88" s="65">
        <f t="shared" si="396"/>
        <v>11148.48</v>
      </c>
      <c r="L88" s="66">
        <f t="shared" si="397"/>
        <v>0.16000000000000003</v>
      </c>
      <c r="M88" s="67">
        <f t="shared" si="398"/>
        <v>2123.5200000000004</v>
      </c>
      <c r="N88" s="43">
        <f t="shared" si="399"/>
        <v>46.505088000000008</v>
      </c>
      <c r="O88" s="92">
        <f t="shared" si="400"/>
        <v>85.259328000000011</v>
      </c>
      <c r="P88" s="72">
        <f t="shared" si="401"/>
        <v>54.255936000000005</v>
      </c>
      <c r="Q88" s="72">
        <f t="shared" si="402"/>
        <v>7.7508480000000022</v>
      </c>
      <c r="R88" s="25">
        <f t="shared" si="403"/>
        <v>1.5501696000000003</v>
      </c>
      <c r="S88" s="72">
        <f t="shared" si="404"/>
        <v>3.3251137920000007</v>
      </c>
      <c r="T88" s="72">
        <f t="shared" si="405"/>
        <v>4.6040037120000008</v>
      </c>
      <c r="U88" s="72">
        <f t="shared" si="406"/>
        <v>4.3482257280000018</v>
      </c>
      <c r="V88" s="72">
        <f t="shared" si="407"/>
        <v>0.63944496000000017</v>
      </c>
      <c r="W88" s="72">
        <f t="shared" si="408"/>
        <v>0.12788899200000003</v>
      </c>
      <c r="X88" s="72">
        <f t="shared" si="409"/>
        <v>4.8597816960000007</v>
      </c>
      <c r="Y88" s="72">
        <f t="shared" si="410"/>
        <v>6.6502275840000014</v>
      </c>
      <c r="Z88" s="72">
        <f t="shared" si="411"/>
        <v>4.6040037120000008</v>
      </c>
      <c r="AA88" s="72">
        <f t="shared" si="412"/>
        <v>0</v>
      </c>
      <c r="AB88" s="72">
        <f t="shared" si="413"/>
        <v>0</v>
      </c>
      <c r="AC88" s="91">
        <f t="shared" si="414"/>
        <v>38.320192512000006</v>
      </c>
      <c r="AD88" s="91">
        <f t="shared" si="415"/>
        <v>74.005096703999996</v>
      </c>
      <c r="AE88" s="91">
        <f t="shared" si="416"/>
        <v>45.303706560000002</v>
      </c>
      <c r="AF88" s="91">
        <f t="shared" si="417"/>
        <v>7.1114030400000017</v>
      </c>
      <c r="AG88" s="91">
        <f t="shared" si="418"/>
        <v>1.4222806080000003</v>
      </c>
      <c r="AH88" s="39">
        <f t="shared" si="419"/>
        <v>247.17391199999997</v>
      </c>
      <c r="AI88" s="77">
        <f t="shared" si="420"/>
        <v>453.15217200000001</v>
      </c>
      <c r="AJ88" s="77">
        <f t="shared" si="421"/>
        <v>288.36956400000003</v>
      </c>
      <c r="AK88" s="77">
        <f t="shared" si="422"/>
        <v>41.195651999999995</v>
      </c>
      <c r="AL88" s="26">
        <f t="shared" si="423"/>
        <v>8.2391303999999987</v>
      </c>
      <c r="AM88" s="27">
        <v>0.9</v>
      </c>
      <c r="AN88" s="27">
        <v>0.75</v>
      </c>
      <c r="AO88" s="27">
        <v>0.9</v>
      </c>
      <c r="AP88" s="27">
        <v>0.8</v>
      </c>
      <c r="AQ88" s="27">
        <v>0.8</v>
      </c>
      <c r="AR88" s="26">
        <f t="shared" si="424"/>
        <v>225.44912321279998</v>
      </c>
      <c r="AS88" s="26">
        <f t="shared" si="425"/>
        <v>343.31713178400003</v>
      </c>
      <c r="AT88" s="26">
        <f t="shared" si="426"/>
        <v>263.44601075520001</v>
      </c>
      <c r="AU88" s="26">
        <f t="shared" si="427"/>
        <v>33.468077567999998</v>
      </c>
      <c r="AV88" s="26">
        <f t="shared" si="428"/>
        <v>6.6936155136000002</v>
      </c>
      <c r="AW88" s="26">
        <f t="shared" si="429"/>
        <v>25.049902579199994</v>
      </c>
      <c r="AX88" s="26">
        <f t="shared" si="430"/>
        <v>114.43904392799999</v>
      </c>
      <c r="AY88" s="26">
        <f t="shared" si="431"/>
        <v>29.271778972800007</v>
      </c>
      <c r="AZ88" s="26">
        <f t="shared" si="432"/>
        <v>8.367019391999996</v>
      </c>
      <c r="BA88" s="40">
        <f t="shared" si="433"/>
        <v>1.6734038783999994</v>
      </c>
      <c r="BB88" s="37">
        <f t="shared" si="434"/>
        <v>293.67899999999997</v>
      </c>
      <c r="BC88" s="28">
        <f t="shared" si="435"/>
        <v>538.41150000000005</v>
      </c>
      <c r="BD88" s="28">
        <f t="shared" si="436"/>
        <v>342.62550000000005</v>
      </c>
      <c r="BE88" s="29">
        <f t="shared" si="437"/>
        <v>48.9465</v>
      </c>
      <c r="BF88" s="29">
        <f t="shared" si="438"/>
        <v>9.789299999999999</v>
      </c>
      <c r="BG88" s="28">
        <f t="shared" si="439"/>
        <v>63.3700950912</v>
      </c>
      <c r="BH88" s="28">
        <f t="shared" si="440"/>
        <v>188.44414063199997</v>
      </c>
      <c r="BI88" s="28">
        <f t="shared" si="441"/>
        <v>74.575485532800002</v>
      </c>
      <c r="BJ88" s="29">
        <f t="shared" si="442"/>
        <v>15.478422431999999</v>
      </c>
      <c r="BK88" s="29">
        <f t="shared" si="443"/>
        <v>3.0956844863999997</v>
      </c>
      <c r="BL88" s="28">
        <f t="shared" si="444"/>
        <v>230.30890490879997</v>
      </c>
      <c r="BM88" s="28">
        <f t="shared" si="445"/>
        <v>349.96735936800002</v>
      </c>
      <c r="BN88" s="28">
        <f t="shared" si="446"/>
        <v>268.05001446720001</v>
      </c>
      <c r="BO88" s="29">
        <f t="shared" si="447"/>
        <v>33.468077567999998</v>
      </c>
      <c r="BP88" s="30">
        <f t="shared" si="448"/>
        <v>6.6936155136000002</v>
      </c>
      <c r="BQ88" s="10">
        <v>0</v>
      </c>
      <c r="BR88" s="6">
        <v>0</v>
      </c>
      <c r="BS88" t="s">
        <v>131</v>
      </c>
    </row>
    <row r="89" spans="1:71" ht="90" x14ac:dyDescent="0.25">
      <c r="A89" s="18"/>
      <c r="B89" s="18">
        <v>16</v>
      </c>
      <c r="C89" s="19" t="s">
        <v>58</v>
      </c>
      <c r="D89" s="60">
        <v>11091</v>
      </c>
      <c r="E89" s="57" t="s">
        <v>133</v>
      </c>
      <c r="F89" s="14" t="s">
        <v>209</v>
      </c>
      <c r="G89" s="53">
        <v>12650</v>
      </c>
      <c r="H89" s="54">
        <v>220</v>
      </c>
      <c r="I89" s="50">
        <f t="shared" si="395"/>
        <v>12870</v>
      </c>
      <c r="J89" s="45">
        <v>0.51</v>
      </c>
      <c r="K89" s="65">
        <f t="shared" si="396"/>
        <v>6451.5</v>
      </c>
      <c r="L89" s="66">
        <f t="shared" si="397"/>
        <v>0.49</v>
      </c>
      <c r="M89" s="67">
        <f t="shared" si="398"/>
        <v>6198.5</v>
      </c>
      <c r="N89" s="43">
        <f t="shared" si="399"/>
        <v>135.74715</v>
      </c>
      <c r="O89" s="92">
        <f t="shared" si="400"/>
        <v>248.869775</v>
      </c>
      <c r="P89" s="72">
        <f t="shared" si="401"/>
        <v>158.37167500000001</v>
      </c>
      <c r="Q89" s="72">
        <f t="shared" si="402"/>
        <v>22.624524999999998</v>
      </c>
      <c r="R89" s="25">
        <f t="shared" si="403"/>
        <v>4.5249050000000004</v>
      </c>
      <c r="S89" s="72">
        <f t="shared" si="404"/>
        <v>9.7059212250000009</v>
      </c>
      <c r="T89" s="72">
        <f t="shared" si="405"/>
        <v>13.438967850000001</v>
      </c>
      <c r="U89" s="72">
        <f t="shared" si="406"/>
        <v>12.692358525</v>
      </c>
      <c r="V89" s="72">
        <f t="shared" si="407"/>
        <v>1.8665233125</v>
      </c>
      <c r="W89" s="72">
        <f t="shared" si="408"/>
        <v>0.37330466250000005</v>
      </c>
      <c r="X89" s="72">
        <f t="shared" si="409"/>
        <v>14.185577175000001</v>
      </c>
      <c r="Y89" s="72">
        <f t="shared" si="410"/>
        <v>19.411842450000002</v>
      </c>
      <c r="Z89" s="72">
        <f t="shared" si="411"/>
        <v>13.438967850000001</v>
      </c>
      <c r="AA89" s="72">
        <f t="shared" si="412"/>
        <v>0</v>
      </c>
      <c r="AB89" s="72">
        <f t="shared" si="413"/>
        <v>0</v>
      </c>
      <c r="AC89" s="91">
        <f t="shared" si="414"/>
        <v>111.8556516</v>
      </c>
      <c r="AD89" s="91">
        <f t="shared" si="415"/>
        <v>216.0189647</v>
      </c>
      <c r="AE89" s="91">
        <f t="shared" si="416"/>
        <v>132.240348625</v>
      </c>
      <c r="AF89" s="91">
        <f t="shared" si="417"/>
        <v>20.758001687499998</v>
      </c>
      <c r="AG89" s="91">
        <f t="shared" si="418"/>
        <v>4.1516003375000006</v>
      </c>
      <c r="AH89" s="39">
        <f t="shared" si="419"/>
        <v>146.10585</v>
      </c>
      <c r="AI89" s="77">
        <f t="shared" si="420"/>
        <v>267.860725</v>
      </c>
      <c r="AJ89" s="77">
        <f t="shared" si="421"/>
        <v>170.45682500000001</v>
      </c>
      <c r="AK89" s="77">
        <f t="shared" si="422"/>
        <v>24.350974999999998</v>
      </c>
      <c r="AL89" s="26">
        <f t="shared" si="423"/>
        <v>4.8701949999999998</v>
      </c>
      <c r="AM89" s="27">
        <v>0.9</v>
      </c>
      <c r="AN89" s="27">
        <v>0.75</v>
      </c>
      <c r="AO89" s="27">
        <v>0.9</v>
      </c>
      <c r="AP89" s="27">
        <v>0.8</v>
      </c>
      <c r="AQ89" s="27">
        <v>0.8</v>
      </c>
      <c r="AR89" s="26">
        <f t="shared" si="424"/>
        <v>140.23059410249999</v>
      </c>
      <c r="AS89" s="26">
        <f t="shared" si="425"/>
        <v>210.9747696375</v>
      </c>
      <c r="AT89" s="26">
        <f t="shared" si="426"/>
        <v>164.83426517250001</v>
      </c>
      <c r="AU89" s="26">
        <f t="shared" si="427"/>
        <v>20.973998649999999</v>
      </c>
      <c r="AV89" s="26">
        <f t="shared" si="428"/>
        <v>4.1947997299999997</v>
      </c>
      <c r="AW89" s="26">
        <f t="shared" si="429"/>
        <v>15.581177122500009</v>
      </c>
      <c r="AX89" s="26">
        <f t="shared" si="430"/>
        <v>70.324923212499982</v>
      </c>
      <c r="AY89" s="26">
        <f t="shared" si="431"/>
        <v>18.314918352500001</v>
      </c>
      <c r="AZ89" s="26">
        <f t="shared" si="432"/>
        <v>5.2434996624999997</v>
      </c>
      <c r="BA89" s="40">
        <f t="shared" si="433"/>
        <v>1.0486999324999999</v>
      </c>
      <c r="BB89" s="37">
        <f t="shared" si="434"/>
        <v>281.85300000000001</v>
      </c>
      <c r="BC89" s="28">
        <f t="shared" si="435"/>
        <v>516.73050000000001</v>
      </c>
      <c r="BD89" s="28">
        <f t="shared" si="436"/>
        <v>328.82850000000002</v>
      </c>
      <c r="BE89" s="29">
        <f t="shared" si="437"/>
        <v>46.975499999999997</v>
      </c>
      <c r="BF89" s="29">
        <f t="shared" si="438"/>
        <v>9.3950999999999993</v>
      </c>
      <c r="BG89" s="28">
        <f t="shared" si="439"/>
        <v>127.43682872250001</v>
      </c>
      <c r="BH89" s="28">
        <f t="shared" si="440"/>
        <v>286.34388791250001</v>
      </c>
      <c r="BI89" s="28">
        <f t="shared" si="441"/>
        <v>150.5552669775</v>
      </c>
      <c r="BJ89" s="29">
        <f t="shared" si="442"/>
        <v>26.001501349999998</v>
      </c>
      <c r="BK89" s="29">
        <f t="shared" si="443"/>
        <v>5.2003002700000005</v>
      </c>
      <c r="BL89" s="28">
        <f t="shared" si="444"/>
        <v>154.41617127749998</v>
      </c>
      <c r="BM89" s="28">
        <f t="shared" si="445"/>
        <v>230.3866120875</v>
      </c>
      <c r="BN89" s="28">
        <f t="shared" si="446"/>
        <v>178.27323302250002</v>
      </c>
      <c r="BO89" s="29">
        <f t="shared" si="447"/>
        <v>20.973998649999999</v>
      </c>
      <c r="BP89" s="30">
        <f t="shared" si="448"/>
        <v>4.1947997299999997</v>
      </c>
      <c r="BQ89" s="10">
        <v>18000</v>
      </c>
      <c r="BR89" s="6">
        <v>0</v>
      </c>
      <c r="BS89" t="s">
        <v>128</v>
      </c>
    </row>
    <row r="90" spans="1:71" x14ac:dyDescent="0.25">
      <c r="A90" s="18"/>
      <c r="B90" s="18">
        <v>19</v>
      </c>
      <c r="C90" s="19" t="s">
        <v>61</v>
      </c>
      <c r="D90" s="60">
        <v>9984</v>
      </c>
      <c r="E90" s="47" t="s">
        <v>174</v>
      </c>
      <c r="F90" s="13" t="s">
        <v>209</v>
      </c>
      <c r="G90" s="53">
        <v>12041</v>
      </c>
      <c r="H90" s="53">
        <v>5767</v>
      </c>
      <c r="I90" s="50">
        <f t="shared" si="395"/>
        <v>17808</v>
      </c>
      <c r="J90" s="45">
        <v>0.6</v>
      </c>
      <c r="K90" s="65">
        <f t="shared" si="396"/>
        <v>7224.6</v>
      </c>
      <c r="L90" s="66">
        <f t="shared" si="397"/>
        <v>0.4</v>
      </c>
      <c r="M90" s="67">
        <f t="shared" si="398"/>
        <v>4816.3999999999996</v>
      </c>
      <c r="N90" s="43">
        <f t="shared" si="399"/>
        <v>105.47915999999999</v>
      </c>
      <c r="O90" s="92">
        <f t="shared" si="400"/>
        <v>193.37845999999999</v>
      </c>
      <c r="P90" s="72">
        <f t="shared" si="401"/>
        <v>123.05902</v>
      </c>
      <c r="Q90" s="72">
        <f t="shared" si="402"/>
        <v>17.57986</v>
      </c>
      <c r="R90" s="25">
        <f t="shared" si="403"/>
        <v>3.5159719999999997</v>
      </c>
      <c r="S90" s="72">
        <f t="shared" si="404"/>
        <v>7.5417599400000004</v>
      </c>
      <c r="T90" s="72">
        <f t="shared" si="405"/>
        <v>10.442436839999999</v>
      </c>
      <c r="U90" s="72">
        <f t="shared" si="406"/>
        <v>9.8623014599999994</v>
      </c>
      <c r="V90" s="72">
        <f t="shared" si="407"/>
        <v>1.4503384500000001</v>
      </c>
      <c r="W90" s="72">
        <f t="shared" si="408"/>
        <v>0.29006768999999999</v>
      </c>
      <c r="X90" s="72">
        <f t="shared" si="409"/>
        <v>11.022572219999999</v>
      </c>
      <c r="Y90" s="72">
        <f t="shared" si="410"/>
        <v>15.083519880000001</v>
      </c>
      <c r="Z90" s="72">
        <f t="shared" si="411"/>
        <v>10.442436839999999</v>
      </c>
      <c r="AA90" s="72">
        <f t="shared" si="412"/>
        <v>0</v>
      </c>
      <c r="AB90" s="72">
        <f t="shared" si="413"/>
        <v>0</v>
      </c>
      <c r="AC90" s="91">
        <f t="shared" si="414"/>
        <v>86.914827839999987</v>
      </c>
      <c r="AD90" s="91">
        <f t="shared" si="415"/>
        <v>167.85250327999998</v>
      </c>
      <c r="AE90" s="91">
        <f t="shared" si="416"/>
        <v>102.75428170000001</v>
      </c>
      <c r="AF90" s="91">
        <f t="shared" si="417"/>
        <v>16.12952155</v>
      </c>
      <c r="AG90" s="91">
        <f t="shared" si="418"/>
        <v>3.2259043099999998</v>
      </c>
      <c r="AH90" s="39">
        <f t="shared" si="419"/>
        <v>284.51603999999998</v>
      </c>
      <c r="AI90" s="77">
        <f t="shared" si="420"/>
        <v>521.61274000000003</v>
      </c>
      <c r="AJ90" s="77">
        <f t="shared" si="421"/>
        <v>331.93538000000001</v>
      </c>
      <c r="AK90" s="77">
        <f t="shared" si="422"/>
        <v>47.419339999999998</v>
      </c>
      <c r="AL90" s="26">
        <f t="shared" si="423"/>
        <v>9.4838679999999993</v>
      </c>
      <c r="AM90" s="27">
        <v>0.9</v>
      </c>
      <c r="AN90" s="27">
        <v>0.75</v>
      </c>
      <c r="AO90" s="27">
        <v>0.9</v>
      </c>
      <c r="AP90" s="27">
        <v>0.8</v>
      </c>
      <c r="AQ90" s="27">
        <v>0.8</v>
      </c>
      <c r="AR90" s="26">
        <f t="shared" si="424"/>
        <v>262.85201994599998</v>
      </c>
      <c r="AS90" s="26">
        <f t="shared" si="425"/>
        <v>399.04138263000004</v>
      </c>
      <c r="AT90" s="26">
        <f t="shared" si="426"/>
        <v>307.61791331400002</v>
      </c>
      <c r="AU90" s="26">
        <f t="shared" si="427"/>
        <v>39.09574276</v>
      </c>
      <c r="AV90" s="26">
        <f t="shared" si="428"/>
        <v>7.8191485520000006</v>
      </c>
      <c r="AW90" s="26">
        <f t="shared" si="429"/>
        <v>29.205779994000011</v>
      </c>
      <c r="AX90" s="26">
        <f t="shared" si="430"/>
        <v>133.01379421000001</v>
      </c>
      <c r="AY90" s="26">
        <f t="shared" si="431"/>
        <v>34.179768146000015</v>
      </c>
      <c r="AZ90" s="26">
        <f t="shared" si="432"/>
        <v>9.7739356899999947</v>
      </c>
      <c r="BA90" s="40">
        <f t="shared" si="433"/>
        <v>1.9547871379999995</v>
      </c>
      <c r="BB90" s="37">
        <f t="shared" si="434"/>
        <v>389.99519999999995</v>
      </c>
      <c r="BC90" s="28">
        <f t="shared" si="435"/>
        <v>714.99120000000005</v>
      </c>
      <c r="BD90" s="28">
        <f t="shared" si="436"/>
        <v>454.99440000000004</v>
      </c>
      <c r="BE90" s="29">
        <f t="shared" si="437"/>
        <v>64.999200000000002</v>
      </c>
      <c r="BF90" s="29">
        <f t="shared" si="438"/>
        <v>12.999839999999999</v>
      </c>
      <c r="BG90" s="28">
        <f t="shared" si="439"/>
        <v>116.120607834</v>
      </c>
      <c r="BH90" s="28">
        <f t="shared" si="440"/>
        <v>300.86629748999997</v>
      </c>
      <c r="BI90" s="28">
        <f t="shared" si="441"/>
        <v>136.93404984600002</v>
      </c>
      <c r="BJ90" s="29">
        <f t="shared" si="442"/>
        <v>25.903457239999994</v>
      </c>
      <c r="BK90" s="29">
        <f t="shared" si="443"/>
        <v>5.1806914479999993</v>
      </c>
      <c r="BL90" s="28">
        <f t="shared" si="444"/>
        <v>273.87459216599996</v>
      </c>
      <c r="BM90" s="28">
        <f t="shared" si="445"/>
        <v>414.12490251000003</v>
      </c>
      <c r="BN90" s="28">
        <f t="shared" si="446"/>
        <v>318.06035015400005</v>
      </c>
      <c r="BO90" s="29">
        <f t="shared" si="447"/>
        <v>39.09574276</v>
      </c>
      <c r="BP90" s="30">
        <f t="shared" si="448"/>
        <v>7.8191485520000006</v>
      </c>
      <c r="BQ90" s="10">
        <v>227559</v>
      </c>
      <c r="BR90" s="6">
        <v>657408</v>
      </c>
      <c r="BS90" t="s">
        <v>198</v>
      </c>
    </row>
    <row r="91" spans="1:71" x14ac:dyDescent="0.25">
      <c r="A91" s="18"/>
      <c r="B91" s="18">
        <v>39</v>
      </c>
      <c r="C91" s="19" t="s">
        <v>81</v>
      </c>
      <c r="D91" s="60">
        <v>4447</v>
      </c>
      <c r="E91" s="47" t="s">
        <v>182</v>
      </c>
      <c r="F91" s="13" t="s">
        <v>209</v>
      </c>
      <c r="G91" s="53">
        <v>5516</v>
      </c>
      <c r="H91" s="53">
        <v>1433</v>
      </c>
      <c r="I91" s="50">
        <f t="shared" si="395"/>
        <v>6949</v>
      </c>
      <c r="J91" s="45">
        <v>0.86</v>
      </c>
      <c r="K91" s="65">
        <f t="shared" si="396"/>
        <v>4743.76</v>
      </c>
      <c r="L91" s="66">
        <f t="shared" si="397"/>
        <v>0.14000000000000001</v>
      </c>
      <c r="M91" s="67">
        <f t="shared" si="398"/>
        <v>772.23999999999978</v>
      </c>
      <c r="N91" s="43">
        <f t="shared" si="399"/>
        <v>16.912055999999996</v>
      </c>
      <c r="O91" s="92">
        <f t="shared" si="400"/>
        <v>31.005435999999992</v>
      </c>
      <c r="P91" s="72">
        <f t="shared" si="401"/>
        <v>19.730731999999996</v>
      </c>
      <c r="Q91" s="72">
        <f t="shared" si="402"/>
        <v>2.8186759999999991</v>
      </c>
      <c r="R91" s="25">
        <f t="shared" si="403"/>
        <v>0.56373519999999988</v>
      </c>
      <c r="S91" s="72">
        <f t="shared" si="404"/>
        <v>1.2092120039999998</v>
      </c>
      <c r="T91" s="72">
        <f t="shared" si="405"/>
        <v>1.6742935439999997</v>
      </c>
      <c r="U91" s="72">
        <f t="shared" si="406"/>
        <v>1.5812772359999994</v>
      </c>
      <c r="V91" s="72">
        <f t="shared" si="407"/>
        <v>0.23254076999999992</v>
      </c>
      <c r="W91" s="72">
        <f t="shared" si="408"/>
        <v>4.6508153999999989E-2</v>
      </c>
      <c r="X91" s="72">
        <f t="shared" si="409"/>
        <v>1.7673098519999995</v>
      </c>
      <c r="Y91" s="72">
        <f t="shared" si="410"/>
        <v>2.4184240079999997</v>
      </c>
      <c r="Z91" s="72">
        <f t="shared" si="411"/>
        <v>1.6742935439999997</v>
      </c>
      <c r="AA91" s="72">
        <f t="shared" si="412"/>
        <v>0</v>
      </c>
      <c r="AB91" s="72">
        <f t="shared" si="413"/>
        <v>0</v>
      </c>
      <c r="AC91" s="91">
        <f t="shared" si="414"/>
        <v>13.935534143999998</v>
      </c>
      <c r="AD91" s="91">
        <f t="shared" si="415"/>
        <v>26.912718447999993</v>
      </c>
      <c r="AE91" s="91">
        <f t="shared" si="416"/>
        <v>16.475161219999997</v>
      </c>
      <c r="AF91" s="91">
        <f t="shared" si="417"/>
        <v>2.5861352299999991</v>
      </c>
      <c r="AG91" s="91">
        <f t="shared" si="418"/>
        <v>0.51722704599999991</v>
      </c>
      <c r="AH91" s="39">
        <f t="shared" si="419"/>
        <v>135.27104399999999</v>
      </c>
      <c r="AI91" s="77">
        <f t="shared" si="420"/>
        <v>247.996914</v>
      </c>
      <c r="AJ91" s="77">
        <f t="shared" si="421"/>
        <v>157.81621799999999</v>
      </c>
      <c r="AK91" s="77">
        <f t="shared" si="422"/>
        <v>22.545174000000003</v>
      </c>
      <c r="AL91" s="26">
        <f t="shared" si="423"/>
        <v>4.5090348000000002</v>
      </c>
      <c r="AM91" s="27">
        <v>0.9</v>
      </c>
      <c r="AN91" s="27">
        <v>0.75</v>
      </c>
      <c r="AO91" s="27">
        <v>0.9</v>
      </c>
      <c r="AP91" s="27">
        <v>0.1</v>
      </c>
      <c r="AQ91" s="27">
        <v>0.1</v>
      </c>
      <c r="AR91" s="26">
        <f t="shared" si="424"/>
        <v>122.83223040359999</v>
      </c>
      <c r="AS91" s="26">
        <f t="shared" si="425"/>
        <v>187.25340565799999</v>
      </c>
      <c r="AT91" s="26">
        <f t="shared" si="426"/>
        <v>143.4577457124</v>
      </c>
      <c r="AU91" s="26">
        <f t="shared" si="427"/>
        <v>2.2777714770000004</v>
      </c>
      <c r="AV91" s="26">
        <f t="shared" si="428"/>
        <v>0.45555429540000003</v>
      </c>
      <c r="AW91" s="26">
        <f t="shared" si="429"/>
        <v>13.64802560039999</v>
      </c>
      <c r="AX91" s="26">
        <f t="shared" si="430"/>
        <v>62.417801886000007</v>
      </c>
      <c r="AY91" s="26">
        <f t="shared" si="431"/>
        <v>15.9397495236</v>
      </c>
      <c r="AZ91" s="26">
        <f t="shared" si="432"/>
        <v>20.499943293000001</v>
      </c>
      <c r="BA91" s="40">
        <f t="shared" si="433"/>
        <v>4.0999886586000001</v>
      </c>
      <c r="BB91" s="37">
        <f t="shared" si="434"/>
        <v>152.1831</v>
      </c>
      <c r="BC91" s="28">
        <f t="shared" si="435"/>
        <v>279.00234999999998</v>
      </c>
      <c r="BD91" s="28">
        <f t="shared" si="436"/>
        <v>177.54694999999998</v>
      </c>
      <c r="BE91" s="29">
        <f t="shared" si="437"/>
        <v>25.363850000000003</v>
      </c>
      <c r="BF91" s="29">
        <f t="shared" si="438"/>
        <v>5.0727700000000002</v>
      </c>
      <c r="BG91" s="28">
        <f t="shared" si="439"/>
        <v>27.583559744399988</v>
      </c>
      <c r="BH91" s="28">
        <f t="shared" si="440"/>
        <v>89.330520333999999</v>
      </c>
      <c r="BI91" s="28">
        <f t="shared" si="441"/>
        <v>32.414910743599997</v>
      </c>
      <c r="BJ91" s="29">
        <f t="shared" si="442"/>
        <v>23.086078523000001</v>
      </c>
      <c r="BK91" s="29">
        <f t="shared" si="443"/>
        <v>4.6172157045999995</v>
      </c>
      <c r="BL91" s="28">
        <f t="shared" si="444"/>
        <v>124.59954025559999</v>
      </c>
      <c r="BM91" s="28">
        <f t="shared" si="445"/>
        <v>189.67182966599998</v>
      </c>
      <c r="BN91" s="28">
        <f t="shared" si="446"/>
        <v>145.13203925639999</v>
      </c>
      <c r="BO91" s="29">
        <f t="shared" si="447"/>
        <v>2.2777714770000004</v>
      </c>
      <c r="BP91" s="30">
        <f t="shared" si="448"/>
        <v>0.45555429540000003</v>
      </c>
      <c r="BQ91" s="10">
        <v>161035</v>
      </c>
      <c r="BR91" s="6">
        <v>0</v>
      </c>
      <c r="BS91" t="s">
        <v>128</v>
      </c>
    </row>
    <row r="92" spans="1:71" x14ac:dyDescent="0.25">
      <c r="A92" s="18"/>
      <c r="B92" s="18">
        <v>42</v>
      </c>
      <c r="C92" s="19" t="s">
        <v>83</v>
      </c>
      <c r="D92" s="60">
        <v>3852</v>
      </c>
      <c r="E92" s="47" t="s">
        <v>146</v>
      </c>
      <c r="F92" s="13" t="s">
        <v>209</v>
      </c>
      <c r="G92" s="53">
        <v>4740</v>
      </c>
      <c r="H92" s="54">
        <v>319</v>
      </c>
      <c r="I92" s="50">
        <f t="shared" si="395"/>
        <v>5059</v>
      </c>
      <c r="J92" s="45">
        <v>0.69</v>
      </c>
      <c r="K92" s="65">
        <f t="shared" si="396"/>
        <v>3270.6</v>
      </c>
      <c r="L92" s="66">
        <f t="shared" si="397"/>
        <v>0.31000000000000005</v>
      </c>
      <c r="M92" s="67">
        <f t="shared" si="398"/>
        <v>1469.4</v>
      </c>
      <c r="N92" s="43">
        <f t="shared" si="399"/>
        <v>32.179859999999998</v>
      </c>
      <c r="O92" s="92">
        <f t="shared" si="400"/>
        <v>58.996409999999997</v>
      </c>
      <c r="P92" s="72">
        <f t="shared" si="401"/>
        <v>37.543170000000003</v>
      </c>
      <c r="Q92" s="72">
        <f t="shared" si="402"/>
        <v>5.3633100000000002</v>
      </c>
      <c r="R92" s="25">
        <f t="shared" si="403"/>
        <v>1.072662</v>
      </c>
      <c r="S92" s="72">
        <f t="shared" si="404"/>
        <v>2.3008599900000002</v>
      </c>
      <c r="T92" s="72">
        <f t="shared" si="405"/>
        <v>3.18580614</v>
      </c>
      <c r="U92" s="72">
        <f t="shared" si="406"/>
        <v>3.0088169100000011</v>
      </c>
      <c r="V92" s="72">
        <f t="shared" si="407"/>
        <v>0.44247307500000005</v>
      </c>
      <c r="W92" s="72">
        <f t="shared" si="408"/>
        <v>8.8494614999999999E-2</v>
      </c>
      <c r="X92" s="72">
        <f t="shared" si="409"/>
        <v>3.3627953700000002</v>
      </c>
      <c r="Y92" s="72">
        <f t="shared" si="410"/>
        <v>4.6017199800000004</v>
      </c>
      <c r="Z92" s="72">
        <f t="shared" si="411"/>
        <v>3.18580614</v>
      </c>
      <c r="AA92" s="72">
        <f t="shared" si="412"/>
        <v>0</v>
      </c>
      <c r="AB92" s="72">
        <f t="shared" si="413"/>
        <v>0</v>
      </c>
      <c r="AC92" s="91">
        <f t="shared" si="414"/>
        <v>26.516204639999998</v>
      </c>
      <c r="AD92" s="91">
        <f t="shared" si="415"/>
        <v>51.208883880000002</v>
      </c>
      <c r="AE92" s="91">
        <f t="shared" si="416"/>
        <v>31.348546950000003</v>
      </c>
      <c r="AF92" s="91">
        <f t="shared" si="417"/>
        <v>4.9208369250000006</v>
      </c>
      <c r="AG92" s="91">
        <f t="shared" si="418"/>
        <v>0.98416738500000001</v>
      </c>
      <c r="AH92" s="39">
        <f t="shared" si="419"/>
        <v>78.61224</v>
      </c>
      <c r="AI92" s="77">
        <f t="shared" si="420"/>
        <v>144.12244000000001</v>
      </c>
      <c r="AJ92" s="77">
        <f t="shared" si="421"/>
        <v>91.714280000000002</v>
      </c>
      <c r="AK92" s="77">
        <f t="shared" si="422"/>
        <v>13.102040000000001</v>
      </c>
      <c r="AL92" s="26">
        <f t="shared" si="423"/>
        <v>2.6204079999999998</v>
      </c>
      <c r="AM92" s="27">
        <v>0.9</v>
      </c>
      <c r="AN92" s="27">
        <v>0.75</v>
      </c>
      <c r="AO92" s="27">
        <v>0.9</v>
      </c>
      <c r="AP92" s="27">
        <v>0.1</v>
      </c>
      <c r="AQ92" s="27">
        <v>0.1</v>
      </c>
      <c r="AR92" s="26">
        <f t="shared" si="424"/>
        <v>72.821789991000003</v>
      </c>
      <c r="AS92" s="26">
        <f t="shared" si="425"/>
        <v>110.48118460500001</v>
      </c>
      <c r="AT92" s="26">
        <f t="shared" si="426"/>
        <v>85.250787219000017</v>
      </c>
      <c r="AU92" s="26">
        <f t="shared" si="427"/>
        <v>1.3544513075000002</v>
      </c>
      <c r="AV92" s="26">
        <f t="shared" si="428"/>
        <v>0.27089026150000001</v>
      </c>
      <c r="AW92" s="26">
        <f t="shared" si="429"/>
        <v>8.0913099990000035</v>
      </c>
      <c r="AX92" s="26">
        <f t="shared" si="430"/>
        <v>36.827061535000013</v>
      </c>
      <c r="AY92" s="26">
        <f t="shared" si="431"/>
        <v>9.4723096909999924</v>
      </c>
      <c r="AZ92" s="26">
        <f t="shared" si="432"/>
        <v>12.190061767500001</v>
      </c>
      <c r="BA92" s="40">
        <f t="shared" si="433"/>
        <v>2.4380123535</v>
      </c>
      <c r="BB92" s="37">
        <f t="shared" si="434"/>
        <v>110.7921</v>
      </c>
      <c r="BC92" s="28">
        <f t="shared" si="435"/>
        <v>203.11885000000001</v>
      </c>
      <c r="BD92" s="28">
        <f t="shared" si="436"/>
        <v>129.25745000000001</v>
      </c>
      <c r="BE92" s="29">
        <f t="shared" si="437"/>
        <v>18.465350000000001</v>
      </c>
      <c r="BF92" s="29">
        <f t="shared" si="438"/>
        <v>3.6930699999999996</v>
      </c>
      <c r="BG92" s="28">
        <f t="shared" si="439"/>
        <v>34.607514639000001</v>
      </c>
      <c r="BH92" s="28">
        <f t="shared" si="440"/>
        <v>88.035945415000015</v>
      </c>
      <c r="BI92" s="28">
        <f t="shared" si="441"/>
        <v>40.820856640999992</v>
      </c>
      <c r="BJ92" s="29">
        <f t="shared" si="442"/>
        <v>17.110898692500001</v>
      </c>
      <c r="BK92" s="29">
        <f t="shared" si="443"/>
        <v>3.4221797385000001</v>
      </c>
      <c r="BL92" s="28">
        <f t="shared" si="444"/>
        <v>76.184585361000003</v>
      </c>
      <c r="BM92" s="28">
        <f t="shared" si="445"/>
        <v>115.08290458500001</v>
      </c>
      <c r="BN92" s="28">
        <f t="shared" si="446"/>
        <v>88.436593359000014</v>
      </c>
      <c r="BO92" s="29">
        <f t="shared" si="447"/>
        <v>1.3544513075000002</v>
      </c>
      <c r="BP92" s="30">
        <f t="shared" si="448"/>
        <v>0.27089026150000001</v>
      </c>
      <c r="BQ92" s="10">
        <v>0</v>
      </c>
      <c r="BR92" s="6">
        <v>0</v>
      </c>
      <c r="BS92" t="s">
        <v>3</v>
      </c>
    </row>
    <row r="93" spans="1:71" x14ac:dyDescent="0.25">
      <c r="A93" s="18"/>
      <c r="B93" s="18">
        <v>44</v>
      </c>
      <c r="C93" s="19" t="s">
        <v>88</v>
      </c>
      <c r="D93" s="60">
        <v>3766</v>
      </c>
      <c r="E93" s="47" t="s">
        <v>181</v>
      </c>
      <c r="F93" s="13" t="s">
        <v>209</v>
      </c>
      <c r="G93" s="53">
        <v>4500</v>
      </c>
      <c r="H93" s="54">
        <v>320</v>
      </c>
      <c r="I93" s="50">
        <f t="shared" si="395"/>
        <v>4820</v>
      </c>
      <c r="J93" s="45">
        <v>0.78</v>
      </c>
      <c r="K93" s="65">
        <f t="shared" si="396"/>
        <v>3510</v>
      </c>
      <c r="L93" s="66">
        <f t="shared" si="397"/>
        <v>0.21999999999999997</v>
      </c>
      <c r="M93" s="67">
        <f t="shared" si="398"/>
        <v>990</v>
      </c>
      <c r="N93" s="43">
        <f t="shared" si="399"/>
        <v>21.681000000000001</v>
      </c>
      <c r="O93" s="92">
        <f t="shared" si="400"/>
        <v>39.7485</v>
      </c>
      <c r="P93" s="72">
        <f t="shared" si="401"/>
        <v>25.294499999999999</v>
      </c>
      <c r="Q93" s="72">
        <f t="shared" si="402"/>
        <v>3.6135000000000002</v>
      </c>
      <c r="R93" s="25">
        <f t="shared" si="403"/>
        <v>0.72270000000000001</v>
      </c>
      <c r="S93" s="72">
        <f t="shared" si="404"/>
        <v>1.5501914999999999</v>
      </c>
      <c r="T93" s="72">
        <f t="shared" si="405"/>
        <v>2.1464189999999999</v>
      </c>
      <c r="U93" s="72">
        <f t="shared" si="406"/>
        <v>2.0271735</v>
      </c>
      <c r="V93" s="72">
        <f t="shared" si="407"/>
        <v>0.29811375000000001</v>
      </c>
      <c r="W93" s="72">
        <f t="shared" si="408"/>
        <v>5.9622750000000002E-2</v>
      </c>
      <c r="X93" s="72">
        <f t="shared" si="409"/>
        <v>2.2656645000000002</v>
      </c>
      <c r="Y93" s="72">
        <f t="shared" si="410"/>
        <v>3.1003829999999999</v>
      </c>
      <c r="Z93" s="72">
        <f t="shared" si="411"/>
        <v>2.1464189999999999</v>
      </c>
      <c r="AA93" s="72">
        <f t="shared" si="412"/>
        <v>0</v>
      </c>
      <c r="AB93" s="72">
        <f t="shared" si="413"/>
        <v>0</v>
      </c>
      <c r="AC93" s="91">
        <f t="shared" si="414"/>
        <v>17.865144000000001</v>
      </c>
      <c r="AD93" s="91">
        <f t="shared" si="415"/>
        <v>34.501697999999998</v>
      </c>
      <c r="AE93" s="91">
        <f t="shared" si="416"/>
        <v>21.120907500000001</v>
      </c>
      <c r="AF93" s="91">
        <f t="shared" si="417"/>
        <v>3.31538625</v>
      </c>
      <c r="AG93" s="91">
        <f t="shared" si="418"/>
        <v>0.66307724999999995</v>
      </c>
      <c r="AH93" s="39">
        <f t="shared" si="419"/>
        <v>83.876999999999995</v>
      </c>
      <c r="AI93" s="77">
        <f t="shared" si="420"/>
        <v>153.77449999999999</v>
      </c>
      <c r="AJ93" s="77">
        <f t="shared" si="421"/>
        <v>97.856499999999997</v>
      </c>
      <c r="AK93" s="77">
        <f t="shared" si="422"/>
        <v>13.9795</v>
      </c>
      <c r="AL93" s="26">
        <f t="shared" si="423"/>
        <v>2.7959000000000001</v>
      </c>
      <c r="AM93" s="27">
        <v>0.9</v>
      </c>
      <c r="AN93" s="27">
        <v>0.75</v>
      </c>
      <c r="AO93" s="27">
        <v>0.9</v>
      </c>
      <c r="AP93" s="27">
        <v>0.1</v>
      </c>
      <c r="AQ93" s="27">
        <v>0.1</v>
      </c>
      <c r="AR93" s="26">
        <f t="shared" si="424"/>
        <v>76.884472349999996</v>
      </c>
      <c r="AS93" s="26">
        <f t="shared" si="425"/>
        <v>116.94068924999999</v>
      </c>
      <c r="AT93" s="26">
        <f t="shared" si="426"/>
        <v>89.895306149999996</v>
      </c>
      <c r="AU93" s="26">
        <f t="shared" si="427"/>
        <v>1.4277613750000002</v>
      </c>
      <c r="AV93" s="26">
        <f t="shared" si="428"/>
        <v>0.28555227500000002</v>
      </c>
      <c r="AW93" s="26">
        <f t="shared" si="429"/>
        <v>8.5427191499999964</v>
      </c>
      <c r="AX93" s="26">
        <f t="shared" si="430"/>
        <v>38.980229750000007</v>
      </c>
      <c r="AY93" s="26">
        <f t="shared" si="431"/>
        <v>9.9883673500000043</v>
      </c>
      <c r="AZ93" s="26">
        <f t="shared" si="432"/>
        <v>12.849852375000001</v>
      </c>
      <c r="BA93" s="40">
        <f t="shared" si="433"/>
        <v>2.5699704749999999</v>
      </c>
      <c r="BB93" s="37">
        <f t="shared" si="434"/>
        <v>105.55799999999999</v>
      </c>
      <c r="BC93" s="28">
        <f t="shared" si="435"/>
        <v>193.523</v>
      </c>
      <c r="BD93" s="28">
        <f t="shared" si="436"/>
        <v>123.151</v>
      </c>
      <c r="BE93" s="29">
        <f t="shared" si="437"/>
        <v>17.593</v>
      </c>
      <c r="BF93" s="29">
        <f t="shared" si="438"/>
        <v>3.5186000000000002</v>
      </c>
      <c r="BG93" s="28">
        <f t="shared" si="439"/>
        <v>26.407863149999997</v>
      </c>
      <c r="BH93" s="28">
        <f t="shared" si="440"/>
        <v>73.481927750000011</v>
      </c>
      <c r="BI93" s="28">
        <f t="shared" si="441"/>
        <v>31.109274850000006</v>
      </c>
      <c r="BJ93" s="29">
        <f t="shared" si="442"/>
        <v>16.165238625000001</v>
      </c>
      <c r="BK93" s="29">
        <f t="shared" si="443"/>
        <v>3.2330477249999996</v>
      </c>
      <c r="BL93" s="28">
        <f t="shared" si="444"/>
        <v>79.150136849999996</v>
      </c>
      <c r="BM93" s="28">
        <f t="shared" si="445"/>
        <v>120.04107224999998</v>
      </c>
      <c r="BN93" s="28">
        <f t="shared" si="446"/>
        <v>92.041725149999991</v>
      </c>
      <c r="BO93" s="29">
        <f t="shared" si="447"/>
        <v>1.4277613750000002</v>
      </c>
      <c r="BP93" s="30">
        <f t="shared" si="448"/>
        <v>0.28555227500000002</v>
      </c>
      <c r="BQ93" s="10">
        <v>98050</v>
      </c>
      <c r="BR93" s="6">
        <v>257190</v>
      </c>
      <c r="BS93" t="s">
        <v>180</v>
      </c>
    </row>
    <row r="94" spans="1:71" ht="30" x14ac:dyDescent="0.25">
      <c r="A94" s="18"/>
      <c r="B94" s="18">
        <v>53</v>
      </c>
      <c r="C94" s="19" t="s">
        <v>87</v>
      </c>
      <c r="D94" s="60">
        <v>3003</v>
      </c>
      <c r="E94" s="57" t="s">
        <v>152</v>
      </c>
      <c r="F94" s="14" t="s">
        <v>209</v>
      </c>
      <c r="G94" s="53">
        <v>3399</v>
      </c>
      <c r="H94" s="54">
        <v>75</v>
      </c>
      <c r="I94" s="50">
        <f t="shared" si="395"/>
        <v>3474</v>
      </c>
      <c r="J94" s="45">
        <v>0.93</v>
      </c>
      <c r="K94" s="65">
        <f t="shared" si="396"/>
        <v>3161.07</v>
      </c>
      <c r="L94" s="66">
        <f t="shared" si="397"/>
        <v>6.9999999999999951E-2</v>
      </c>
      <c r="M94" s="67">
        <f t="shared" si="398"/>
        <v>237.92999999999984</v>
      </c>
      <c r="N94" s="43">
        <f t="shared" si="399"/>
        <v>5.2106669999999964</v>
      </c>
      <c r="O94" s="92">
        <f t="shared" si="400"/>
        <v>9.552889499999992</v>
      </c>
      <c r="P94" s="72">
        <f t="shared" si="401"/>
        <v>6.0791114999999953</v>
      </c>
      <c r="Q94" s="72">
        <f t="shared" si="402"/>
        <v>0.8684444999999994</v>
      </c>
      <c r="R94" s="25">
        <f t="shared" si="403"/>
        <v>0.17368889999999987</v>
      </c>
      <c r="S94" s="72">
        <f t="shared" si="404"/>
        <v>0.37256269049999974</v>
      </c>
      <c r="T94" s="72">
        <f t="shared" si="405"/>
        <v>0.5158560329999996</v>
      </c>
      <c r="U94" s="72">
        <f t="shared" si="406"/>
        <v>0.48719736449999967</v>
      </c>
      <c r="V94" s="72">
        <f t="shared" si="407"/>
        <v>7.164667124999996E-2</v>
      </c>
      <c r="W94" s="72">
        <f t="shared" si="408"/>
        <v>1.432933424999999E-2</v>
      </c>
      <c r="X94" s="72">
        <f t="shared" si="409"/>
        <v>0.54451470149999959</v>
      </c>
      <c r="Y94" s="72">
        <f t="shared" si="410"/>
        <v>0.74512538099999948</v>
      </c>
      <c r="Z94" s="72">
        <f t="shared" si="411"/>
        <v>0.5158560329999996</v>
      </c>
      <c r="AA94" s="72">
        <f t="shared" si="412"/>
        <v>0</v>
      </c>
      <c r="AB94" s="72">
        <f t="shared" si="413"/>
        <v>0</v>
      </c>
      <c r="AC94" s="91">
        <f t="shared" si="414"/>
        <v>4.2935896079999969</v>
      </c>
      <c r="AD94" s="91">
        <f t="shared" si="415"/>
        <v>8.2919080859999923</v>
      </c>
      <c r="AE94" s="91">
        <f t="shared" si="416"/>
        <v>5.0760581024999958</v>
      </c>
      <c r="AF94" s="91">
        <f t="shared" si="417"/>
        <v>0.79679782874999949</v>
      </c>
      <c r="AG94" s="91">
        <f t="shared" si="418"/>
        <v>0.15935956574999988</v>
      </c>
      <c r="AH94" s="39">
        <f t="shared" si="419"/>
        <v>70.869933000000003</v>
      </c>
      <c r="AI94" s="77">
        <f t="shared" si="420"/>
        <v>129.92821050000001</v>
      </c>
      <c r="AJ94" s="77">
        <f t="shared" si="421"/>
        <v>82.681588500000018</v>
      </c>
      <c r="AK94" s="77">
        <f t="shared" si="422"/>
        <v>11.811655500000001</v>
      </c>
      <c r="AL94" s="26">
        <f t="shared" si="423"/>
        <v>2.3623311</v>
      </c>
      <c r="AM94" s="27">
        <v>0.9</v>
      </c>
      <c r="AN94" s="27">
        <v>0.75</v>
      </c>
      <c r="AO94" s="27">
        <v>0.9</v>
      </c>
      <c r="AP94" s="27">
        <v>0.1</v>
      </c>
      <c r="AQ94" s="27">
        <v>0.1</v>
      </c>
      <c r="AR94" s="26">
        <f t="shared" si="424"/>
        <v>64.118246121450014</v>
      </c>
      <c r="AS94" s="26">
        <f t="shared" si="425"/>
        <v>97.833049899750009</v>
      </c>
      <c r="AT94" s="26">
        <f t="shared" si="426"/>
        <v>74.851907278050021</v>
      </c>
      <c r="AU94" s="26">
        <f t="shared" si="427"/>
        <v>1.1883302171250001</v>
      </c>
      <c r="AV94" s="26">
        <f t="shared" si="428"/>
        <v>0.23766604342500003</v>
      </c>
      <c r="AW94" s="26">
        <f t="shared" si="429"/>
        <v>7.1242495690499936</v>
      </c>
      <c r="AX94" s="26">
        <f t="shared" si="430"/>
        <v>32.611016633250003</v>
      </c>
      <c r="AY94" s="26">
        <f t="shared" si="431"/>
        <v>8.3168785864500023</v>
      </c>
      <c r="AZ94" s="26">
        <f t="shared" si="432"/>
        <v>10.694971954125002</v>
      </c>
      <c r="BA94" s="40">
        <f t="shared" si="433"/>
        <v>2.1389943908250002</v>
      </c>
      <c r="BB94" s="37">
        <f t="shared" si="434"/>
        <v>76.080600000000004</v>
      </c>
      <c r="BC94" s="28">
        <f t="shared" si="435"/>
        <v>139.4811</v>
      </c>
      <c r="BD94" s="28">
        <f t="shared" si="436"/>
        <v>88.760700000000014</v>
      </c>
      <c r="BE94" s="29">
        <f t="shared" si="437"/>
        <v>12.680099999999999</v>
      </c>
      <c r="BF94" s="29">
        <f t="shared" si="438"/>
        <v>2.5360199999999997</v>
      </c>
      <c r="BG94" s="28">
        <f t="shared" si="439"/>
        <v>11.417839177049991</v>
      </c>
      <c r="BH94" s="28">
        <f t="shared" si="440"/>
        <v>40.902924719249995</v>
      </c>
      <c r="BI94" s="28">
        <f t="shared" si="441"/>
        <v>13.392936688949998</v>
      </c>
      <c r="BJ94" s="29">
        <f t="shared" si="442"/>
        <v>11.491769782875002</v>
      </c>
      <c r="BK94" s="29">
        <f t="shared" si="443"/>
        <v>2.2983539565750002</v>
      </c>
      <c r="BL94" s="28">
        <f t="shared" si="444"/>
        <v>64.66276082295002</v>
      </c>
      <c r="BM94" s="28">
        <f t="shared" si="445"/>
        <v>98.578175280750003</v>
      </c>
      <c r="BN94" s="28">
        <f t="shared" si="446"/>
        <v>75.367763311050027</v>
      </c>
      <c r="BO94" s="29">
        <f t="shared" si="447"/>
        <v>1.1883302171250001</v>
      </c>
      <c r="BP94" s="30">
        <f t="shared" si="448"/>
        <v>0.23766604342500003</v>
      </c>
      <c r="BQ94" s="10">
        <v>348000</v>
      </c>
      <c r="BR94" s="6">
        <v>267600</v>
      </c>
      <c r="BS94" t="s">
        <v>153</v>
      </c>
    </row>
    <row r="95" spans="1:71" x14ac:dyDescent="0.25">
      <c r="A95" s="18"/>
      <c r="B95" s="18">
        <v>59</v>
      </c>
      <c r="C95" s="19" t="s">
        <v>8</v>
      </c>
      <c r="D95" s="60">
        <v>2597</v>
      </c>
      <c r="E95" s="47" t="s">
        <v>185</v>
      </c>
      <c r="F95" s="13" t="s">
        <v>209</v>
      </c>
      <c r="G95" s="53">
        <v>2844</v>
      </c>
      <c r="H95" s="53">
        <v>2500</v>
      </c>
      <c r="I95" s="50">
        <f t="shared" si="395"/>
        <v>5344</v>
      </c>
      <c r="J95" s="45">
        <v>0.53</v>
      </c>
      <c r="K95" s="65">
        <f t="shared" si="396"/>
        <v>1507.32</v>
      </c>
      <c r="L95" s="66">
        <f t="shared" si="397"/>
        <v>0.47</v>
      </c>
      <c r="M95" s="67">
        <f t="shared" si="398"/>
        <v>1336.68</v>
      </c>
      <c r="N95" s="43">
        <f t="shared" si="399"/>
        <v>29.273292000000001</v>
      </c>
      <c r="O95" s="92">
        <f t="shared" si="400"/>
        <v>53.667702000000006</v>
      </c>
      <c r="P95" s="72">
        <f t="shared" si="401"/>
        <v>34.152174000000002</v>
      </c>
      <c r="Q95" s="72">
        <f t="shared" si="402"/>
        <v>4.8788819999999999</v>
      </c>
      <c r="R95" s="25">
        <f t="shared" si="403"/>
        <v>0.97577639999999999</v>
      </c>
      <c r="S95" s="72">
        <f t="shared" si="404"/>
        <v>2.093040378</v>
      </c>
      <c r="T95" s="72">
        <f t="shared" si="405"/>
        <v>2.8980559080000003</v>
      </c>
      <c r="U95" s="72">
        <f t="shared" si="406"/>
        <v>2.7370528020000005</v>
      </c>
      <c r="V95" s="72">
        <f t="shared" si="407"/>
        <v>0.40250776500000002</v>
      </c>
      <c r="W95" s="72">
        <f t="shared" si="408"/>
        <v>8.0501553000000003E-2</v>
      </c>
      <c r="X95" s="72">
        <f t="shared" si="409"/>
        <v>3.0590590140000007</v>
      </c>
      <c r="Y95" s="72">
        <f t="shared" si="410"/>
        <v>4.186080756</v>
      </c>
      <c r="Z95" s="72">
        <f t="shared" si="411"/>
        <v>2.8980559080000003</v>
      </c>
      <c r="AA95" s="72">
        <f t="shared" si="412"/>
        <v>0</v>
      </c>
      <c r="AB95" s="72">
        <f t="shared" si="413"/>
        <v>0</v>
      </c>
      <c r="AC95" s="91">
        <f t="shared" si="414"/>
        <v>24.121192608000001</v>
      </c>
      <c r="AD95" s="91">
        <f t="shared" si="415"/>
        <v>46.583565335999999</v>
      </c>
      <c r="AE95" s="91">
        <f t="shared" si="416"/>
        <v>28.517065290000001</v>
      </c>
      <c r="AF95" s="91">
        <f t="shared" si="417"/>
        <v>4.4763742349999998</v>
      </c>
      <c r="AG95" s="91">
        <f t="shared" si="418"/>
        <v>0.89527484700000004</v>
      </c>
      <c r="AH95" s="39">
        <f t="shared" si="419"/>
        <v>87.760307999999995</v>
      </c>
      <c r="AI95" s="77">
        <f t="shared" si="420"/>
        <v>160.89389799999998</v>
      </c>
      <c r="AJ95" s="77">
        <f t="shared" si="421"/>
        <v>102.38702599999999</v>
      </c>
      <c r="AK95" s="77">
        <f t="shared" si="422"/>
        <v>14.626717999999999</v>
      </c>
      <c r="AL95" s="26">
        <f t="shared" si="423"/>
        <v>2.9253435999999997</v>
      </c>
      <c r="AM95" s="27">
        <v>0.9</v>
      </c>
      <c r="AN95" s="27">
        <v>0.75</v>
      </c>
      <c r="AO95" s="27">
        <v>0.9</v>
      </c>
      <c r="AP95" s="27">
        <v>0.1</v>
      </c>
      <c r="AQ95" s="27">
        <v>0.1</v>
      </c>
      <c r="AR95" s="26">
        <f t="shared" si="424"/>
        <v>80.868013540199996</v>
      </c>
      <c r="AS95" s="26">
        <f t="shared" si="425"/>
        <v>122.84396543099999</v>
      </c>
      <c r="AT95" s="26">
        <f t="shared" si="426"/>
        <v>94.611670921799984</v>
      </c>
      <c r="AU95" s="26">
        <f t="shared" si="427"/>
        <v>1.5029225764999998</v>
      </c>
      <c r="AV95" s="26">
        <f t="shared" si="428"/>
        <v>0.30058451529999997</v>
      </c>
      <c r="AW95" s="26">
        <f t="shared" si="429"/>
        <v>8.9853348377999964</v>
      </c>
      <c r="AX95" s="26">
        <f t="shared" si="430"/>
        <v>40.947988476999996</v>
      </c>
      <c r="AY95" s="26">
        <f t="shared" si="431"/>
        <v>10.512407880200001</v>
      </c>
      <c r="AZ95" s="26">
        <f t="shared" si="432"/>
        <v>13.526303188499998</v>
      </c>
      <c r="BA95" s="40">
        <f t="shared" si="433"/>
        <v>2.7052606376999995</v>
      </c>
      <c r="BB95" s="37">
        <f t="shared" si="434"/>
        <v>117.03359999999999</v>
      </c>
      <c r="BC95" s="28">
        <f t="shared" si="435"/>
        <v>214.5616</v>
      </c>
      <c r="BD95" s="28">
        <f t="shared" si="436"/>
        <v>136.53919999999999</v>
      </c>
      <c r="BE95" s="29">
        <f t="shared" si="437"/>
        <v>19.505599999999998</v>
      </c>
      <c r="BF95" s="29">
        <f t="shared" si="438"/>
        <v>3.9011199999999997</v>
      </c>
      <c r="BG95" s="28">
        <f t="shared" si="439"/>
        <v>33.106527445799998</v>
      </c>
      <c r="BH95" s="28">
        <f t="shared" si="440"/>
        <v>87.531553812999988</v>
      </c>
      <c r="BI95" s="28">
        <f t="shared" si="441"/>
        <v>39.029473170200006</v>
      </c>
      <c r="BJ95" s="29">
        <f t="shared" si="442"/>
        <v>18.002677423499996</v>
      </c>
      <c r="BK95" s="29">
        <f t="shared" si="443"/>
        <v>3.6005354846999995</v>
      </c>
      <c r="BL95" s="28">
        <f t="shared" si="444"/>
        <v>83.927072554199995</v>
      </c>
      <c r="BM95" s="28">
        <f t="shared" si="445"/>
        <v>127.03004618699998</v>
      </c>
      <c r="BN95" s="28">
        <f t="shared" si="446"/>
        <v>97.509726829799988</v>
      </c>
      <c r="BO95" s="29">
        <f t="shared" si="447"/>
        <v>1.5029225764999998</v>
      </c>
      <c r="BP95" s="30">
        <f t="shared" si="448"/>
        <v>0.30058451529999997</v>
      </c>
      <c r="BQ95" s="10">
        <v>255160</v>
      </c>
      <c r="BR95" s="6">
        <v>257100</v>
      </c>
      <c r="BS95" t="s">
        <v>128</v>
      </c>
    </row>
    <row r="96" spans="1:71" ht="45" x14ac:dyDescent="0.25">
      <c r="A96" s="18"/>
      <c r="B96" s="18">
        <v>60</v>
      </c>
      <c r="C96" s="19" t="s">
        <v>14</v>
      </c>
      <c r="D96" s="60">
        <v>2538</v>
      </c>
      <c r="E96" s="57" t="s">
        <v>186</v>
      </c>
      <c r="F96" s="14" t="s">
        <v>209</v>
      </c>
      <c r="G96" s="53">
        <v>3211</v>
      </c>
      <c r="H96" s="54">
        <v>0</v>
      </c>
      <c r="I96" s="50">
        <f t="shared" si="395"/>
        <v>3211</v>
      </c>
      <c r="J96" s="45">
        <v>0.21</v>
      </c>
      <c r="K96" s="65">
        <f t="shared" si="396"/>
        <v>674.31</v>
      </c>
      <c r="L96" s="66">
        <f t="shared" si="397"/>
        <v>0.79</v>
      </c>
      <c r="M96" s="67">
        <f t="shared" si="398"/>
        <v>2536.69</v>
      </c>
      <c r="N96" s="43">
        <f t="shared" si="399"/>
        <v>55.553511</v>
      </c>
      <c r="O96" s="92">
        <f t="shared" si="400"/>
        <v>101.84810350000002</v>
      </c>
      <c r="P96" s="72">
        <f t="shared" si="401"/>
        <v>64.812429500000007</v>
      </c>
      <c r="Q96" s="72">
        <f t="shared" si="402"/>
        <v>9.2589185000000001</v>
      </c>
      <c r="R96" s="25">
        <f t="shared" si="403"/>
        <v>1.8517836999999999</v>
      </c>
      <c r="S96" s="72">
        <f t="shared" si="404"/>
        <v>3.9720760365000007</v>
      </c>
      <c r="T96" s="72">
        <f t="shared" si="405"/>
        <v>5.4997975889999999</v>
      </c>
      <c r="U96" s="72">
        <f t="shared" si="406"/>
        <v>5.1942532785000006</v>
      </c>
      <c r="V96" s="72">
        <f t="shared" si="407"/>
        <v>0.76386077625000004</v>
      </c>
      <c r="W96" s="72">
        <f t="shared" si="408"/>
        <v>0.15277215525000001</v>
      </c>
      <c r="X96" s="72">
        <f t="shared" si="409"/>
        <v>5.8053418994999992</v>
      </c>
      <c r="Y96" s="72">
        <f t="shared" si="410"/>
        <v>7.9441520730000015</v>
      </c>
      <c r="Z96" s="72">
        <f t="shared" si="411"/>
        <v>5.4997975889999999</v>
      </c>
      <c r="AA96" s="72">
        <f t="shared" si="412"/>
        <v>0</v>
      </c>
      <c r="AB96" s="72">
        <f t="shared" si="413"/>
        <v>0</v>
      </c>
      <c r="AC96" s="91">
        <f t="shared" si="414"/>
        <v>45.776093064000001</v>
      </c>
      <c r="AD96" s="91">
        <f t="shared" si="415"/>
        <v>88.404153838000028</v>
      </c>
      <c r="AE96" s="91">
        <f t="shared" si="416"/>
        <v>54.118378632500011</v>
      </c>
      <c r="AF96" s="91">
        <f t="shared" si="417"/>
        <v>8.4950577237499996</v>
      </c>
      <c r="AG96" s="91">
        <f t="shared" si="418"/>
        <v>1.6990115447499998</v>
      </c>
      <c r="AH96" s="39">
        <f t="shared" si="419"/>
        <v>14.767389</v>
      </c>
      <c r="AI96" s="77">
        <f t="shared" si="420"/>
        <v>27.073546499999996</v>
      </c>
      <c r="AJ96" s="77">
        <f t="shared" si="421"/>
        <v>17.228620500000002</v>
      </c>
      <c r="AK96" s="77">
        <f t="shared" si="422"/>
        <v>2.4612314999999998</v>
      </c>
      <c r="AL96" s="26">
        <f t="shared" si="423"/>
        <v>0.49224629999999997</v>
      </c>
      <c r="AM96" s="27">
        <v>0.9</v>
      </c>
      <c r="AN96" s="27">
        <v>0.75</v>
      </c>
      <c r="AO96" s="27">
        <v>0.9</v>
      </c>
      <c r="AP96" s="27">
        <v>0.1</v>
      </c>
      <c r="AQ96" s="27">
        <v>0.1</v>
      </c>
      <c r="AR96" s="26">
        <f t="shared" si="424"/>
        <v>16.86551853285</v>
      </c>
      <c r="AS96" s="26">
        <f t="shared" si="425"/>
        <v>24.430008066749998</v>
      </c>
      <c r="AT96" s="26">
        <f t="shared" si="426"/>
        <v>20.18058640065</v>
      </c>
      <c r="AU96" s="26">
        <f t="shared" si="427"/>
        <v>0.32250922762500001</v>
      </c>
      <c r="AV96" s="26">
        <f t="shared" si="428"/>
        <v>6.4501845525000004E-2</v>
      </c>
      <c r="AW96" s="26">
        <f t="shared" si="429"/>
        <v>1.87394650365</v>
      </c>
      <c r="AX96" s="26">
        <f t="shared" si="430"/>
        <v>8.1433360222499971</v>
      </c>
      <c r="AY96" s="26">
        <f t="shared" si="431"/>
        <v>2.2422873778500012</v>
      </c>
      <c r="AZ96" s="26">
        <f t="shared" si="432"/>
        <v>2.9025830486249999</v>
      </c>
      <c r="BA96" s="40">
        <f t="shared" si="433"/>
        <v>0.58051660972499997</v>
      </c>
      <c r="BB96" s="37">
        <f t="shared" si="434"/>
        <v>70.320899999999995</v>
      </c>
      <c r="BC96" s="28">
        <f t="shared" si="435"/>
        <v>128.92165000000003</v>
      </c>
      <c r="BD96" s="28">
        <f t="shared" si="436"/>
        <v>82.041050000000013</v>
      </c>
      <c r="BE96" s="29">
        <f t="shared" si="437"/>
        <v>11.72015</v>
      </c>
      <c r="BF96" s="29">
        <f t="shared" si="438"/>
        <v>2.3440300000000001</v>
      </c>
      <c r="BG96" s="28">
        <f t="shared" si="439"/>
        <v>47.650039567649998</v>
      </c>
      <c r="BH96" s="28">
        <f t="shared" si="440"/>
        <v>96.547489860250025</v>
      </c>
      <c r="BI96" s="28">
        <f t="shared" si="441"/>
        <v>56.360666010350016</v>
      </c>
      <c r="BJ96" s="29">
        <f t="shared" si="442"/>
        <v>11.397640772374999</v>
      </c>
      <c r="BK96" s="29">
        <f t="shared" si="443"/>
        <v>2.2795281544749999</v>
      </c>
      <c r="BL96" s="28">
        <f t="shared" si="444"/>
        <v>22.67086043235</v>
      </c>
      <c r="BM96" s="28">
        <f t="shared" si="445"/>
        <v>32.374160139750003</v>
      </c>
      <c r="BN96" s="28">
        <f t="shared" si="446"/>
        <v>25.68038398965</v>
      </c>
      <c r="BO96" s="29">
        <f t="shared" si="447"/>
        <v>0.32250922762500001</v>
      </c>
      <c r="BP96" s="30">
        <f t="shared" si="448"/>
        <v>6.4501845525000004E-2</v>
      </c>
      <c r="BQ96" s="10">
        <v>1614421</v>
      </c>
      <c r="BR96" s="6">
        <v>1186050</v>
      </c>
      <c r="BS96" t="s">
        <v>170</v>
      </c>
    </row>
    <row r="97" spans="1:71" x14ac:dyDescent="0.25">
      <c r="A97" s="18"/>
      <c r="B97" s="18">
        <v>70</v>
      </c>
      <c r="C97" s="19" t="s">
        <v>105</v>
      </c>
      <c r="D97" s="60">
        <v>2108</v>
      </c>
      <c r="E97" s="47" t="s">
        <v>9</v>
      </c>
      <c r="F97" s="13" t="s">
        <v>209</v>
      </c>
      <c r="G97" s="53">
        <v>2733</v>
      </c>
      <c r="H97" s="54">
        <v>10</v>
      </c>
      <c r="I97" s="50">
        <f t="shared" si="395"/>
        <v>2743</v>
      </c>
      <c r="J97" s="45">
        <v>0.36</v>
      </c>
      <c r="K97" s="65">
        <f t="shared" si="396"/>
        <v>983.88</v>
      </c>
      <c r="L97" s="66">
        <f t="shared" si="397"/>
        <v>0.64</v>
      </c>
      <c r="M97" s="67">
        <f t="shared" si="398"/>
        <v>1749.12</v>
      </c>
      <c r="N97" s="43">
        <f t="shared" si="399"/>
        <v>38.305728000000002</v>
      </c>
      <c r="O97" s="92">
        <f t="shared" si="400"/>
        <v>70.227168000000006</v>
      </c>
      <c r="P97" s="72">
        <f t="shared" si="401"/>
        <v>44.690016</v>
      </c>
      <c r="Q97" s="72">
        <f t="shared" si="402"/>
        <v>6.3842879999999989</v>
      </c>
      <c r="R97" s="25">
        <f t="shared" si="403"/>
        <v>1.2768575999999998</v>
      </c>
      <c r="S97" s="72">
        <f t="shared" si="404"/>
        <v>2.7388595519999996</v>
      </c>
      <c r="T97" s="72">
        <f t="shared" si="405"/>
        <v>3.7922670719999996</v>
      </c>
      <c r="U97" s="72">
        <f t="shared" si="406"/>
        <v>3.5815855680000004</v>
      </c>
      <c r="V97" s="72">
        <f t="shared" si="407"/>
        <v>0.52670375999999997</v>
      </c>
      <c r="W97" s="72">
        <f t="shared" si="408"/>
        <v>0.105340752</v>
      </c>
      <c r="X97" s="72">
        <f t="shared" si="409"/>
        <v>4.0029485759999996</v>
      </c>
      <c r="Y97" s="72">
        <f t="shared" si="410"/>
        <v>5.4777191039999993</v>
      </c>
      <c r="Z97" s="72">
        <f t="shared" si="411"/>
        <v>3.7922670719999996</v>
      </c>
      <c r="AA97" s="72">
        <f t="shared" si="412"/>
        <v>0</v>
      </c>
      <c r="AB97" s="72">
        <f t="shared" si="413"/>
        <v>0</v>
      </c>
      <c r="AC97" s="91">
        <f t="shared" si="414"/>
        <v>31.563919872</v>
      </c>
      <c r="AD97" s="91">
        <f t="shared" si="415"/>
        <v>60.957181824000003</v>
      </c>
      <c r="AE97" s="91">
        <f t="shared" si="416"/>
        <v>37.316163359999997</v>
      </c>
      <c r="AF97" s="91">
        <f t="shared" si="417"/>
        <v>5.8575842399999987</v>
      </c>
      <c r="AG97" s="91">
        <f t="shared" si="418"/>
        <v>1.1715168479999998</v>
      </c>
      <c r="AH97" s="39">
        <f t="shared" si="419"/>
        <v>21.765972000000001</v>
      </c>
      <c r="AI97" s="77">
        <f t="shared" si="420"/>
        <v>39.904282000000002</v>
      </c>
      <c r="AJ97" s="77">
        <f t="shared" si="421"/>
        <v>25.393634000000002</v>
      </c>
      <c r="AK97" s="77">
        <f t="shared" si="422"/>
        <v>3.6276619999999995</v>
      </c>
      <c r="AL97" s="26">
        <f t="shared" si="423"/>
        <v>0.72553240000000008</v>
      </c>
      <c r="AM97" s="27">
        <v>0.9</v>
      </c>
      <c r="AN97" s="27">
        <v>0.75</v>
      </c>
      <c r="AO97" s="27">
        <v>0.9</v>
      </c>
      <c r="AP97" s="27">
        <v>0.1</v>
      </c>
      <c r="AQ97" s="27">
        <v>0.1</v>
      </c>
      <c r="AR97" s="26">
        <f t="shared" si="424"/>
        <v>22.054348396800002</v>
      </c>
      <c r="AS97" s="26">
        <f t="shared" si="425"/>
        <v>32.772411804000001</v>
      </c>
      <c r="AT97" s="26">
        <f t="shared" si="426"/>
        <v>26.077697611200005</v>
      </c>
      <c r="AU97" s="26">
        <f t="shared" si="427"/>
        <v>0.41543657599999995</v>
      </c>
      <c r="AV97" s="26">
        <f t="shared" si="428"/>
        <v>8.3087315200000011E-2</v>
      </c>
      <c r="AW97" s="26">
        <f t="shared" si="429"/>
        <v>2.4504831552000006</v>
      </c>
      <c r="AX97" s="26">
        <f t="shared" si="430"/>
        <v>10.924137268000003</v>
      </c>
      <c r="AY97" s="26">
        <f t="shared" si="431"/>
        <v>2.8975219567999986</v>
      </c>
      <c r="AZ97" s="26">
        <f t="shared" si="432"/>
        <v>3.7389291839999994</v>
      </c>
      <c r="BA97" s="40">
        <f t="shared" si="433"/>
        <v>0.7477858368000001</v>
      </c>
      <c r="BB97" s="37">
        <f t="shared" si="434"/>
        <v>60.071700000000007</v>
      </c>
      <c r="BC97" s="28">
        <f t="shared" si="435"/>
        <v>110.13145</v>
      </c>
      <c r="BD97" s="28">
        <f t="shared" si="436"/>
        <v>70.083650000000006</v>
      </c>
      <c r="BE97" s="29">
        <f t="shared" si="437"/>
        <v>10.011949999999999</v>
      </c>
      <c r="BF97" s="29">
        <f t="shared" si="438"/>
        <v>2.0023900000000001</v>
      </c>
      <c r="BG97" s="28">
        <f t="shared" si="439"/>
        <v>34.014403027200004</v>
      </c>
      <c r="BH97" s="28">
        <f t="shared" si="440"/>
        <v>71.881319092000012</v>
      </c>
      <c r="BI97" s="28">
        <f t="shared" si="441"/>
        <v>40.213685316799996</v>
      </c>
      <c r="BJ97" s="29">
        <f t="shared" si="442"/>
        <v>9.5965134239999976</v>
      </c>
      <c r="BK97" s="29">
        <f t="shared" si="443"/>
        <v>1.9193026847999999</v>
      </c>
      <c r="BL97" s="28">
        <f t="shared" si="444"/>
        <v>26.057296972800003</v>
      </c>
      <c r="BM97" s="28">
        <f t="shared" si="445"/>
        <v>38.250130908000003</v>
      </c>
      <c r="BN97" s="28">
        <f t="shared" si="446"/>
        <v>29.869964683200003</v>
      </c>
      <c r="BO97" s="29">
        <f t="shared" si="447"/>
        <v>0.41543657599999995</v>
      </c>
      <c r="BP97" s="30">
        <f t="shared" si="448"/>
        <v>8.3087315200000011E-2</v>
      </c>
      <c r="BQ97" s="10">
        <v>668575</v>
      </c>
      <c r="BR97" s="6">
        <v>15250</v>
      </c>
      <c r="BS97" t="s">
        <v>128</v>
      </c>
    </row>
    <row r="98" spans="1:71" x14ac:dyDescent="0.25">
      <c r="A98" s="18"/>
      <c r="B98" s="18">
        <v>71</v>
      </c>
      <c r="C98" s="19" t="s">
        <v>106</v>
      </c>
      <c r="D98" s="60">
        <v>2094</v>
      </c>
      <c r="E98" s="47" t="s">
        <v>162</v>
      </c>
      <c r="F98" s="13" t="s">
        <v>209</v>
      </c>
      <c r="G98" s="53">
        <v>2700</v>
      </c>
      <c r="H98" s="54">
        <v>279</v>
      </c>
      <c r="I98" s="50">
        <f t="shared" si="395"/>
        <v>2979</v>
      </c>
      <c r="J98" s="45">
        <v>0.39</v>
      </c>
      <c r="K98" s="65">
        <f t="shared" si="396"/>
        <v>1053</v>
      </c>
      <c r="L98" s="66">
        <f t="shared" si="397"/>
        <v>0.61</v>
      </c>
      <c r="M98" s="67">
        <f t="shared" si="398"/>
        <v>1647</v>
      </c>
      <c r="N98" s="43">
        <f t="shared" si="399"/>
        <v>36.069299999999998</v>
      </c>
      <c r="O98" s="92">
        <f t="shared" si="400"/>
        <v>66.127049999999997</v>
      </c>
      <c r="P98" s="72">
        <f t="shared" si="401"/>
        <v>42.080849999999998</v>
      </c>
      <c r="Q98" s="72">
        <f t="shared" si="402"/>
        <v>6.0115499999999997</v>
      </c>
      <c r="R98" s="25">
        <f t="shared" si="403"/>
        <v>1.20231</v>
      </c>
      <c r="S98" s="72">
        <f t="shared" si="404"/>
        <v>2.57895495</v>
      </c>
      <c r="T98" s="72">
        <f t="shared" si="405"/>
        <v>3.5708607000000003</v>
      </c>
      <c r="U98" s="72">
        <f t="shared" si="406"/>
        <v>3.3724795500000004</v>
      </c>
      <c r="V98" s="72">
        <f t="shared" si="407"/>
        <v>0.49595287500000002</v>
      </c>
      <c r="W98" s="72">
        <f t="shared" si="408"/>
        <v>9.9190575000000003E-2</v>
      </c>
      <c r="X98" s="72">
        <f t="shared" si="409"/>
        <v>3.7692418499999998</v>
      </c>
      <c r="Y98" s="72">
        <f t="shared" si="410"/>
        <v>5.1579098999999999</v>
      </c>
      <c r="Z98" s="72">
        <f t="shared" si="411"/>
        <v>3.5708607000000003</v>
      </c>
      <c r="AA98" s="72">
        <f t="shared" si="412"/>
        <v>0</v>
      </c>
      <c r="AB98" s="72">
        <f t="shared" si="413"/>
        <v>0</v>
      </c>
      <c r="AC98" s="91">
        <f t="shared" si="414"/>
        <v>29.721103200000002</v>
      </c>
      <c r="AD98" s="91">
        <f t="shared" si="415"/>
        <v>57.3982794</v>
      </c>
      <c r="AE98" s="91">
        <f t="shared" si="416"/>
        <v>35.13750975</v>
      </c>
      <c r="AF98" s="91">
        <f t="shared" si="417"/>
        <v>5.5155971249999993</v>
      </c>
      <c r="AG98" s="91">
        <f t="shared" si="418"/>
        <v>1.103119425</v>
      </c>
      <c r="AH98" s="39">
        <f t="shared" si="419"/>
        <v>29.1708</v>
      </c>
      <c r="AI98" s="77">
        <f t="shared" si="420"/>
        <v>53.479799999999997</v>
      </c>
      <c r="AJ98" s="77">
        <f t="shared" si="421"/>
        <v>34.032600000000002</v>
      </c>
      <c r="AK98" s="77">
        <f t="shared" si="422"/>
        <v>4.8617999999999997</v>
      </c>
      <c r="AL98" s="26">
        <f t="shared" si="423"/>
        <v>0.97236</v>
      </c>
      <c r="AM98" s="27">
        <v>0.9</v>
      </c>
      <c r="AN98" s="27">
        <v>0.75</v>
      </c>
      <c r="AO98" s="27">
        <v>0.9</v>
      </c>
      <c r="AP98" s="27">
        <v>0.1</v>
      </c>
      <c r="AQ98" s="27">
        <v>0.1</v>
      </c>
      <c r="AR98" s="26">
        <f t="shared" si="424"/>
        <v>28.574779455000002</v>
      </c>
      <c r="AS98" s="26">
        <f t="shared" si="425"/>
        <v>42.787995524999999</v>
      </c>
      <c r="AT98" s="26">
        <f t="shared" si="426"/>
        <v>33.664571595000005</v>
      </c>
      <c r="AU98" s="26">
        <f t="shared" si="427"/>
        <v>0.53577528750000003</v>
      </c>
      <c r="AV98" s="26">
        <f t="shared" si="428"/>
        <v>0.10715505750000001</v>
      </c>
      <c r="AW98" s="26">
        <f t="shared" si="429"/>
        <v>3.1749754949999982</v>
      </c>
      <c r="AX98" s="26">
        <f t="shared" si="430"/>
        <v>14.262665174999995</v>
      </c>
      <c r="AY98" s="26">
        <f t="shared" si="431"/>
        <v>3.7405079549999982</v>
      </c>
      <c r="AZ98" s="26">
        <f t="shared" si="432"/>
        <v>4.8219775875000002</v>
      </c>
      <c r="BA98" s="40">
        <f t="shared" si="433"/>
        <v>0.96439551750000008</v>
      </c>
      <c r="BB98" s="37">
        <f t="shared" si="434"/>
        <v>65.240099999999998</v>
      </c>
      <c r="BC98" s="28">
        <f t="shared" si="435"/>
        <v>119.60684999999999</v>
      </c>
      <c r="BD98" s="28">
        <f t="shared" si="436"/>
        <v>76.11345</v>
      </c>
      <c r="BE98" s="29">
        <f t="shared" si="437"/>
        <v>10.873349999999999</v>
      </c>
      <c r="BF98" s="29">
        <f t="shared" si="438"/>
        <v>2.1746699999999999</v>
      </c>
      <c r="BG98" s="28">
        <f t="shared" si="439"/>
        <v>32.896078695</v>
      </c>
      <c r="BH98" s="28">
        <f t="shared" si="440"/>
        <v>71.660944575000002</v>
      </c>
      <c r="BI98" s="28">
        <f t="shared" si="441"/>
        <v>38.878017704999998</v>
      </c>
      <c r="BJ98" s="29">
        <f t="shared" si="442"/>
        <v>10.3375747125</v>
      </c>
      <c r="BK98" s="29">
        <f t="shared" si="443"/>
        <v>2.0675149424999999</v>
      </c>
      <c r="BL98" s="28">
        <f t="shared" si="444"/>
        <v>32.344021304999998</v>
      </c>
      <c r="BM98" s="28">
        <f t="shared" si="445"/>
        <v>47.945905424999999</v>
      </c>
      <c r="BN98" s="28">
        <f t="shared" si="446"/>
        <v>37.235432295000003</v>
      </c>
      <c r="BO98" s="29">
        <f t="shared" si="447"/>
        <v>0.53577528750000003</v>
      </c>
      <c r="BP98" s="30">
        <f t="shared" si="448"/>
        <v>0.10715505750000001</v>
      </c>
      <c r="BQ98" s="10">
        <v>1868000</v>
      </c>
      <c r="BR98" s="6">
        <v>0</v>
      </c>
      <c r="BS98" t="s">
        <v>159</v>
      </c>
    </row>
    <row r="99" spans="1:71" x14ac:dyDescent="0.25">
      <c r="A99" s="18"/>
      <c r="B99" s="18">
        <v>73</v>
      </c>
      <c r="C99" s="19" t="s">
        <v>107</v>
      </c>
      <c r="D99" s="60">
        <v>2042</v>
      </c>
      <c r="E99" s="47" t="s">
        <v>163</v>
      </c>
      <c r="F99" s="13" t="s">
        <v>209</v>
      </c>
      <c r="G99" s="53">
        <v>2132</v>
      </c>
      <c r="H99" s="54">
        <v>10</v>
      </c>
      <c r="I99" s="50">
        <f t="shared" si="395"/>
        <v>2142</v>
      </c>
      <c r="J99" s="45">
        <v>0.41</v>
      </c>
      <c r="K99" s="65">
        <f t="shared" si="396"/>
        <v>874.12</v>
      </c>
      <c r="L99" s="66">
        <f t="shared" si="397"/>
        <v>0.59000000000000008</v>
      </c>
      <c r="M99" s="67">
        <f t="shared" si="398"/>
        <v>1257.8800000000001</v>
      </c>
      <c r="N99" s="43">
        <f t="shared" si="399"/>
        <v>27.547571999999999</v>
      </c>
      <c r="O99" s="92">
        <f t="shared" si="400"/>
        <v>50.503882000000004</v>
      </c>
      <c r="P99" s="72">
        <f t="shared" si="401"/>
        <v>32.138834000000003</v>
      </c>
      <c r="Q99" s="72">
        <f t="shared" si="402"/>
        <v>4.5912620000000004</v>
      </c>
      <c r="R99" s="25">
        <f t="shared" si="403"/>
        <v>0.91825239999999997</v>
      </c>
      <c r="S99" s="72">
        <f t="shared" si="404"/>
        <v>1.9696513980000003</v>
      </c>
      <c r="T99" s="72">
        <f t="shared" si="405"/>
        <v>2.7272096280000002</v>
      </c>
      <c r="U99" s="72">
        <f t="shared" si="406"/>
        <v>2.5756979820000008</v>
      </c>
      <c r="V99" s="72">
        <f t="shared" si="407"/>
        <v>0.37877911500000006</v>
      </c>
      <c r="W99" s="72">
        <f t="shared" si="408"/>
        <v>7.5755823E-2</v>
      </c>
      <c r="X99" s="72">
        <f t="shared" si="409"/>
        <v>2.8787212740000006</v>
      </c>
      <c r="Y99" s="72">
        <f t="shared" si="410"/>
        <v>3.9393027960000007</v>
      </c>
      <c r="Z99" s="72">
        <f t="shared" si="411"/>
        <v>2.7272096280000002</v>
      </c>
      <c r="AA99" s="72">
        <f t="shared" si="412"/>
        <v>0</v>
      </c>
      <c r="AB99" s="72">
        <f t="shared" si="413"/>
        <v>0</v>
      </c>
      <c r="AC99" s="91">
        <f t="shared" si="414"/>
        <v>22.699199327999999</v>
      </c>
      <c r="AD99" s="91">
        <f t="shared" si="415"/>
        <v>43.837369576000007</v>
      </c>
      <c r="AE99" s="91">
        <f t="shared" si="416"/>
        <v>26.835926390000001</v>
      </c>
      <c r="AF99" s="91">
        <f t="shared" si="417"/>
        <v>4.212482885</v>
      </c>
      <c r="AG99" s="91">
        <f t="shared" si="418"/>
        <v>0.84249657699999991</v>
      </c>
      <c r="AH99" s="39">
        <f t="shared" si="419"/>
        <v>19.362228000000002</v>
      </c>
      <c r="AI99" s="77">
        <f t="shared" si="420"/>
        <v>35.497418000000003</v>
      </c>
      <c r="AJ99" s="77">
        <f t="shared" si="421"/>
        <v>22.589265999999999</v>
      </c>
      <c r="AK99" s="77">
        <f t="shared" si="422"/>
        <v>3.2270380000000003</v>
      </c>
      <c r="AL99" s="26">
        <f t="shared" si="423"/>
        <v>0.64540759999999997</v>
      </c>
      <c r="AM99" s="27">
        <v>0.9</v>
      </c>
      <c r="AN99" s="27">
        <v>0.75</v>
      </c>
      <c r="AO99" s="27">
        <v>0.9</v>
      </c>
      <c r="AP99" s="27">
        <v>0.1</v>
      </c>
      <c r="AQ99" s="27">
        <v>0.1</v>
      </c>
      <c r="AR99" s="26">
        <f t="shared" si="424"/>
        <v>19.198691458200003</v>
      </c>
      <c r="AS99" s="26">
        <f t="shared" si="425"/>
        <v>28.668470720999998</v>
      </c>
      <c r="AT99" s="26">
        <f t="shared" si="426"/>
        <v>22.648467583799999</v>
      </c>
      <c r="AU99" s="26">
        <f t="shared" si="427"/>
        <v>0.36058171150000007</v>
      </c>
      <c r="AV99" s="26">
        <f t="shared" si="428"/>
        <v>7.2116342299999997E-2</v>
      </c>
      <c r="AW99" s="26">
        <f t="shared" si="429"/>
        <v>2.1331879397999991</v>
      </c>
      <c r="AX99" s="26">
        <f t="shared" si="430"/>
        <v>9.5561569070000019</v>
      </c>
      <c r="AY99" s="26">
        <f t="shared" si="431"/>
        <v>2.516496398200001</v>
      </c>
      <c r="AZ99" s="26">
        <f t="shared" si="432"/>
        <v>3.2452354035000002</v>
      </c>
      <c r="BA99" s="40">
        <f t="shared" si="433"/>
        <v>0.64904708069999995</v>
      </c>
      <c r="BB99" s="37">
        <f t="shared" si="434"/>
        <v>46.909800000000004</v>
      </c>
      <c r="BC99" s="28">
        <f t="shared" si="435"/>
        <v>86.001300000000015</v>
      </c>
      <c r="BD99" s="28">
        <f t="shared" si="436"/>
        <v>54.728099999999998</v>
      </c>
      <c r="BE99" s="29">
        <f t="shared" si="437"/>
        <v>7.8183000000000007</v>
      </c>
      <c r="BF99" s="29">
        <f t="shared" si="438"/>
        <v>1.56366</v>
      </c>
      <c r="BG99" s="28">
        <f t="shared" si="439"/>
        <v>24.832387267799998</v>
      </c>
      <c r="BH99" s="28">
        <f t="shared" si="440"/>
        <v>53.393526483000009</v>
      </c>
      <c r="BI99" s="28">
        <f t="shared" si="441"/>
        <v>29.352422788200002</v>
      </c>
      <c r="BJ99" s="29">
        <f t="shared" si="442"/>
        <v>7.4577182885000006</v>
      </c>
      <c r="BK99" s="29">
        <f t="shared" si="443"/>
        <v>1.4915436576999999</v>
      </c>
      <c r="BL99" s="28">
        <f t="shared" si="444"/>
        <v>22.077412732200003</v>
      </c>
      <c r="BM99" s="28">
        <f t="shared" si="445"/>
        <v>32.607773516999998</v>
      </c>
      <c r="BN99" s="28">
        <f t="shared" si="446"/>
        <v>25.375677211799999</v>
      </c>
      <c r="BO99" s="29">
        <f t="shared" si="447"/>
        <v>0.36058171150000007</v>
      </c>
      <c r="BP99" s="30">
        <f t="shared" si="448"/>
        <v>7.2116342299999997E-2</v>
      </c>
      <c r="BQ99" s="10">
        <v>898800</v>
      </c>
      <c r="BR99" s="6">
        <v>244850</v>
      </c>
      <c r="BS99" t="s">
        <v>128</v>
      </c>
    </row>
    <row r="100" spans="1:71" x14ac:dyDescent="0.25">
      <c r="A100" s="18"/>
      <c r="B100" s="18">
        <v>78</v>
      </c>
      <c r="C100" s="19" t="s">
        <v>115</v>
      </c>
      <c r="D100" s="60">
        <v>1888</v>
      </c>
      <c r="E100" s="47" t="s">
        <v>190</v>
      </c>
      <c r="F100" s="13" t="s">
        <v>209</v>
      </c>
      <c r="G100" s="53">
        <v>2073</v>
      </c>
      <c r="H100" s="54">
        <v>146</v>
      </c>
      <c r="I100" s="50">
        <f t="shared" si="395"/>
        <v>2219</v>
      </c>
      <c r="J100" s="45">
        <v>0.16</v>
      </c>
      <c r="K100" s="65">
        <f t="shared" si="396"/>
        <v>331.68</v>
      </c>
      <c r="L100" s="66">
        <f t="shared" si="397"/>
        <v>0.84</v>
      </c>
      <c r="M100" s="67">
        <f t="shared" si="398"/>
        <v>1741.32</v>
      </c>
      <c r="N100" s="43">
        <f t="shared" si="399"/>
        <v>38.134908000000003</v>
      </c>
      <c r="O100" s="92">
        <f t="shared" si="400"/>
        <v>69.913998000000007</v>
      </c>
      <c r="P100" s="72">
        <f t="shared" si="401"/>
        <v>44.490726000000002</v>
      </c>
      <c r="Q100" s="72">
        <f t="shared" si="402"/>
        <v>6.3558180000000002</v>
      </c>
      <c r="R100" s="25">
        <f t="shared" si="403"/>
        <v>1.2711635999999999</v>
      </c>
      <c r="S100" s="72">
        <f t="shared" si="404"/>
        <v>2.7266459220000003</v>
      </c>
      <c r="T100" s="72">
        <f t="shared" si="405"/>
        <v>3.7753558919999999</v>
      </c>
      <c r="U100" s="72">
        <f t="shared" si="406"/>
        <v>3.5656138980000001</v>
      </c>
      <c r="V100" s="72">
        <f t="shared" si="407"/>
        <v>0.524354985</v>
      </c>
      <c r="W100" s="72">
        <f t="shared" si="408"/>
        <v>0.10487099700000001</v>
      </c>
      <c r="X100" s="72">
        <f t="shared" si="409"/>
        <v>3.9850978860000006</v>
      </c>
      <c r="Y100" s="72">
        <f t="shared" si="410"/>
        <v>5.4532918440000007</v>
      </c>
      <c r="Z100" s="72">
        <f t="shared" si="411"/>
        <v>3.7753558919999999</v>
      </c>
      <c r="AA100" s="72">
        <f t="shared" si="412"/>
        <v>0</v>
      </c>
      <c r="AB100" s="72">
        <f t="shared" si="413"/>
        <v>0</v>
      </c>
      <c r="AC100" s="91">
        <f t="shared" si="414"/>
        <v>31.423164191999998</v>
      </c>
      <c r="AD100" s="91">
        <f t="shared" si="415"/>
        <v>60.685350264000014</v>
      </c>
      <c r="AE100" s="91">
        <f t="shared" si="416"/>
        <v>37.14975621</v>
      </c>
      <c r="AF100" s="91">
        <f t="shared" si="417"/>
        <v>5.8314630150000006</v>
      </c>
      <c r="AG100" s="91">
        <f t="shared" si="418"/>
        <v>1.166292603</v>
      </c>
      <c r="AH100" s="39">
        <f t="shared" si="419"/>
        <v>10.461192</v>
      </c>
      <c r="AI100" s="77">
        <f t="shared" si="420"/>
        <v>19.178851999999999</v>
      </c>
      <c r="AJ100" s="77">
        <f t="shared" si="421"/>
        <v>12.204724000000001</v>
      </c>
      <c r="AK100" s="77">
        <f t="shared" si="422"/>
        <v>1.7435320000000001</v>
      </c>
      <c r="AL100" s="26">
        <f t="shared" si="423"/>
        <v>0.34870640000000003</v>
      </c>
      <c r="AM100" s="27">
        <v>0.9</v>
      </c>
      <c r="AN100" s="27">
        <v>0.75</v>
      </c>
      <c r="AO100" s="27">
        <v>0.9</v>
      </c>
      <c r="AP100" s="27">
        <v>0.1</v>
      </c>
      <c r="AQ100" s="27">
        <v>0.1</v>
      </c>
      <c r="AR100" s="26">
        <f t="shared" si="424"/>
        <v>11.8690541298</v>
      </c>
      <c r="AS100" s="26">
        <f t="shared" si="425"/>
        <v>17.215655919</v>
      </c>
      <c r="AT100" s="26">
        <f t="shared" si="426"/>
        <v>14.193304108200001</v>
      </c>
      <c r="AU100" s="26">
        <f t="shared" si="427"/>
        <v>0.22678869850000002</v>
      </c>
      <c r="AV100" s="26">
        <f t="shared" si="428"/>
        <v>4.535773970000001E-2</v>
      </c>
      <c r="AW100" s="26">
        <f t="shared" si="429"/>
        <v>1.3187837921999996</v>
      </c>
      <c r="AX100" s="26">
        <f t="shared" si="430"/>
        <v>5.7385519729999999</v>
      </c>
      <c r="AY100" s="26">
        <f t="shared" si="431"/>
        <v>1.5770337897999998</v>
      </c>
      <c r="AZ100" s="26">
        <f t="shared" si="432"/>
        <v>2.0410982865</v>
      </c>
      <c r="BA100" s="40">
        <f t="shared" si="433"/>
        <v>0.40821965730000004</v>
      </c>
      <c r="BB100" s="37">
        <f t="shared" si="434"/>
        <v>48.596100000000007</v>
      </c>
      <c r="BC100" s="28">
        <f t="shared" si="435"/>
        <v>89.092849999999999</v>
      </c>
      <c r="BD100" s="28">
        <f t="shared" si="436"/>
        <v>56.695450000000001</v>
      </c>
      <c r="BE100" s="29">
        <f t="shared" si="437"/>
        <v>8.0993500000000012</v>
      </c>
      <c r="BF100" s="29">
        <f t="shared" si="438"/>
        <v>1.6198699999999999</v>
      </c>
      <c r="BG100" s="28">
        <f t="shared" si="439"/>
        <v>32.741947984199996</v>
      </c>
      <c r="BH100" s="28">
        <f t="shared" si="440"/>
        <v>66.423902237000021</v>
      </c>
      <c r="BI100" s="28">
        <f t="shared" si="441"/>
        <v>38.726789999799998</v>
      </c>
      <c r="BJ100" s="29">
        <f t="shared" si="442"/>
        <v>7.8725613015000011</v>
      </c>
      <c r="BK100" s="29">
        <f t="shared" si="443"/>
        <v>1.5745122603000001</v>
      </c>
      <c r="BL100" s="28">
        <f t="shared" si="444"/>
        <v>15.8541520158</v>
      </c>
      <c r="BM100" s="28">
        <f t="shared" si="445"/>
        <v>22.668947762999998</v>
      </c>
      <c r="BN100" s="28">
        <f t="shared" si="446"/>
        <v>17.9686600002</v>
      </c>
      <c r="BO100" s="29">
        <f t="shared" si="447"/>
        <v>0.22678869850000002</v>
      </c>
      <c r="BP100" s="30">
        <f t="shared" si="448"/>
        <v>4.535773970000001E-2</v>
      </c>
      <c r="BQ100" s="10">
        <v>1335300</v>
      </c>
      <c r="BR100" s="6">
        <v>155600</v>
      </c>
      <c r="BS100" t="s">
        <v>128</v>
      </c>
    </row>
    <row r="101" spans="1:71" ht="83.25" customHeight="1" x14ac:dyDescent="0.25">
      <c r="A101" s="18"/>
      <c r="B101" s="18">
        <v>79</v>
      </c>
      <c r="C101" s="19" t="s">
        <v>116</v>
      </c>
      <c r="D101" s="60">
        <v>1730</v>
      </c>
      <c r="E101" s="57" t="s">
        <v>191</v>
      </c>
      <c r="F101" s="14" t="s">
        <v>209</v>
      </c>
      <c r="G101" s="53">
        <v>1936</v>
      </c>
      <c r="H101" s="54">
        <v>0</v>
      </c>
      <c r="I101" s="50">
        <f t="shared" si="395"/>
        <v>1936</v>
      </c>
      <c r="J101" s="45">
        <v>0.32</v>
      </c>
      <c r="K101" s="65">
        <f t="shared" si="396"/>
        <v>619.52</v>
      </c>
      <c r="L101" s="66">
        <f t="shared" si="397"/>
        <v>0.67999999999999994</v>
      </c>
      <c r="M101" s="67">
        <f t="shared" si="398"/>
        <v>1316.48</v>
      </c>
      <c r="N101" s="43">
        <f t="shared" si="399"/>
        <v>28.830912000000001</v>
      </c>
      <c r="O101" s="92">
        <f t="shared" si="400"/>
        <v>52.856671999999989</v>
      </c>
      <c r="P101" s="72">
        <f t="shared" si="401"/>
        <v>33.636063999999998</v>
      </c>
      <c r="Q101" s="72">
        <f t="shared" si="402"/>
        <v>4.8051519999999996</v>
      </c>
      <c r="R101" s="25">
        <f t="shared" si="403"/>
        <v>0.96103040000000006</v>
      </c>
      <c r="S101" s="72">
        <f t="shared" si="404"/>
        <v>2.0614102080000003</v>
      </c>
      <c r="T101" s="72">
        <f t="shared" si="405"/>
        <v>2.8542602879999999</v>
      </c>
      <c r="U101" s="72">
        <f t="shared" si="406"/>
        <v>2.6956902720000002</v>
      </c>
      <c r="V101" s="72">
        <f t="shared" si="407"/>
        <v>0.39642504000000001</v>
      </c>
      <c r="W101" s="72">
        <f t="shared" si="408"/>
        <v>7.9285008000000004E-2</v>
      </c>
      <c r="X101" s="72">
        <f t="shared" si="409"/>
        <v>3.0128303039999995</v>
      </c>
      <c r="Y101" s="72">
        <f t="shared" si="410"/>
        <v>4.1228204160000006</v>
      </c>
      <c r="Z101" s="72">
        <f t="shared" si="411"/>
        <v>2.8542602879999999</v>
      </c>
      <c r="AA101" s="72">
        <f t="shared" si="412"/>
        <v>0</v>
      </c>
      <c r="AB101" s="72">
        <f t="shared" si="413"/>
        <v>0</v>
      </c>
      <c r="AC101" s="91">
        <f t="shared" si="414"/>
        <v>23.756671488000002</v>
      </c>
      <c r="AD101" s="91">
        <f t="shared" si="415"/>
        <v>45.879591295999987</v>
      </c>
      <c r="AE101" s="91">
        <f t="shared" si="416"/>
        <v>28.086113439999998</v>
      </c>
      <c r="AF101" s="91">
        <f t="shared" si="417"/>
        <v>4.4087269599999992</v>
      </c>
      <c r="AG101" s="91">
        <f t="shared" si="418"/>
        <v>0.88174539200000002</v>
      </c>
      <c r="AH101" s="39">
        <f t="shared" si="419"/>
        <v>13.567487999999997</v>
      </c>
      <c r="AI101" s="77">
        <f t="shared" si="420"/>
        <v>24.873728</v>
      </c>
      <c r="AJ101" s="77">
        <f t="shared" si="421"/>
        <v>15.828735999999999</v>
      </c>
      <c r="AK101" s="77">
        <f t="shared" si="422"/>
        <v>2.2612480000000001</v>
      </c>
      <c r="AL101" s="26">
        <f t="shared" si="423"/>
        <v>0.45224959999999997</v>
      </c>
      <c r="AM101" s="27">
        <v>0.9</v>
      </c>
      <c r="AN101" s="27">
        <v>0.75</v>
      </c>
      <c r="AO101" s="27">
        <v>0.9</v>
      </c>
      <c r="AP101" s="27">
        <v>0.1</v>
      </c>
      <c r="AQ101" s="27">
        <v>0.1</v>
      </c>
      <c r="AR101" s="26">
        <f t="shared" si="424"/>
        <v>14.066008387199998</v>
      </c>
      <c r="AS101" s="26">
        <f t="shared" si="425"/>
        <v>20.795991215999997</v>
      </c>
      <c r="AT101" s="26">
        <f t="shared" si="426"/>
        <v>16.671983644800001</v>
      </c>
      <c r="AU101" s="26">
        <f t="shared" si="427"/>
        <v>0.26576730400000004</v>
      </c>
      <c r="AV101" s="26">
        <f t="shared" si="428"/>
        <v>5.3153460799999996E-2</v>
      </c>
      <c r="AW101" s="26">
        <f t="shared" si="429"/>
        <v>1.5628898207999988</v>
      </c>
      <c r="AX101" s="26">
        <f t="shared" si="430"/>
        <v>6.9319970720000015</v>
      </c>
      <c r="AY101" s="26">
        <f t="shared" si="431"/>
        <v>1.8524426271999985</v>
      </c>
      <c r="AZ101" s="26">
        <f t="shared" si="432"/>
        <v>2.391905736</v>
      </c>
      <c r="BA101" s="40">
        <f t="shared" si="433"/>
        <v>0.47838114719999997</v>
      </c>
      <c r="BB101" s="37">
        <f t="shared" si="434"/>
        <v>42.398399999999995</v>
      </c>
      <c r="BC101" s="28">
        <f t="shared" si="435"/>
        <v>77.730399999999989</v>
      </c>
      <c r="BD101" s="28">
        <f t="shared" si="436"/>
        <v>49.464799999999997</v>
      </c>
      <c r="BE101" s="29">
        <f t="shared" si="437"/>
        <v>7.0663999999999998</v>
      </c>
      <c r="BF101" s="29">
        <f t="shared" si="438"/>
        <v>1.4132800000000001</v>
      </c>
      <c r="BG101" s="28">
        <f t="shared" si="439"/>
        <v>25.319561308800001</v>
      </c>
      <c r="BH101" s="28">
        <f t="shared" si="440"/>
        <v>52.811588367999988</v>
      </c>
      <c r="BI101" s="28">
        <f t="shared" si="441"/>
        <v>29.938556067199997</v>
      </c>
      <c r="BJ101" s="29">
        <f t="shared" si="442"/>
        <v>6.8006326959999992</v>
      </c>
      <c r="BK101" s="29">
        <f t="shared" si="443"/>
        <v>1.3601265391999999</v>
      </c>
      <c r="BL101" s="28">
        <f t="shared" si="444"/>
        <v>17.078838691199998</v>
      </c>
      <c r="BM101" s="28">
        <f t="shared" si="445"/>
        <v>24.918811631999997</v>
      </c>
      <c r="BN101" s="28">
        <f t="shared" si="446"/>
        <v>19.5262439328</v>
      </c>
      <c r="BO101" s="29">
        <f t="shared" si="447"/>
        <v>0.26576730400000004</v>
      </c>
      <c r="BP101" s="30">
        <f t="shared" si="448"/>
        <v>5.3153460799999996E-2</v>
      </c>
      <c r="BQ101" s="10">
        <v>1748218</v>
      </c>
      <c r="BR101" s="6">
        <v>132400</v>
      </c>
      <c r="BS101" t="s">
        <v>192</v>
      </c>
    </row>
    <row r="102" spans="1:71" ht="15.75" thickBot="1" x14ac:dyDescent="0.3">
      <c r="A102" s="21"/>
      <c r="B102" s="21">
        <v>81</v>
      </c>
      <c r="C102" s="23" t="s">
        <v>118</v>
      </c>
      <c r="D102" s="62">
        <v>1679</v>
      </c>
      <c r="E102" s="48" t="s">
        <v>193</v>
      </c>
      <c r="F102" s="22" t="s">
        <v>209</v>
      </c>
      <c r="G102" s="90">
        <v>2094</v>
      </c>
      <c r="H102" s="56">
        <v>615</v>
      </c>
      <c r="I102" s="51">
        <f t="shared" si="395"/>
        <v>2709</v>
      </c>
      <c r="J102" s="46">
        <v>0.48</v>
      </c>
      <c r="K102" s="129">
        <f t="shared" si="396"/>
        <v>1005.12</v>
      </c>
      <c r="L102" s="130">
        <f t="shared" si="397"/>
        <v>0.52</v>
      </c>
      <c r="M102" s="131">
        <f t="shared" si="398"/>
        <v>1088.8800000000001</v>
      </c>
      <c r="N102" s="44">
        <f t="shared" si="399"/>
        <v>23.846471999999999</v>
      </c>
      <c r="O102" s="135">
        <f t="shared" si="400"/>
        <v>43.71853200000001</v>
      </c>
      <c r="P102" s="136">
        <f t="shared" si="401"/>
        <v>27.820884000000003</v>
      </c>
      <c r="Q102" s="136">
        <f t="shared" si="402"/>
        <v>3.9744120000000005</v>
      </c>
      <c r="R102" s="31">
        <f t="shared" si="403"/>
        <v>0.79488239999999999</v>
      </c>
      <c r="S102" s="136">
        <f t="shared" si="404"/>
        <v>1.7050227480000004</v>
      </c>
      <c r="T102" s="136">
        <f t="shared" si="405"/>
        <v>2.3608007280000005</v>
      </c>
      <c r="U102" s="136">
        <f t="shared" si="406"/>
        <v>2.2296451320000004</v>
      </c>
      <c r="V102" s="136">
        <f t="shared" si="407"/>
        <v>0.32788899000000005</v>
      </c>
      <c r="W102" s="136">
        <f t="shared" si="408"/>
        <v>6.5577798000000007E-2</v>
      </c>
      <c r="X102" s="136">
        <f t="shared" si="409"/>
        <v>2.4919563240000002</v>
      </c>
      <c r="Y102" s="136">
        <f t="shared" si="410"/>
        <v>3.4100454960000008</v>
      </c>
      <c r="Z102" s="136">
        <f t="shared" si="411"/>
        <v>2.3608007280000005</v>
      </c>
      <c r="AA102" s="136">
        <f t="shared" si="412"/>
        <v>0</v>
      </c>
      <c r="AB102" s="136">
        <f t="shared" si="413"/>
        <v>0</v>
      </c>
      <c r="AC102" s="138">
        <f t="shared" si="414"/>
        <v>19.649492927999997</v>
      </c>
      <c r="AD102" s="138">
        <f t="shared" si="415"/>
        <v>37.947685776000007</v>
      </c>
      <c r="AE102" s="138">
        <f t="shared" si="416"/>
        <v>23.23043814</v>
      </c>
      <c r="AF102" s="138">
        <f t="shared" si="417"/>
        <v>3.6465230100000006</v>
      </c>
      <c r="AG102" s="138">
        <f t="shared" si="418"/>
        <v>0.72930460200000002</v>
      </c>
      <c r="AH102" s="41">
        <f t="shared" si="419"/>
        <v>35.480628000000003</v>
      </c>
      <c r="AI102" s="141">
        <f t="shared" si="420"/>
        <v>65.047817999999992</v>
      </c>
      <c r="AJ102" s="141">
        <f t="shared" si="421"/>
        <v>41.394066000000002</v>
      </c>
      <c r="AK102" s="141">
        <f t="shared" si="422"/>
        <v>5.9134380000000002</v>
      </c>
      <c r="AL102" s="32">
        <f t="shared" si="423"/>
        <v>1.1826876</v>
      </c>
      <c r="AM102" s="33">
        <v>0.9</v>
      </c>
      <c r="AN102" s="33">
        <v>0.75</v>
      </c>
      <c r="AO102" s="33">
        <v>0.9</v>
      </c>
      <c r="AP102" s="33">
        <v>0.1</v>
      </c>
      <c r="AQ102" s="33">
        <v>0.1</v>
      </c>
      <c r="AR102" s="32">
        <f t="shared" si="424"/>
        <v>33.467085673200003</v>
      </c>
      <c r="AS102" s="32">
        <f t="shared" si="425"/>
        <v>50.556464045999995</v>
      </c>
      <c r="AT102" s="32">
        <f t="shared" si="426"/>
        <v>39.261340018800006</v>
      </c>
      <c r="AU102" s="32">
        <f t="shared" si="427"/>
        <v>0.62413269900000001</v>
      </c>
      <c r="AV102" s="32">
        <f t="shared" si="428"/>
        <v>0.12482653980000001</v>
      </c>
      <c r="AW102" s="32">
        <f t="shared" si="429"/>
        <v>3.7185650747999972</v>
      </c>
      <c r="AX102" s="32">
        <f t="shared" si="430"/>
        <v>16.852154681999998</v>
      </c>
      <c r="AY102" s="32">
        <f t="shared" si="431"/>
        <v>4.3623711131999983</v>
      </c>
      <c r="AZ102" s="32">
        <f t="shared" si="432"/>
        <v>5.6171942910000006</v>
      </c>
      <c r="BA102" s="42">
        <f t="shared" si="433"/>
        <v>1.1234388582000001</v>
      </c>
      <c r="BB102" s="38">
        <f t="shared" si="434"/>
        <v>59.327100000000002</v>
      </c>
      <c r="BC102" s="34">
        <f t="shared" si="435"/>
        <v>108.76635</v>
      </c>
      <c r="BD102" s="34">
        <f t="shared" si="436"/>
        <v>69.214950000000002</v>
      </c>
      <c r="BE102" s="35">
        <f t="shared" si="437"/>
        <v>9.8878500000000003</v>
      </c>
      <c r="BF102" s="35">
        <f t="shared" si="438"/>
        <v>1.9775700000000001</v>
      </c>
      <c r="BG102" s="34">
        <f t="shared" si="439"/>
        <v>23.368058002799994</v>
      </c>
      <c r="BH102" s="34">
        <f t="shared" si="440"/>
        <v>54.799840458000006</v>
      </c>
      <c r="BI102" s="34">
        <f t="shared" si="441"/>
        <v>27.592809253199999</v>
      </c>
      <c r="BJ102" s="35">
        <f t="shared" si="442"/>
        <v>9.2637173010000016</v>
      </c>
      <c r="BK102" s="35">
        <f t="shared" si="443"/>
        <v>1.8527434602000001</v>
      </c>
      <c r="BL102" s="34">
        <f t="shared" si="444"/>
        <v>35.959041997200003</v>
      </c>
      <c r="BM102" s="34">
        <f t="shared" si="445"/>
        <v>53.966509541999997</v>
      </c>
      <c r="BN102" s="34">
        <f t="shared" si="446"/>
        <v>41.622140746800007</v>
      </c>
      <c r="BO102" s="35">
        <f t="shared" si="447"/>
        <v>0.62413269900000001</v>
      </c>
      <c r="BP102" s="36">
        <f t="shared" si="448"/>
        <v>0.12482653980000001</v>
      </c>
      <c r="BQ102" s="11">
        <v>224655</v>
      </c>
      <c r="BR102" s="7">
        <v>133755</v>
      </c>
      <c r="BS102" t="s">
        <v>128</v>
      </c>
    </row>
    <row r="103" spans="1:71" s="117" customFormat="1" ht="16.5" thickBot="1" x14ac:dyDescent="0.3">
      <c r="B103" s="173" t="s">
        <v>220</v>
      </c>
      <c r="C103" s="174"/>
      <c r="D103" s="174"/>
      <c r="E103" s="175"/>
      <c r="G103" s="123">
        <f>SUM(G87:G102)</f>
        <v>95253</v>
      </c>
      <c r="H103" s="123">
        <f t="shared" ref="H103:M103" si="449">SUM(H87:H102)</f>
        <v>16232</v>
      </c>
      <c r="I103" s="123">
        <f t="shared" si="449"/>
        <v>111485</v>
      </c>
      <c r="J103" s="128">
        <f>K103/G103</f>
        <v>0.643676104689616</v>
      </c>
      <c r="K103" s="123">
        <f t="shared" si="449"/>
        <v>61312.079999999994</v>
      </c>
      <c r="L103" s="128">
        <f>M103/G103</f>
        <v>0.35632389531038389</v>
      </c>
      <c r="M103" s="123">
        <f t="shared" si="449"/>
        <v>33940.92</v>
      </c>
      <c r="N103" s="134">
        <f t="shared" ref="N103" si="450">SUM(N87:N102)</f>
        <v>743.30614799999989</v>
      </c>
      <c r="O103" s="134">
        <f t="shared" ref="O103" si="451">SUM(O87:O102)</f>
        <v>1362.727938</v>
      </c>
      <c r="P103" s="134">
        <f t="shared" ref="P103" si="452">SUM(P87:P102)</f>
        <v>867.19050600000003</v>
      </c>
      <c r="Q103" s="134">
        <f t="shared" ref="Q103" si="453">SUM(Q87:Q102)</f>
        <v>123.88435799999999</v>
      </c>
      <c r="R103" s="134">
        <f t="shared" ref="R103" si="454">SUM(R87:R102)</f>
        <v>24.776871599999996</v>
      </c>
      <c r="S103" s="134">
        <f t="shared" ref="S103" si="455">SUM(S87:S102)</f>
        <v>53.146389581999998</v>
      </c>
      <c r="T103" s="134">
        <f t="shared" ref="T103" si="456">SUM(T87:T102)</f>
        <v>73.587308652000004</v>
      </c>
      <c r="U103" s="134">
        <f t="shared" ref="U103" si="457">SUM(U87:U102)</f>
        <v>69.499124838</v>
      </c>
      <c r="V103" s="134">
        <f t="shared" ref="V103" si="458">SUM(V87:V102)</f>
        <v>10.220459535000002</v>
      </c>
      <c r="W103" s="134">
        <f t="shared" ref="W103" si="459">SUM(W87:W102)</f>
        <v>2.0440919069999999</v>
      </c>
      <c r="X103" s="134">
        <f t="shared" ref="X103" si="460">SUM(X87:X102)</f>
        <v>77.675492466000009</v>
      </c>
      <c r="Y103" s="134">
        <f t="shared" ref="Y103" si="461">SUM(Y87:Y102)</f>
        <v>106.292779164</v>
      </c>
      <c r="Z103" s="134">
        <f t="shared" ref="Z103" si="462">SUM(Z87:Z102)</f>
        <v>73.587308652000004</v>
      </c>
      <c r="AA103" s="134">
        <f t="shared" ref="AA103" si="463">SUM(AA87:AA102)</f>
        <v>0</v>
      </c>
      <c r="AB103" s="134">
        <f t="shared" ref="AB103" si="464">SUM(AB87:AB102)</f>
        <v>0</v>
      </c>
      <c r="AC103" s="134">
        <f t="shared" ref="AC103" si="465">SUM(AC87:AC102)</f>
        <v>612.48426595199987</v>
      </c>
      <c r="AD103" s="134">
        <f t="shared" ref="AD103" si="466">SUM(AD87:AD102)</f>
        <v>1182.847850184</v>
      </c>
      <c r="AE103" s="134">
        <f t="shared" ref="AE103" si="467">SUM(AE87:AE102)</f>
        <v>724.10407251000015</v>
      </c>
      <c r="AF103" s="134">
        <f t="shared" ref="AF103" si="468">SUM(AF87:AF102)</f>
        <v>113.66389846499997</v>
      </c>
      <c r="AG103" s="134">
        <f t="shared" ref="AG103" si="469">SUM(AG87:AG102)</f>
        <v>22.732779692999994</v>
      </c>
      <c r="AH103" s="140">
        <f t="shared" ref="AH103" si="470">SUM(AH87:AH102)</f>
        <v>1698.2153519999999</v>
      </c>
      <c r="AI103" s="140">
        <f t="shared" ref="AI103" si="471">SUM(AI87:AI102)</f>
        <v>3113.394812</v>
      </c>
      <c r="AJ103" s="140">
        <f t="shared" ref="AJ103" si="472">SUM(AJ87:AJ102)</f>
        <v>1981.251244</v>
      </c>
      <c r="AK103" s="140">
        <f t="shared" ref="AK103" si="473">SUM(AK87:AK102)</f>
        <v>283.03589199999999</v>
      </c>
      <c r="AL103" s="140">
        <f t="shared" ref="AL103" si="474">SUM(AL87:AL102)</f>
        <v>56.607178399999995</v>
      </c>
      <c r="AM103" s="140"/>
      <c r="AN103" s="140"/>
      <c r="AO103" s="140"/>
      <c r="AP103" s="140"/>
      <c r="AQ103" s="140"/>
      <c r="AR103" s="140">
        <f t="shared" ref="AR103" si="475">SUM(AR87:AR102)</f>
        <v>1576.2255674238002</v>
      </c>
      <c r="AS103" s="140">
        <f t="shared" ref="AS103" si="476">SUM(AS87:AS102)</f>
        <v>2390.2365904890007</v>
      </c>
      <c r="AT103" s="140">
        <f t="shared" ref="AT103" si="477">SUM(AT87:AT102)</f>
        <v>1845.6753319542001</v>
      </c>
      <c r="AU103" s="140">
        <f t="shared" ref="AU103" si="478">SUM(AU87:AU102)</f>
        <v>161.08948202725</v>
      </c>
      <c r="AV103" s="140">
        <f t="shared" ref="AV103" si="479">SUM(AV87:AV102)</f>
        <v>32.217896405449999</v>
      </c>
      <c r="AW103" s="140">
        <f t="shared" ref="AW103" si="480">SUM(AW87:AW102)</f>
        <v>175.13617415819999</v>
      </c>
      <c r="AX103" s="140">
        <f t="shared" ref="AX103" si="481">SUM(AX87:AX102)</f>
        <v>796.74553016299978</v>
      </c>
      <c r="AY103" s="140">
        <f t="shared" ref="AY103" si="482">SUM(AY87:AY102)</f>
        <v>205.07503688380004</v>
      </c>
      <c r="AZ103" s="140">
        <f t="shared" ref="AZ103" si="483">SUM(AZ87:AZ102)</f>
        <v>132.16686950774999</v>
      </c>
      <c r="BA103" s="140">
        <f t="shared" ref="BA103" si="484">SUM(BA87:BA102)</f>
        <v>26.433373901549995</v>
      </c>
      <c r="BB103" s="149">
        <f t="shared" ref="BB103" si="485">SUM(BB87:BB102)</f>
        <v>2441.5214999999998</v>
      </c>
      <c r="BC103" s="149">
        <f t="shared" ref="BC103" si="486">SUM(BC87:BC102)</f>
        <v>4476.1227500000005</v>
      </c>
      <c r="BD103" s="149">
        <f t="shared" ref="BD103" si="487">SUM(BD87:BD102)</f>
        <v>2848.44175</v>
      </c>
      <c r="BE103" s="149">
        <f t="shared" ref="BE103" si="488">SUM(BE87:BE102)</f>
        <v>406.92025000000007</v>
      </c>
      <c r="BF103" s="149">
        <f t="shared" ref="BF103" si="489">SUM(BF87:BF102)</f>
        <v>81.384050000000016</v>
      </c>
      <c r="BG103" s="149">
        <f t="shared" ref="BG103" si="490">SUM(BG87:BG102)</f>
        <v>787.62044011019998</v>
      </c>
      <c r="BH103" s="149">
        <f t="shared" ref="BH103" si="491">SUM(BH87:BH102)</f>
        <v>1979.5933803470002</v>
      </c>
      <c r="BI103" s="149">
        <f t="shared" ref="BI103" si="492">SUM(BI87:BI102)</f>
        <v>929.1791093938001</v>
      </c>
      <c r="BJ103" s="149">
        <f t="shared" ref="BJ103" si="493">SUM(BJ87:BJ102)</f>
        <v>245.83076797275001</v>
      </c>
      <c r="BK103" s="149">
        <f t="shared" ref="BK103" si="494">SUM(BK87:BK102)</f>
        <v>49.166153594549996</v>
      </c>
      <c r="BL103" s="149">
        <f t="shared" ref="BL103" si="495">SUM(BL87:BL102)</f>
        <v>1653.9010598898005</v>
      </c>
      <c r="BM103" s="149">
        <f t="shared" ref="BM103" si="496">SUM(BM87:BM102)</f>
        <v>2496.5293696530007</v>
      </c>
      <c r="BN103" s="149">
        <f t="shared" ref="BN103" si="497">SUM(BN87:BN102)</f>
        <v>1919.2626406062002</v>
      </c>
      <c r="BO103" s="149">
        <f t="shared" ref="BO103" si="498">SUM(BO87:BO102)</f>
        <v>161.08948202725</v>
      </c>
      <c r="BP103" s="149">
        <f t="shared" ref="BP103" si="499">SUM(BP87:BP102)</f>
        <v>32.217896405449999</v>
      </c>
      <c r="BQ103" s="120">
        <f>SUM(BQ6:BQ102)</f>
        <v>58899975.799999997</v>
      </c>
      <c r="BR103" s="120">
        <f>SUM(BR6:BR102)</f>
        <v>48300247.399999999</v>
      </c>
    </row>
    <row r="104" spans="1:71" s="121" customFormat="1" ht="18" thickBot="1" x14ac:dyDescent="0.35">
      <c r="B104" s="200" t="s">
        <v>221</v>
      </c>
      <c r="C104" s="200"/>
      <c r="D104" s="200"/>
      <c r="E104" s="200"/>
      <c r="G104" s="154">
        <f>G41+G60+G75+G85+G103</f>
        <v>1670879</v>
      </c>
      <c r="H104" s="154">
        <f t="shared" ref="H104:M104" si="500">H41+H60+H75+H85+H103</f>
        <v>384278</v>
      </c>
      <c r="I104" s="154">
        <f t="shared" si="500"/>
        <v>2055157</v>
      </c>
      <c r="J104" s="155">
        <f>K104/G104</f>
        <v>0.79117064730599873</v>
      </c>
      <c r="K104" s="154">
        <f t="shared" si="500"/>
        <v>1321950.42</v>
      </c>
      <c r="L104" s="155">
        <f>M104/G104</f>
        <v>0.20882935269400119</v>
      </c>
      <c r="M104" s="154">
        <f t="shared" si="500"/>
        <v>348928.58</v>
      </c>
      <c r="N104" s="154">
        <f t="shared" ref="N104" si="501">N41+N60+N75+N85+N103</f>
        <v>7641.5359019999996</v>
      </c>
      <c r="O104" s="154">
        <f t="shared" ref="O104" si="502">O41+O60+O75+O85+O103</f>
        <v>14009.482486999999</v>
      </c>
      <c r="P104" s="154">
        <f t="shared" ref="P104" si="503">P41+P60+P75+P85+P103</f>
        <v>8915.1252189999996</v>
      </c>
      <c r="Q104" s="154">
        <f t="shared" ref="Q104" si="504">Q41+Q60+Q75+Q85+Q103</f>
        <v>1273.5893170000002</v>
      </c>
      <c r="R104" s="154">
        <f t="shared" ref="R104" si="505">R41+R60+R75+R85+R103</f>
        <v>254.71786340000003</v>
      </c>
      <c r="S104" s="154">
        <f t="shared" ref="S104" si="506">S41+S60+S75+S85+S103</f>
        <v>546.36981699300009</v>
      </c>
      <c r="T104" s="154">
        <f t="shared" ref="T104" si="507">T41+T60+T75+T85+T103</f>
        <v>756.51205429800007</v>
      </c>
      <c r="U104" s="154">
        <f t="shared" ref="U104" si="508">U41+U60+U75+U85+U103</f>
        <v>714.48360683700002</v>
      </c>
      <c r="V104" s="154">
        <f t="shared" ref="V104" si="509">V41+V60+V75+V85+V103</f>
        <v>105.07111865250002</v>
      </c>
      <c r="W104" s="154">
        <f t="shared" ref="W104" si="510">W41+W60+W75+W85+W103</f>
        <v>21.014223730499999</v>
      </c>
      <c r="X104" s="154">
        <f t="shared" ref="X104" si="511">X41+X60+X75+X85+X103</f>
        <v>798.54050175899999</v>
      </c>
      <c r="Y104" s="154">
        <f t="shared" ref="Y104" si="512">Y41+Y60+Y75+Y85+Y103</f>
        <v>1092.7396339860002</v>
      </c>
      <c r="Z104" s="154">
        <f t="shared" ref="Z104" si="513">Z41+Z60+Z75+Z85+Z103</f>
        <v>756.51205429800007</v>
      </c>
      <c r="AA104" s="154">
        <f t="shared" ref="AA104" si="514">AA41+AA60+AA75+AA85+AA103</f>
        <v>0</v>
      </c>
      <c r="AB104" s="154">
        <f t="shared" ref="AB104" si="515">AB41+AB60+AB75+AB85+AB103</f>
        <v>0</v>
      </c>
      <c r="AC104" s="154">
        <f t="shared" ref="AC104" si="516">AC41+AC60+AC75+AC85+AC103</f>
        <v>6296.6255832480001</v>
      </c>
      <c r="AD104" s="154">
        <f t="shared" ref="AD104" si="517">AD41+AD60+AD75+AD85+AD103</f>
        <v>12160.230798716002</v>
      </c>
      <c r="AE104" s="154">
        <f t="shared" ref="AE104" si="518">AE41+AE60+AE75+AE85+AE103</f>
        <v>7444.1295578650006</v>
      </c>
      <c r="AF104" s="154">
        <f t="shared" ref="AF104" si="519">AF41+AF60+AF75+AF85+AF103</f>
        <v>1168.5181983474999</v>
      </c>
      <c r="AG104" s="154">
        <f t="shared" ref="AG104" si="520">AG41+AG60+AG75+AG85+AG103</f>
        <v>233.70363966949998</v>
      </c>
      <c r="AH104" s="154">
        <f t="shared" ref="AH104" si="521">AH41+AH60+AH75+AH85+AH103</f>
        <v>37366.402397999991</v>
      </c>
      <c r="AI104" s="154">
        <f t="shared" ref="AI104" si="522">AI41+AI60+AI75+AI85+AI103</f>
        <v>68505.07106300001</v>
      </c>
      <c r="AJ104" s="154">
        <f t="shared" ref="AJ104" si="523">AJ41+AJ60+AJ75+AJ85+AJ103</f>
        <v>43594.136130999999</v>
      </c>
      <c r="AK104" s="154">
        <f t="shared" ref="AK104" si="524">AK41+AK60+AK75+AK85+AK103</f>
        <v>6227.7337329999991</v>
      </c>
      <c r="AL104" s="154">
        <f t="shared" ref="AL104" si="525">AL41+AL60+AL75+AL85+AL103</f>
        <v>1245.5467466000002</v>
      </c>
      <c r="AM104" s="154">
        <f t="shared" ref="AM104" si="526">AM41+AM60+AM75+AM85+AM103</f>
        <v>0</v>
      </c>
      <c r="AN104" s="154">
        <f t="shared" ref="AN104" si="527">AN41+AN60+AN75+AN85+AN103</f>
        <v>0</v>
      </c>
      <c r="AO104" s="154">
        <f t="shared" ref="AO104" si="528">AO41+AO60+AO75+AO85+AO103</f>
        <v>0</v>
      </c>
      <c r="AP104" s="154">
        <f t="shared" ref="AP104" si="529">AP41+AP60+AP75+AP85+AP103</f>
        <v>0</v>
      </c>
      <c r="AQ104" s="154">
        <f t="shared" ref="AQ104" si="530">AQ41+AQ60+AQ75+AQ85+AQ103</f>
        <v>0</v>
      </c>
      <c r="AR104" s="154">
        <f t="shared" ref="AR104" si="531">AR41+AR60+AR75+AR85+AR103</f>
        <v>34121.494993493703</v>
      </c>
      <c r="AS104" s="154">
        <f t="shared" ref="AS104" si="532">AS41+AS60+AS75+AS85+AS103</f>
        <v>51946.187337973504</v>
      </c>
      <c r="AT104" s="154">
        <f t="shared" ref="AT104" si="533">AT41+AT60+AT75+AT85+AT103</f>
        <v>39877.757764053298</v>
      </c>
      <c r="AU104" s="154">
        <f t="shared" ref="AU104" si="534">AU41+AU60+AU75+AU85+AU103</f>
        <v>4383.0796367722996</v>
      </c>
      <c r="AV104" s="154">
        <f t="shared" ref="AV104" si="535">AV41+AV60+AV75+AV85+AV103</f>
        <v>881.92605083050023</v>
      </c>
      <c r="AW104" s="154">
        <f t="shared" ref="AW104" si="536">AW41+AW60+AW75+AW85+AW103</f>
        <v>3791.2772214992988</v>
      </c>
      <c r="AX104" s="154">
        <f t="shared" ref="AX104" si="537">AX41+AX60+AX75+AX85+AX103</f>
        <v>17315.395779324495</v>
      </c>
      <c r="AY104" s="154">
        <f t="shared" ref="AY104" si="538">AY41+AY60+AY75+AY85+AY103</f>
        <v>4430.861973783698</v>
      </c>
      <c r="AZ104" s="154">
        <f t="shared" ref="AZ104" si="539">AZ41+AZ60+AZ75+AZ85+AZ103</f>
        <v>1949.7252148801995</v>
      </c>
      <c r="BA104" s="154">
        <f t="shared" ref="BA104" si="540">BA41+BA60+BA75+BA85+BA103</f>
        <v>384.63491949999997</v>
      </c>
      <c r="BB104" s="154">
        <f t="shared" ref="BB104" si="541">BB41+BB60+BB75+BB85+BB103</f>
        <v>45007.938300000002</v>
      </c>
      <c r="BC104" s="154">
        <f t="shared" ref="BC104" si="542">BC41+BC60+BC75+BC85+BC103</f>
        <v>82514.553549999997</v>
      </c>
      <c r="BD104" s="154">
        <f t="shared" ref="BD104" si="543">BD41+BD60+BD75+BD85+BD103</f>
        <v>52509.261350000001</v>
      </c>
      <c r="BE104" s="154">
        <f t="shared" ref="BE104" si="544">BE41+BE60+BE75+BE85+BE103</f>
        <v>7501.32305</v>
      </c>
      <c r="BF104" s="154">
        <f t="shared" ref="BF104" si="545">BF41+BF60+BF75+BF85+BF103</f>
        <v>1500.2646100000002</v>
      </c>
      <c r="BG104" s="154">
        <f t="shared" ref="BG104" si="546">BG41+BG60+BG75+BG85+BG103</f>
        <v>10087.9028047473</v>
      </c>
      <c r="BH104" s="154">
        <f t="shared" ref="BH104" si="547">BH41+BH60+BH75+BH85+BH103</f>
        <v>29475.626578040497</v>
      </c>
      <c r="BI104" s="154">
        <f t="shared" ref="BI104" si="548">BI41+BI60+BI75+BI85+BI103</f>
        <v>11874.991531648699</v>
      </c>
      <c r="BJ104" s="154">
        <f t="shared" ref="BJ104" si="549">BJ41+BJ60+BJ75+BJ85+BJ103</f>
        <v>3118.2434132276999</v>
      </c>
      <c r="BK104" s="154">
        <f t="shared" ref="BK104" si="550">BK41+BK60+BK75+BK85+BK103</f>
        <v>618.33855916949994</v>
      </c>
      <c r="BL104" s="154">
        <f t="shared" ref="BL104" si="551">BL41+BL60+BL75+BL85+BL103</f>
        <v>34920.035495252698</v>
      </c>
      <c r="BM104" s="154">
        <f t="shared" ref="BM104" si="552">BM41+BM60+BM75+BM85+BM103</f>
        <v>53038.926971959503</v>
      </c>
      <c r="BN104" s="154">
        <f t="shared" ref="BN104" si="553">BN41+BN60+BN75+BN85+BN103</f>
        <v>40634.269818351298</v>
      </c>
      <c r="BO104" s="154">
        <f t="shared" ref="BO104" si="554">BO41+BO60+BO75+BO85+BO103</f>
        <v>4383.0796367722996</v>
      </c>
      <c r="BP104" s="154">
        <f t="shared" ref="BP104" si="555">BP41+BP60+BP75+BP85+BP103</f>
        <v>881.92605083050023</v>
      </c>
    </row>
    <row r="105" spans="1:71" ht="17.25" x14ac:dyDescent="0.3">
      <c r="B105" s="200"/>
      <c r="C105" s="200"/>
      <c r="D105" s="200"/>
      <c r="E105" s="200"/>
      <c r="K105" t="s">
        <v>204</v>
      </c>
    </row>
  </sheetData>
  <sortState ref="B6:BS94">
    <sortCondition ref="F6:F94"/>
    <sortCondition descending="1" ref="D6:D94"/>
  </sortState>
  <mergeCells count="36">
    <mergeCell ref="B105:E105"/>
    <mergeCell ref="B42:I42"/>
    <mergeCell ref="B60:E60"/>
    <mergeCell ref="B61:I61"/>
    <mergeCell ref="B75:E75"/>
    <mergeCell ref="B76:I76"/>
    <mergeCell ref="B85:E85"/>
    <mergeCell ref="B86:I86"/>
    <mergeCell ref="B103:E103"/>
    <mergeCell ref="B104:E104"/>
    <mergeCell ref="B41:E41"/>
    <mergeCell ref="BQ3:BR3"/>
    <mergeCell ref="N4:R4"/>
    <mergeCell ref="X4:AB4"/>
    <mergeCell ref="AC4:AG4"/>
    <mergeCell ref="AH4:AL4"/>
    <mergeCell ref="AM4:AQ4"/>
    <mergeCell ref="AR4:AV4"/>
    <mergeCell ref="AW4:BA4"/>
    <mergeCell ref="BG4:BK4"/>
    <mergeCell ref="N3:AG3"/>
    <mergeCell ref="AH3:BA3"/>
    <mergeCell ref="BB3:BP3"/>
    <mergeCell ref="BL4:BP4"/>
    <mergeCell ref="BB4:BF4"/>
    <mergeCell ref="D3:D5"/>
    <mergeCell ref="J4:K4"/>
    <mergeCell ref="L4:M4"/>
    <mergeCell ref="B3:C5"/>
    <mergeCell ref="S4:W4"/>
    <mergeCell ref="E3:E5"/>
    <mergeCell ref="G3:M3"/>
    <mergeCell ref="G4:G5"/>
    <mergeCell ref="H4:H5"/>
    <mergeCell ref="I4:I5"/>
    <mergeCell ref="F4:F5"/>
  </mergeCells>
  <pageMargins left="0.7" right="0.7" top="0.75" bottom="0.75" header="0.3" footer="0.3"/>
  <pageSetup paperSize="8" scale="87" orientation="landscape" r:id="rId1"/>
  <colBreaks count="2" manualBreakCount="2">
    <brk id="33" max="1048575" man="1"/>
    <brk id="68"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Z100"/>
  <sheetViews>
    <sheetView view="pageBreakPreview" zoomScale="90" zoomScaleNormal="100" zoomScaleSheetLayoutView="90" workbookViewId="0">
      <selection activeCell="E12" sqref="E12"/>
    </sheetView>
  </sheetViews>
  <sheetFormatPr defaultRowHeight="15" x14ac:dyDescent="0.25"/>
  <cols>
    <col min="1" max="1" width="11.42578125" customWidth="1"/>
    <col min="2" max="2" width="3.42578125" customWidth="1"/>
    <col min="3" max="3" width="12.42578125" customWidth="1"/>
    <col min="4" max="4" width="14" customWidth="1"/>
    <col min="5" max="5" width="12.42578125" customWidth="1"/>
    <col min="6" max="6" width="12.42578125" hidden="1" customWidth="1"/>
    <col min="7" max="7" width="11.42578125" customWidth="1"/>
    <col min="8" max="8" width="13.5703125" customWidth="1"/>
    <col min="9" max="9" width="11.42578125" customWidth="1"/>
    <col min="10" max="10" width="8.42578125" customWidth="1"/>
    <col min="11" max="11" width="11.140625" customWidth="1"/>
    <col min="12" max="12" width="7.42578125" customWidth="1"/>
    <col min="13" max="13" width="9.5703125" customWidth="1"/>
    <col min="14" max="14" width="6.7109375" customWidth="1"/>
    <col min="15" max="15" width="7.85546875" customWidth="1"/>
    <col min="16" max="16" width="6.7109375" customWidth="1"/>
    <col min="17" max="17" width="6.85546875" customWidth="1"/>
    <col min="18" max="18" width="5.42578125" customWidth="1"/>
    <col min="19" max="19" width="5.140625" customWidth="1"/>
    <col min="20" max="20" width="4.7109375" customWidth="1"/>
    <col min="21" max="21" width="5.5703125" customWidth="1"/>
    <col min="22" max="23" width="4.5703125" customWidth="1"/>
    <col min="24" max="24" width="4.85546875" customWidth="1"/>
    <col min="25" max="25" width="6.85546875" customWidth="1"/>
    <col min="26" max="26" width="4.7109375" customWidth="1"/>
    <col min="27" max="27" width="3.85546875" customWidth="1"/>
    <col min="28" max="28" width="3.42578125" customWidth="1"/>
    <col min="29" max="29" width="7.140625" customWidth="1"/>
    <col min="30" max="30" width="8.28515625" customWidth="1"/>
    <col min="31" max="31" width="6.85546875" customWidth="1"/>
    <col min="32" max="32" width="7" customWidth="1"/>
    <col min="33" max="33" width="6" customWidth="1"/>
    <col min="34" max="34" width="7.7109375" customWidth="1"/>
    <col min="35" max="35" width="8.140625" customWidth="1"/>
    <col min="36" max="36" width="7.7109375" customWidth="1"/>
    <col min="37" max="37" width="6.7109375" customWidth="1"/>
    <col min="38" max="38" width="6.5703125" customWidth="1"/>
    <col min="39" max="43" width="5.7109375" customWidth="1"/>
    <col min="44" max="44" width="8.42578125" customWidth="1"/>
    <col min="45" max="45" width="8.140625" customWidth="1"/>
    <col min="46" max="46" width="7.7109375" customWidth="1"/>
    <col min="47" max="47" width="6.7109375" customWidth="1"/>
    <col min="48" max="48" width="5.7109375" customWidth="1"/>
    <col min="49" max="49" width="6.7109375" customWidth="1"/>
    <col min="50" max="50" width="7.7109375" customWidth="1"/>
    <col min="51" max="51" width="7.140625" customWidth="1"/>
    <col min="52" max="52" width="6.7109375" customWidth="1"/>
    <col min="53" max="53" width="5.7109375" customWidth="1"/>
    <col min="54" max="54" width="8.7109375" customWidth="1"/>
    <col min="55" max="55" width="8.5703125" customWidth="1"/>
    <col min="56" max="56" width="8" customWidth="1"/>
    <col min="57" max="57" width="6.42578125" customWidth="1"/>
    <col min="58" max="58" width="6.85546875" customWidth="1"/>
    <col min="59" max="59" width="7.85546875" customWidth="1"/>
    <col min="60" max="60" width="8.140625" customWidth="1"/>
    <col min="61" max="61" width="8" customWidth="1"/>
    <col min="62" max="62" width="6.7109375" customWidth="1"/>
    <col min="63" max="63" width="4.85546875" customWidth="1"/>
    <col min="64" max="64" width="8.140625" customWidth="1"/>
    <col min="65" max="65" width="8" customWidth="1"/>
    <col min="66" max="66" width="7.7109375" customWidth="1"/>
    <col min="67" max="67" width="6.5703125" customWidth="1"/>
    <col min="68" max="68" width="5.140625" customWidth="1"/>
    <col min="69" max="69" width="21.42578125" hidden="1" customWidth="1"/>
    <col min="70" max="70" width="19.7109375" hidden="1" customWidth="1"/>
    <col min="71" max="71" width="0" hidden="1" customWidth="1"/>
  </cols>
  <sheetData>
    <row r="2" spans="1:78" ht="15.75" thickBot="1" x14ac:dyDescent="0.3"/>
    <row r="3" spans="1:78" s="2" customFormat="1" ht="40.5" customHeight="1" thickBot="1" x14ac:dyDescent="0.35">
      <c r="B3" s="159" t="s">
        <v>26</v>
      </c>
      <c r="C3" s="160"/>
      <c r="D3" s="253" t="s">
        <v>46</v>
      </c>
      <c r="E3" s="164" t="s">
        <v>0</v>
      </c>
      <c r="F3" s="105"/>
      <c r="G3" s="166" t="s">
        <v>210</v>
      </c>
      <c r="H3" s="166"/>
      <c r="I3" s="166"/>
      <c r="J3" s="166"/>
      <c r="K3" s="166"/>
      <c r="L3" s="166"/>
      <c r="M3" s="167"/>
      <c r="N3" s="185" t="s">
        <v>201</v>
      </c>
      <c r="O3" s="186"/>
      <c r="P3" s="186"/>
      <c r="Q3" s="186"/>
      <c r="R3" s="186"/>
      <c r="S3" s="186"/>
      <c r="T3" s="186"/>
      <c r="U3" s="186"/>
      <c r="V3" s="186"/>
      <c r="W3" s="186"/>
      <c r="X3" s="186"/>
      <c r="Y3" s="186"/>
      <c r="Z3" s="186"/>
      <c r="AA3" s="186"/>
      <c r="AB3" s="186"/>
      <c r="AC3" s="186"/>
      <c r="AD3" s="186"/>
      <c r="AE3" s="186"/>
      <c r="AF3" s="186"/>
      <c r="AG3" s="187"/>
      <c r="AH3" s="188" t="s">
        <v>202</v>
      </c>
      <c r="AI3" s="189"/>
      <c r="AJ3" s="189"/>
      <c r="AK3" s="189"/>
      <c r="AL3" s="189"/>
      <c r="AM3" s="189"/>
      <c r="AN3" s="189"/>
      <c r="AO3" s="189"/>
      <c r="AP3" s="189"/>
      <c r="AQ3" s="189"/>
      <c r="AR3" s="189"/>
      <c r="AS3" s="189"/>
      <c r="AT3" s="189"/>
      <c r="AU3" s="189"/>
      <c r="AV3" s="189"/>
      <c r="AW3" s="189"/>
      <c r="AX3" s="189"/>
      <c r="AY3" s="189"/>
      <c r="AZ3" s="189"/>
      <c r="BA3" s="190"/>
      <c r="BB3" s="191" t="s">
        <v>203</v>
      </c>
      <c r="BC3" s="192"/>
      <c r="BD3" s="192"/>
      <c r="BE3" s="192"/>
      <c r="BF3" s="192"/>
      <c r="BG3" s="192"/>
      <c r="BH3" s="192"/>
      <c r="BI3" s="192"/>
      <c r="BJ3" s="192"/>
      <c r="BK3" s="192"/>
      <c r="BL3" s="192"/>
      <c r="BM3" s="192"/>
      <c r="BN3" s="192"/>
      <c r="BO3" s="192"/>
      <c r="BP3" s="193"/>
      <c r="BQ3" s="176" t="s">
        <v>32</v>
      </c>
      <c r="BR3" s="177"/>
    </row>
    <row r="4" spans="1:78" s="2" customFormat="1" ht="46.5" customHeight="1" x14ac:dyDescent="0.25">
      <c r="B4" s="161"/>
      <c r="C4" s="162"/>
      <c r="D4" s="230"/>
      <c r="E4" s="171"/>
      <c r="F4" s="199" t="s">
        <v>211</v>
      </c>
      <c r="G4" s="156" t="s">
        <v>27</v>
      </c>
      <c r="H4" s="168" t="s">
        <v>28</v>
      </c>
      <c r="I4" s="158" t="s">
        <v>29</v>
      </c>
      <c r="J4" s="156" t="s">
        <v>41</v>
      </c>
      <c r="K4" s="157"/>
      <c r="L4" s="158" t="s">
        <v>42</v>
      </c>
      <c r="M4" s="158"/>
      <c r="N4" s="178" t="s">
        <v>16</v>
      </c>
      <c r="O4" s="163"/>
      <c r="P4" s="163"/>
      <c r="Q4" s="163"/>
      <c r="R4" s="163"/>
      <c r="S4" s="163" t="s">
        <v>20</v>
      </c>
      <c r="T4" s="163"/>
      <c r="U4" s="163"/>
      <c r="V4" s="163"/>
      <c r="W4" s="163"/>
      <c r="X4" s="163" t="s">
        <v>38</v>
      </c>
      <c r="Y4" s="163"/>
      <c r="Z4" s="163"/>
      <c r="AA4" s="163"/>
      <c r="AB4" s="163"/>
      <c r="AC4" s="163" t="s">
        <v>21</v>
      </c>
      <c r="AD4" s="163"/>
      <c r="AE4" s="163"/>
      <c r="AF4" s="163"/>
      <c r="AG4" s="261"/>
      <c r="AH4" s="258" t="s">
        <v>16</v>
      </c>
      <c r="AI4" s="181"/>
      <c r="AJ4" s="181"/>
      <c r="AK4" s="181"/>
      <c r="AL4" s="181"/>
      <c r="AM4" s="182" t="s">
        <v>22</v>
      </c>
      <c r="AN4" s="182"/>
      <c r="AO4" s="182"/>
      <c r="AP4" s="182"/>
      <c r="AQ4" s="182"/>
      <c r="AR4" s="181" t="s">
        <v>36</v>
      </c>
      <c r="AS4" s="181"/>
      <c r="AT4" s="181"/>
      <c r="AU4" s="181"/>
      <c r="AV4" s="181"/>
      <c r="AW4" s="182" t="s">
        <v>23</v>
      </c>
      <c r="AX4" s="182"/>
      <c r="AY4" s="182"/>
      <c r="AZ4" s="182"/>
      <c r="BA4" s="183"/>
      <c r="BB4" s="195" t="s">
        <v>24</v>
      </c>
      <c r="BC4" s="196"/>
      <c r="BD4" s="196"/>
      <c r="BE4" s="196"/>
      <c r="BF4" s="197"/>
      <c r="BG4" s="184" t="s">
        <v>25</v>
      </c>
      <c r="BH4" s="184"/>
      <c r="BI4" s="184"/>
      <c r="BJ4" s="184"/>
      <c r="BK4" s="184"/>
      <c r="BL4" s="184" t="s">
        <v>37</v>
      </c>
      <c r="BM4" s="184"/>
      <c r="BN4" s="184"/>
      <c r="BO4" s="184"/>
      <c r="BP4" s="194"/>
      <c r="BQ4" s="83" t="s">
        <v>33</v>
      </c>
      <c r="BR4" s="8" t="s">
        <v>34</v>
      </c>
    </row>
    <row r="5" spans="1:78" s="2" customFormat="1" ht="21" customHeight="1" thickBot="1" x14ac:dyDescent="0.3">
      <c r="B5" s="161"/>
      <c r="C5" s="162"/>
      <c r="D5" s="230"/>
      <c r="E5" s="171"/>
      <c r="F5" s="199"/>
      <c r="G5" s="232"/>
      <c r="H5" s="169"/>
      <c r="I5" s="170"/>
      <c r="J5" s="243" t="s">
        <v>39</v>
      </c>
      <c r="K5" s="242" t="s">
        <v>40</v>
      </c>
      <c r="L5" s="241" t="s">
        <v>39</v>
      </c>
      <c r="M5" s="244" t="s">
        <v>40</v>
      </c>
      <c r="N5" s="245" t="s">
        <v>17</v>
      </c>
      <c r="O5" s="246" t="s">
        <v>18</v>
      </c>
      <c r="P5" s="246" t="s">
        <v>19</v>
      </c>
      <c r="Q5" s="246" t="s">
        <v>30</v>
      </c>
      <c r="R5" s="246" t="s">
        <v>31</v>
      </c>
      <c r="S5" s="246" t="s">
        <v>17</v>
      </c>
      <c r="T5" s="246" t="s">
        <v>18</v>
      </c>
      <c r="U5" s="246" t="s">
        <v>19</v>
      </c>
      <c r="V5" s="246" t="s">
        <v>30</v>
      </c>
      <c r="W5" s="246" t="s">
        <v>31</v>
      </c>
      <c r="X5" s="246" t="s">
        <v>17</v>
      </c>
      <c r="Y5" s="246" t="s">
        <v>18</v>
      </c>
      <c r="Z5" s="246" t="s">
        <v>19</v>
      </c>
      <c r="AA5" s="246" t="s">
        <v>30</v>
      </c>
      <c r="AB5" s="246" t="s">
        <v>31</v>
      </c>
      <c r="AC5" s="246" t="s">
        <v>17</v>
      </c>
      <c r="AD5" s="246" t="s">
        <v>18</v>
      </c>
      <c r="AE5" s="246" t="s">
        <v>19</v>
      </c>
      <c r="AF5" s="246" t="s">
        <v>30</v>
      </c>
      <c r="AG5" s="262" t="s">
        <v>31</v>
      </c>
      <c r="AH5" s="259" t="s">
        <v>17</v>
      </c>
      <c r="AI5" s="204" t="s">
        <v>18</v>
      </c>
      <c r="AJ5" s="204" t="s">
        <v>19</v>
      </c>
      <c r="AK5" s="204" t="s">
        <v>30</v>
      </c>
      <c r="AL5" s="204" t="s">
        <v>31</v>
      </c>
      <c r="AM5" s="204" t="s">
        <v>17</v>
      </c>
      <c r="AN5" s="204" t="s">
        <v>18</v>
      </c>
      <c r="AO5" s="204" t="s">
        <v>19</v>
      </c>
      <c r="AP5" s="204" t="s">
        <v>30</v>
      </c>
      <c r="AQ5" s="204" t="s">
        <v>31</v>
      </c>
      <c r="AR5" s="204" t="s">
        <v>17</v>
      </c>
      <c r="AS5" s="204" t="s">
        <v>18</v>
      </c>
      <c r="AT5" s="204" t="s">
        <v>19</v>
      </c>
      <c r="AU5" s="204" t="s">
        <v>30</v>
      </c>
      <c r="AV5" s="204" t="s">
        <v>31</v>
      </c>
      <c r="AW5" s="204" t="s">
        <v>17</v>
      </c>
      <c r="AX5" s="204" t="s">
        <v>18</v>
      </c>
      <c r="AY5" s="204" t="s">
        <v>19</v>
      </c>
      <c r="AZ5" s="204" t="s">
        <v>30</v>
      </c>
      <c r="BA5" s="247" t="s">
        <v>31</v>
      </c>
      <c r="BB5" s="248" t="s">
        <v>17</v>
      </c>
      <c r="BC5" s="249" t="s">
        <v>18</v>
      </c>
      <c r="BD5" s="249" t="s">
        <v>19</v>
      </c>
      <c r="BE5" s="249" t="s">
        <v>30</v>
      </c>
      <c r="BF5" s="249" t="s">
        <v>31</v>
      </c>
      <c r="BG5" s="249" t="s">
        <v>17</v>
      </c>
      <c r="BH5" s="249" t="s">
        <v>18</v>
      </c>
      <c r="BI5" s="249" t="s">
        <v>19</v>
      </c>
      <c r="BJ5" s="249" t="s">
        <v>30</v>
      </c>
      <c r="BK5" s="249" t="s">
        <v>31</v>
      </c>
      <c r="BL5" s="249" t="s">
        <v>17</v>
      </c>
      <c r="BM5" s="249" t="s">
        <v>18</v>
      </c>
      <c r="BN5" s="249" t="s">
        <v>19</v>
      </c>
      <c r="BO5" s="249" t="s">
        <v>30</v>
      </c>
      <c r="BP5" s="250" t="s">
        <v>31</v>
      </c>
      <c r="BQ5" s="84" t="s">
        <v>35</v>
      </c>
      <c r="BR5" s="9" t="s">
        <v>35</v>
      </c>
      <c r="BU5" s="4"/>
      <c r="BV5" s="4"/>
      <c r="BW5" s="4"/>
      <c r="BX5" s="4"/>
      <c r="BY5" s="4"/>
      <c r="BZ5" s="4"/>
    </row>
    <row r="6" spans="1:78" s="2" customFormat="1" ht="21" customHeight="1" x14ac:dyDescent="0.25">
      <c r="A6" s="215"/>
      <c r="B6" s="18">
        <v>1</v>
      </c>
      <c r="C6" s="19" t="s">
        <v>43</v>
      </c>
      <c r="D6" s="50">
        <v>699203</v>
      </c>
      <c r="E6" s="54" t="s">
        <v>127</v>
      </c>
      <c r="F6" s="254" t="s">
        <v>205</v>
      </c>
      <c r="G6" s="255">
        <v>759000</v>
      </c>
      <c r="H6" s="53">
        <f>839914-697175</f>
        <v>142739</v>
      </c>
      <c r="I6" s="50">
        <f>G6+H6</f>
        <v>901739</v>
      </c>
      <c r="J6" s="45">
        <v>0.83</v>
      </c>
      <c r="K6" s="257">
        <f>ROUND(G6*J6,2)</f>
        <v>629970</v>
      </c>
      <c r="L6" s="256">
        <f>1-J6</f>
        <v>0.17000000000000004</v>
      </c>
      <c r="M6" s="255">
        <f>G6-K6</f>
        <v>129030</v>
      </c>
      <c r="N6" s="43">
        <f>M6*60*365/1000000</f>
        <v>2825.7570000000001</v>
      </c>
      <c r="O6" s="251">
        <f>M6*110*365/1000000</f>
        <v>5180.5545000000002</v>
      </c>
      <c r="P6" s="25">
        <f>M6*70*365/1000000</f>
        <v>3296.7165</v>
      </c>
      <c r="Q6" s="25">
        <f>M6*10*365/1000000</f>
        <v>470.95949999999999</v>
      </c>
      <c r="R6" s="25">
        <f>M6*2*365/1000000</f>
        <v>94.191900000000004</v>
      </c>
      <c r="S6" s="25">
        <f>M6*13*365/1000000*0.33</f>
        <v>202.04162550000001</v>
      </c>
      <c r="T6" s="25">
        <f>M6*18*365/1000000*0.33</f>
        <v>279.74994299999997</v>
      </c>
      <c r="U6" s="25">
        <f>M6*17*365/1000000*0.33</f>
        <v>264.2082795</v>
      </c>
      <c r="V6" s="25">
        <f>M6*2.5*365/1000000*0.33</f>
        <v>38.854158750000003</v>
      </c>
      <c r="W6" s="25">
        <f>M6*0.5*365/1000000*0.33</f>
        <v>7.770831750000001</v>
      </c>
      <c r="X6" s="25">
        <f>M6*19*365/1000000*0.33</f>
        <v>295.2916065</v>
      </c>
      <c r="Y6" s="25">
        <f>M6*26*365/1000000*0.33</f>
        <v>404.08325100000002</v>
      </c>
      <c r="Z6" s="25">
        <f>M6*18*365/1000000*0.33</f>
        <v>279.74994299999997</v>
      </c>
      <c r="AA6" s="25">
        <f>M6*0*365/1000000*0.33</f>
        <v>0</v>
      </c>
      <c r="AB6" s="25">
        <f>M6*0*365/1000000*0.33</f>
        <v>0</v>
      </c>
      <c r="AC6" s="252">
        <f>N6-S6-X6</f>
        <v>2328.4237680000001</v>
      </c>
      <c r="AD6" s="252">
        <f>O6-T6-Y6</f>
        <v>4496.7213060000004</v>
      </c>
      <c r="AE6" s="252">
        <f>P6-U6-Z6</f>
        <v>2752.7582775000001</v>
      </c>
      <c r="AF6" s="252">
        <f>Q6-V6-AA6</f>
        <v>432.10534124999998</v>
      </c>
      <c r="AG6" s="263">
        <f>R6-W6-AB6</f>
        <v>86.421068250000005</v>
      </c>
      <c r="AH6" s="260">
        <f>(K6+H6)*60*365/1000000</f>
        <v>16922.327099999999</v>
      </c>
      <c r="AI6" s="26">
        <f>($K6+$H6)*110*365/1000000</f>
        <v>31024.266350000002</v>
      </c>
      <c r="AJ6" s="26">
        <f>($K6+$H6)*70*365/1000000</f>
        <v>19742.714950000001</v>
      </c>
      <c r="AK6" s="26">
        <f>($K6+$H6)*10*365/1000000</f>
        <v>2820.3878500000001</v>
      </c>
      <c r="AL6" s="26">
        <f>($K6+$H6)*2*365/1000000</f>
        <v>564.07757000000004</v>
      </c>
      <c r="AM6" s="27">
        <v>0.9</v>
      </c>
      <c r="AN6" s="27">
        <v>0.75</v>
      </c>
      <c r="AO6" s="27">
        <v>0.9</v>
      </c>
      <c r="AP6" s="27">
        <v>0.8</v>
      </c>
      <c r="AQ6" s="27">
        <v>0.8</v>
      </c>
      <c r="AR6" s="26">
        <f>(S6+AH6)*AM6</f>
        <v>15411.931852949998</v>
      </c>
      <c r="AS6" s="26">
        <f>(T6+AI6)*AN6</f>
        <v>23478.012219750002</v>
      </c>
      <c r="AT6" s="26">
        <f>(U6+AJ6)*AO6</f>
        <v>18006.230906550001</v>
      </c>
      <c r="AU6" s="26">
        <f>(V6+AK6)*AP6</f>
        <v>2287.393607</v>
      </c>
      <c r="AV6" s="26">
        <f>(W6+AL6)*AQ6</f>
        <v>457.47872140000004</v>
      </c>
      <c r="AW6" s="26">
        <f>S6+AH6-AR6</f>
        <v>1712.436872549999</v>
      </c>
      <c r="AX6" s="26">
        <f>T6+AI6-AS6</f>
        <v>7826.0040732499983</v>
      </c>
      <c r="AY6" s="26">
        <f>U6+AJ6-AT6</f>
        <v>2000.6923229499989</v>
      </c>
      <c r="AZ6" s="26">
        <f>V6+AK6-AU6</f>
        <v>571.84840174999999</v>
      </c>
      <c r="BA6" s="264">
        <f>W6+AL6-AV6</f>
        <v>114.36968034999995</v>
      </c>
      <c r="BB6" s="37">
        <f>N6+AH6</f>
        <v>19748.0841</v>
      </c>
      <c r="BC6" s="28">
        <f>O6+AI6</f>
        <v>36204.820850000004</v>
      </c>
      <c r="BD6" s="28">
        <f>P6+AJ6</f>
        <v>23039.43145</v>
      </c>
      <c r="BE6" s="28">
        <f>Q6+AK6</f>
        <v>3291.34735</v>
      </c>
      <c r="BF6" s="28">
        <f>R6+AL6</f>
        <v>658.26947000000007</v>
      </c>
      <c r="BG6" s="28">
        <f>AC6+AW6</f>
        <v>4040.8606405499991</v>
      </c>
      <c r="BH6" s="28">
        <f>AD6+AX6</f>
        <v>12322.725379249998</v>
      </c>
      <c r="BI6" s="28">
        <f>AE6+AY6</f>
        <v>4753.450600449999</v>
      </c>
      <c r="BJ6" s="28">
        <f>AF6+AZ6</f>
        <v>1003.953743</v>
      </c>
      <c r="BK6" s="28">
        <f>AG6+BA6</f>
        <v>200.79074859999997</v>
      </c>
      <c r="BL6" s="28">
        <f>X6+AR6</f>
        <v>15707.223459449999</v>
      </c>
      <c r="BM6" s="28">
        <f>Y6+AS6</f>
        <v>23882.095470750002</v>
      </c>
      <c r="BN6" s="28">
        <f>Z6+AT6</f>
        <v>18285.98084955</v>
      </c>
      <c r="BO6" s="28">
        <f>AA6+AU6</f>
        <v>2287.393607</v>
      </c>
      <c r="BP6" s="110">
        <f>AB6+AV6</f>
        <v>457.47872140000004</v>
      </c>
      <c r="BQ6" s="24" t="s">
        <v>169</v>
      </c>
      <c r="BR6" s="5" t="s">
        <v>169</v>
      </c>
      <c r="BS6" s="1"/>
      <c r="BU6" s="4"/>
      <c r="BV6" s="4"/>
      <c r="BW6" s="4"/>
      <c r="BX6" s="4"/>
      <c r="BY6" s="4"/>
      <c r="BZ6" s="4"/>
    </row>
    <row r="7" spans="1:78" s="1" customFormat="1" ht="45.75" thickBot="1" x14ac:dyDescent="0.3">
      <c r="A7" s="229"/>
      <c r="B7" s="216">
        <v>2</v>
      </c>
      <c r="C7" s="217" t="s">
        <v>44</v>
      </c>
      <c r="D7" s="206">
        <v>101057</v>
      </c>
      <c r="E7" s="265" t="s">
        <v>168</v>
      </c>
      <c r="F7" s="231" t="s">
        <v>206</v>
      </c>
      <c r="G7" s="233">
        <v>112500</v>
      </c>
      <c r="H7" s="207">
        <v>40518</v>
      </c>
      <c r="I7" s="206">
        <f>G7+H7</f>
        <v>153018</v>
      </c>
      <c r="J7" s="208">
        <v>0.8</v>
      </c>
      <c r="K7" s="129">
        <f>ROUND(G7*J7,2)</f>
        <v>90000</v>
      </c>
      <c r="L7" s="130">
        <f>1-J7</f>
        <v>0.19999999999999996</v>
      </c>
      <c r="M7" s="131">
        <f>G7-K7</f>
        <v>22500</v>
      </c>
      <c r="N7" s="209">
        <f>M7*60*365/1000000</f>
        <v>492.75</v>
      </c>
      <c r="O7" s="135">
        <f>M7*110*365/1000000</f>
        <v>903.375</v>
      </c>
      <c r="P7" s="136">
        <f>M7*70*365/1000000</f>
        <v>574.875</v>
      </c>
      <c r="Q7" s="136">
        <f>M7*10*365/1000000</f>
        <v>82.125</v>
      </c>
      <c r="R7" s="136">
        <f>M7*2*365/1000000</f>
        <v>16.425000000000001</v>
      </c>
      <c r="S7" s="136">
        <f>M7*13*365/1000000*0.33</f>
        <v>35.231625000000001</v>
      </c>
      <c r="T7" s="136">
        <f>M7*18*365/1000000*0.33</f>
        <v>48.782249999999998</v>
      </c>
      <c r="U7" s="136">
        <f>M7*17*365/1000000*0.33</f>
        <v>46.072125000000007</v>
      </c>
      <c r="V7" s="136">
        <f>M7*2.5*365/1000000*0.33</f>
        <v>6.7753125000000001</v>
      </c>
      <c r="W7" s="136">
        <f>M7*0.5*365/1000000*0.33</f>
        <v>1.3550625000000001</v>
      </c>
      <c r="X7" s="136">
        <f>M7*19*365/1000000*0.33</f>
        <v>51.492375000000003</v>
      </c>
      <c r="Y7" s="136">
        <f>M7*26*365/1000000*0.33</f>
        <v>70.463250000000002</v>
      </c>
      <c r="Z7" s="136">
        <f>M7*18*365/1000000*0.33</f>
        <v>48.782249999999998</v>
      </c>
      <c r="AA7" s="136">
        <f>M7*0*365/1000000*0.33</f>
        <v>0</v>
      </c>
      <c r="AB7" s="136">
        <f>M7*0*365/1000000*0.33</f>
        <v>0</v>
      </c>
      <c r="AC7" s="138">
        <f>N7-S7-X7</f>
        <v>406.02600000000001</v>
      </c>
      <c r="AD7" s="138">
        <f>O7-T7-Y7</f>
        <v>784.12950000000001</v>
      </c>
      <c r="AE7" s="138">
        <f>P7-U7-Z7</f>
        <v>480.020625</v>
      </c>
      <c r="AF7" s="138">
        <f>Q7-V7-AA7</f>
        <v>75.349687500000002</v>
      </c>
      <c r="AG7" s="266">
        <f>R7-W7-AB7</f>
        <v>15.0699375</v>
      </c>
      <c r="AH7" s="267">
        <f>(K7+H7)*60*365/1000000</f>
        <v>2858.3442</v>
      </c>
      <c r="AI7" s="141">
        <f>($K7+$H7)*110*365/1000000</f>
        <v>5240.2977000000001</v>
      </c>
      <c r="AJ7" s="141">
        <f>($K7+$H7)*70*365/1000000</f>
        <v>3334.7348999999999</v>
      </c>
      <c r="AK7" s="141">
        <f>($K7+$H7)*10*365/1000000</f>
        <v>476.39069999999998</v>
      </c>
      <c r="AL7" s="141">
        <f>($K7+$H7)*2*365/1000000</f>
        <v>95.278139999999993</v>
      </c>
      <c r="AM7" s="210">
        <v>0.9</v>
      </c>
      <c r="AN7" s="210">
        <v>0.75</v>
      </c>
      <c r="AO7" s="210">
        <v>0.9</v>
      </c>
      <c r="AP7" s="210">
        <v>0.8</v>
      </c>
      <c r="AQ7" s="210">
        <v>0.8</v>
      </c>
      <c r="AR7" s="141">
        <f>(S7+AH7)*AM7</f>
        <v>2604.2182425000001</v>
      </c>
      <c r="AS7" s="141">
        <f>(T7+AI7)*AN7</f>
        <v>3966.8099625000004</v>
      </c>
      <c r="AT7" s="141">
        <f>(U7+AJ7)*AO7</f>
        <v>3042.7263225000002</v>
      </c>
      <c r="AU7" s="141">
        <f>(V7+AK7)*AP7</f>
        <v>386.53280999999998</v>
      </c>
      <c r="AV7" s="141">
        <f>(W7+AL7)*AQ7</f>
        <v>77.306562</v>
      </c>
      <c r="AW7" s="141">
        <f>S7+AH7-AR7</f>
        <v>289.35758249999981</v>
      </c>
      <c r="AX7" s="141">
        <f>T7+AI7-AS7</f>
        <v>1322.2699874999998</v>
      </c>
      <c r="AY7" s="141">
        <f>U7+AJ7-AT7</f>
        <v>338.08070249999992</v>
      </c>
      <c r="AZ7" s="141">
        <f>V7+AK7-AU7</f>
        <v>96.633202499999982</v>
      </c>
      <c r="BA7" s="211">
        <f>W7+AL7-AV7</f>
        <v>19.326640499999996</v>
      </c>
      <c r="BB7" s="212">
        <f>N7+AH7</f>
        <v>3351.0942</v>
      </c>
      <c r="BC7" s="213">
        <f>O7+AI7</f>
        <v>6143.6727000000001</v>
      </c>
      <c r="BD7" s="213">
        <f>P7+AJ7</f>
        <v>3909.6098999999999</v>
      </c>
      <c r="BE7" s="218">
        <f>Q7+AK7</f>
        <v>558.51569999999992</v>
      </c>
      <c r="BF7" s="218">
        <f>R7+AL7</f>
        <v>111.70313999999999</v>
      </c>
      <c r="BG7" s="213">
        <f>AC7+AW7</f>
        <v>695.38358249999987</v>
      </c>
      <c r="BH7" s="213">
        <f>AD7+AX7</f>
        <v>2106.3994874999999</v>
      </c>
      <c r="BI7" s="213">
        <f>AE7+AY7</f>
        <v>818.10132749999991</v>
      </c>
      <c r="BJ7" s="218">
        <f>AF7+AZ7</f>
        <v>171.98289</v>
      </c>
      <c r="BK7" s="218">
        <f>AG7+BA7</f>
        <v>34.396577999999998</v>
      </c>
      <c r="BL7" s="213">
        <f>X7+AR7</f>
        <v>2655.7106174999999</v>
      </c>
      <c r="BM7" s="213">
        <f>Y7+AS7</f>
        <v>4037.2732125000002</v>
      </c>
      <c r="BN7" s="213">
        <f>Z7+AT7</f>
        <v>3091.5085725000004</v>
      </c>
      <c r="BO7" s="218">
        <f>AA7+AU7</f>
        <v>386.53280999999998</v>
      </c>
      <c r="BP7" s="219">
        <f>AB7+AV7</f>
        <v>77.306562</v>
      </c>
      <c r="BQ7" s="10">
        <v>0</v>
      </c>
      <c r="BR7" s="6">
        <v>3685000</v>
      </c>
      <c r="BS7" t="s">
        <v>167</v>
      </c>
    </row>
    <row r="8" spans="1:78" s="1" customFormat="1" ht="15.75" thickBot="1" x14ac:dyDescent="0.3">
      <c r="A8" s="205"/>
      <c r="B8" s="268" t="s">
        <v>222</v>
      </c>
      <c r="C8" s="269"/>
      <c r="D8" s="270">
        <f>SUM(D6:D7)</f>
        <v>800260</v>
      </c>
      <c r="E8" s="271"/>
      <c r="F8" s="272"/>
      <c r="G8" s="273">
        <f>SUM(G6:G7)</f>
        <v>871500</v>
      </c>
      <c r="H8" s="273">
        <f t="shared" ref="H8:I8" si="0">SUM(H6:H7)</f>
        <v>183257</v>
      </c>
      <c r="I8" s="273">
        <f t="shared" si="0"/>
        <v>1054757</v>
      </c>
      <c r="J8" s="274">
        <f>K8/G8</f>
        <v>0.82612736660929431</v>
      </c>
      <c r="K8" s="275">
        <f>SUM(K6:K7)</f>
        <v>719970</v>
      </c>
      <c r="L8" s="276">
        <f>M8/G8</f>
        <v>0.17387263339070569</v>
      </c>
      <c r="M8" s="277">
        <f>SUM(M6:M7)</f>
        <v>151530</v>
      </c>
      <c r="N8" s="278">
        <f>SUM(N6:N7)</f>
        <v>3318.5070000000001</v>
      </c>
      <c r="O8" s="279">
        <f>SUM(O6:O7)</f>
        <v>6083.9295000000002</v>
      </c>
      <c r="P8" s="279">
        <f t="shared" ref="P8:AC8" si="1">SUM(P6:P7)</f>
        <v>3871.5915</v>
      </c>
      <c r="Q8" s="279">
        <f t="shared" si="1"/>
        <v>553.08449999999993</v>
      </c>
      <c r="R8" s="279">
        <f t="shared" si="1"/>
        <v>110.6169</v>
      </c>
      <c r="S8" s="279">
        <f t="shared" si="1"/>
        <v>237.27325050000002</v>
      </c>
      <c r="T8" s="279">
        <f t="shared" si="1"/>
        <v>328.53219299999995</v>
      </c>
      <c r="U8" s="279">
        <f t="shared" si="1"/>
        <v>310.28040450000003</v>
      </c>
      <c r="V8" s="279">
        <f t="shared" si="1"/>
        <v>45.629471250000002</v>
      </c>
      <c r="W8" s="279">
        <f t="shared" si="1"/>
        <v>9.1258942500000018</v>
      </c>
      <c r="X8" s="279">
        <f t="shared" si="1"/>
        <v>346.78398149999998</v>
      </c>
      <c r="Y8" s="279">
        <f t="shared" si="1"/>
        <v>474.54650100000003</v>
      </c>
      <c r="Z8" s="279">
        <f t="shared" si="1"/>
        <v>328.53219299999995</v>
      </c>
      <c r="AA8" s="279">
        <f t="shared" si="1"/>
        <v>0</v>
      </c>
      <c r="AB8" s="279">
        <f t="shared" si="1"/>
        <v>0</v>
      </c>
      <c r="AC8" s="279">
        <f t="shared" si="1"/>
        <v>2734.4497679999999</v>
      </c>
      <c r="AD8" s="279">
        <f>SUM(AD6:AD7)</f>
        <v>5280.8508060000004</v>
      </c>
      <c r="AE8" s="279">
        <f t="shared" ref="AE8" si="2">SUM(AE6:AE7)</f>
        <v>3232.7789025000002</v>
      </c>
      <c r="AF8" s="279">
        <f t="shared" ref="AF8" si="3">SUM(AF6:AF7)</f>
        <v>507.45502875</v>
      </c>
      <c r="AG8" s="280">
        <f>SUM(AG6:AG7)</f>
        <v>101.49100575</v>
      </c>
      <c r="AH8" s="281">
        <f>SUM(AH6:AH7)</f>
        <v>19780.671299999998</v>
      </c>
      <c r="AI8" s="282">
        <f>SUM(AI6:AI7)</f>
        <v>36264.564050000001</v>
      </c>
      <c r="AJ8" s="282">
        <f t="shared" ref="AJ8:AL8" si="4">SUM(AJ6:AJ7)</f>
        <v>23077.449850000001</v>
      </c>
      <c r="AK8" s="282">
        <f t="shared" si="4"/>
        <v>3296.77855</v>
      </c>
      <c r="AL8" s="282">
        <f t="shared" si="4"/>
        <v>659.35571000000004</v>
      </c>
      <c r="AM8" s="283"/>
      <c r="AN8" s="283"/>
      <c r="AO8" s="283"/>
      <c r="AP8" s="283"/>
      <c r="AQ8" s="283"/>
      <c r="AR8" s="282">
        <f>SUM(AR6:AR7)</f>
        <v>18016.150095449997</v>
      </c>
      <c r="AS8" s="282">
        <f t="shared" ref="AS8:AZ8" si="5">SUM(AS6:AS7)</f>
        <v>27444.822182250002</v>
      </c>
      <c r="AT8" s="282">
        <f t="shared" si="5"/>
        <v>21048.95722905</v>
      </c>
      <c r="AU8" s="282">
        <f t="shared" si="5"/>
        <v>2673.9264170000001</v>
      </c>
      <c r="AV8" s="282">
        <f t="shared" si="5"/>
        <v>534.78528340000003</v>
      </c>
      <c r="AW8" s="282">
        <f t="shared" si="5"/>
        <v>2001.7944550499988</v>
      </c>
      <c r="AX8" s="282">
        <f t="shared" si="5"/>
        <v>9148.2740607499982</v>
      </c>
      <c r="AY8" s="282">
        <f t="shared" si="5"/>
        <v>2338.7730254499988</v>
      </c>
      <c r="AZ8" s="282">
        <f t="shared" si="5"/>
        <v>668.48160424999992</v>
      </c>
      <c r="BA8" s="284">
        <f>SUM(BA6:BA7)</f>
        <v>133.69632084999995</v>
      </c>
      <c r="BB8" s="285">
        <f>SUM(BB6:BB7)</f>
        <v>23099.1783</v>
      </c>
      <c r="BC8" s="286">
        <f>SUM(BC6:BC7)</f>
        <v>42348.493550000007</v>
      </c>
      <c r="BD8" s="286">
        <f t="shared" ref="BD8:BP8" si="6">SUM(BD6:BD7)</f>
        <v>26949.04135</v>
      </c>
      <c r="BE8" s="286">
        <f t="shared" si="6"/>
        <v>3849.8630499999999</v>
      </c>
      <c r="BF8" s="286">
        <f t="shared" si="6"/>
        <v>769.97261000000003</v>
      </c>
      <c r="BG8" s="286">
        <f t="shared" si="6"/>
        <v>4736.2442230499992</v>
      </c>
      <c r="BH8" s="286">
        <f t="shared" si="6"/>
        <v>14429.124866749997</v>
      </c>
      <c r="BI8" s="286">
        <f t="shared" si="6"/>
        <v>5571.5519279499986</v>
      </c>
      <c r="BJ8" s="286">
        <f t="shared" si="6"/>
        <v>1175.936633</v>
      </c>
      <c r="BK8" s="286">
        <f t="shared" si="6"/>
        <v>235.18732659999998</v>
      </c>
      <c r="BL8" s="286">
        <f t="shared" si="6"/>
        <v>18362.934076949998</v>
      </c>
      <c r="BM8" s="286">
        <f t="shared" si="6"/>
        <v>27919.368683250003</v>
      </c>
      <c r="BN8" s="286">
        <f t="shared" si="6"/>
        <v>21377.489422049999</v>
      </c>
      <c r="BO8" s="286">
        <f t="shared" si="6"/>
        <v>2673.9264170000001</v>
      </c>
      <c r="BP8" s="287">
        <f t="shared" si="6"/>
        <v>534.78528340000003</v>
      </c>
      <c r="BQ8" s="11"/>
      <c r="BR8" s="7"/>
      <c r="BS8"/>
    </row>
    <row r="9" spans="1:78" s="1" customFormat="1" ht="15.75" thickBot="1" x14ac:dyDescent="0.3">
      <c r="D9" s="206"/>
      <c r="E9" s="220"/>
      <c r="F9" s="220"/>
      <c r="G9" s="206"/>
      <c r="H9" s="206"/>
      <c r="I9" s="206"/>
      <c r="J9" s="221"/>
      <c r="K9" s="206"/>
      <c r="L9" s="221"/>
      <c r="M9" s="206"/>
      <c r="N9" s="222"/>
      <c r="O9" s="223"/>
      <c r="P9" s="222"/>
      <c r="Q9" s="222"/>
      <c r="R9" s="222"/>
      <c r="S9" s="222"/>
      <c r="T9" s="222"/>
      <c r="U9" s="222"/>
      <c r="V9" s="222"/>
      <c r="W9" s="222"/>
      <c r="X9" s="222"/>
      <c r="Y9" s="222"/>
      <c r="Z9" s="222"/>
      <c r="AA9" s="222"/>
      <c r="AB9" s="222"/>
      <c r="AC9" s="224"/>
      <c r="AD9" s="224"/>
      <c r="AE9" s="224"/>
      <c r="AF9" s="224"/>
      <c r="AG9" s="224"/>
      <c r="AH9" s="225"/>
      <c r="AI9" s="225"/>
      <c r="AJ9" s="225"/>
      <c r="AK9" s="225"/>
      <c r="AL9" s="225"/>
      <c r="AM9" s="226"/>
      <c r="AN9" s="226"/>
      <c r="AO9" s="226"/>
      <c r="AP9" s="226"/>
      <c r="AQ9" s="226"/>
      <c r="AR9" s="225"/>
      <c r="AS9" s="225"/>
      <c r="AT9" s="225"/>
      <c r="AU9" s="225"/>
      <c r="AV9" s="225"/>
      <c r="AW9" s="225"/>
      <c r="AX9" s="225"/>
      <c r="AY9" s="225"/>
      <c r="AZ9" s="225"/>
      <c r="BA9" s="225"/>
      <c r="BB9" s="227"/>
      <c r="BC9" s="227"/>
      <c r="BD9" s="227"/>
      <c r="BE9" s="228"/>
      <c r="BF9" s="228"/>
      <c r="BG9" s="227"/>
      <c r="BH9" s="227"/>
      <c r="BI9" s="227"/>
      <c r="BJ9" s="228"/>
      <c r="BK9" s="228"/>
      <c r="BL9" s="227"/>
      <c r="BM9" s="227"/>
      <c r="BN9" s="227"/>
      <c r="BO9" s="228"/>
      <c r="BP9" s="228"/>
      <c r="BQ9" s="10"/>
      <c r="BR9" s="10"/>
    </row>
    <row r="10" spans="1:78" x14ac:dyDescent="0.25">
      <c r="A10" s="214"/>
      <c r="B10" s="16">
        <v>3</v>
      </c>
      <c r="C10" s="17" t="s">
        <v>45</v>
      </c>
      <c r="D10" s="59">
        <v>82413</v>
      </c>
      <c r="E10" s="295" t="s">
        <v>127</v>
      </c>
      <c r="F10" s="296" t="s">
        <v>205</v>
      </c>
      <c r="G10" s="52">
        <v>89000</v>
      </c>
      <c r="H10" s="52">
        <v>4700</v>
      </c>
      <c r="I10" s="49">
        <f>G10+H10</f>
        <v>93700</v>
      </c>
      <c r="J10" s="297">
        <v>0.89</v>
      </c>
      <c r="K10" s="298">
        <f>ROUND(G10*J10,2)</f>
        <v>79210</v>
      </c>
      <c r="L10" s="299">
        <f>1-J10</f>
        <v>0.10999999999999999</v>
      </c>
      <c r="M10" s="300">
        <f>G10-K10</f>
        <v>9790</v>
      </c>
      <c r="N10" s="301">
        <f>M10*60*365/1000000</f>
        <v>214.40100000000001</v>
      </c>
      <c r="O10" s="302">
        <f>M10*110*365/1000000</f>
        <v>393.06849999999997</v>
      </c>
      <c r="P10" s="303">
        <f>M10*70*365/1000000</f>
        <v>250.1345</v>
      </c>
      <c r="Q10" s="303">
        <f>M10*10*365/1000000</f>
        <v>35.733499999999999</v>
      </c>
      <c r="R10" s="303">
        <f>M10*2*365/1000000</f>
        <v>7.1467000000000001</v>
      </c>
      <c r="S10" s="303">
        <f>M10*13*365/1000000*0.33</f>
        <v>15.3296715</v>
      </c>
      <c r="T10" s="303">
        <f>M10*18*365/1000000*0.33</f>
        <v>21.225699000000002</v>
      </c>
      <c r="U10" s="303">
        <f>M10*17*365/1000000*0.33</f>
        <v>20.0464935</v>
      </c>
      <c r="V10" s="303">
        <f>M10*2.5*365/1000000*0.33</f>
        <v>2.9480137499999999</v>
      </c>
      <c r="W10" s="303">
        <f>M10*0.5*365/1000000*0.33</f>
        <v>0.58960275000000006</v>
      </c>
      <c r="X10" s="303">
        <f>M10*19*365/1000000*0.33</f>
        <v>22.404904500000001</v>
      </c>
      <c r="Y10" s="303">
        <f>M10*26*365/1000000*0.33</f>
        <v>30.659343</v>
      </c>
      <c r="Z10" s="303">
        <f>M10*18*365/1000000*0.33</f>
        <v>21.225699000000002</v>
      </c>
      <c r="AA10" s="303">
        <f>M10*0*365/1000000*0.33</f>
        <v>0</v>
      </c>
      <c r="AB10" s="303">
        <f>M10*0*365/1000000*0.33</f>
        <v>0</v>
      </c>
      <c r="AC10" s="304">
        <f>N10-S10-X10</f>
        <v>176.66642400000001</v>
      </c>
      <c r="AD10" s="304">
        <f>O10-T10-Y10</f>
        <v>341.18345799999997</v>
      </c>
      <c r="AE10" s="304">
        <f>P10-U10-Z10</f>
        <v>208.86230750000001</v>
      </c>
      <c r="AF10" s="304">
        <f>Q10-V10-AA10</f>
        <v>32.785486249999998</v>
      </c>
      <c r="AG10" s="304">
        <f>R10-W10-AB10</f>
        <v>6.55709725</v>
      </c>
      <c r="AH10" s="305">
        <f>(K10+H10)*60*365/1000000</f>
        <v>1837.6289999999999</v>
      </c>
      <c r="AI10" s="306">
        <f>($K10+$H10)*110*365/1000000</f>
        <v>3368.9865</v>
      </c>
      <c r="AJ10" s="306">
        <f>($K10+$H10)*70*365/1000000</f>
        <v>2143.9005000000002</v>
      </c>
      <c r="AK10" s="306">
        <f>($K10+$H10)*10*365/1000000</f>
        <v>306.2715</v>
      </c>
      <c r="AL10" s="306">
        <f>($K10+$H10)*2*365/1000000</f>
        <v>61.254300000000001</v>
      </c>
      <c r="AM10" s="307">
        <v>0.9</v>
      </c>
      <c r="AN10" s="307">
        <v>0.75</v>
      </c>
      <c r="AO10" s="307">
        <v>0.9</v>
      </c>
      <c r="AP10" s="307">
        <v>0.8</v>
      </c>
      <c r="AQ10" s="307">
        <v>0.8</v>
      </c>
      <c r="AR10" s="306">
        <f>(S10+AH10)*AM10</f>
        <v>1667.6628043499998</v>
      </c>
      <c r="AS10" s="306">
        <f>(T10+AI10)*AN10</f>
        <v>2542.6591492500002</v>
      </c>
      <c r="AT10" s="306">
        <f>(U10+AJ10)*AO10</f>
        <v>1947.5522941500003</v>
      </c>
      <c r="AU10" s="306">
        <f>(V10+AK10)*AP10</f>
        <v>247.37561099999999</v>
      </c>
      <c r="AV10" s="306">
        <f>(W10+AL10)*AQ10</f>
        <v>49.475122200000001</v>
      </c>
      <c r="AW10" s="306">
        <f>S10+AH10-AR10</f>
        <v>185.29586715000005</v>
      </c>
      <c r="AX10" s="306">
        <f>T10+AI10-AS10</f>
        <v>847.5530497499999</v>
      </c>
      <c r="AY10" s="306">
        <f>U10+AJ10-AT10</f>
        <v>216.39469934999988</v>
      </c>
      <c r="AZ10" s="306">
        <f>V10+AK10-AU10</f>
        <v>61.843902749999984</v>
      </c>
      <c r="BA10" s="308">
        <f>W10+AL10-AV10</f>
        <v>12.368780549999997</v>
      </c>
      <c r="BB10" s="309">
        <f>N10+AH10</f>
        <v>2052.0299999999997</v>
      </c>
      <c r="BC10" s="310">
        <f>O10+AI10</f>
        <v>3762.0549999999998</v>
      </c>
      <c r="BD10" s="310">
        <f>P10+AJ10</f>
        <v>2394.0350000000003</v>
      </c>
      <c r="BE10" s="311">
        <f>Q10+AK10</f>
        <v>342.005</v>
      </c>
      <c r="BF10" s="311">
        <f>R10+AL10</f>
        <v>68.400999999999996</v>
      </c>
      <c r="BG10" s="310">
        <f>AC10+AW10</f>
        <v>361.96229115000006</v>
      </c>
      <c r="BH10" s="310">
        <f>AD10+AX10</f>
        <v>1188.7365077499999</v>
      </c>
      <c r="BI10" s="310">
        <f>AE10+AY10</f>
        <v>425.25700684999993</v>
      </c>
      <c r="BJ10" s="311">
        <f>AF10+AZ10</f>
        <v>94.629388999999975</v>
      </c>
      <c r="BK10" s="311">
        <f>AG10+BA10</f>
        <v>18.925877799999995</v>
      </c>
      <c r="BL10" s="310">
        <f>X10+AR10</f>
        <v>1690.0677088499997</v>
      </c>
      <c r="BM10" s="310">
        <f>Y10+AS10</f>
        <v>2573.31849225</v>
      </c>
      <c r="BN10" s="310">
        <f>Z10+AT10</f>
        <v>1968.7779931500004</v>
      </c>
      <c r="BO10" s="311">
        <f>AA10+AU10</f>
        <v>247.37561099999999</v>
      </c>
      <c r="BP10" s="312">
        <f>AB10+AV10</f>
        <v>49.475122200000001</v>
      </c>
      <c r="BQ10" s="10">
        <v>1846880</v>
      </c>
      <c r="BR10" s="6">
        <v>14561180</v>
      </c>
      <c r="BS10" t="s">
        <v>128</v>
      </c>
    </row>
    <row r="11" spans="1:78" x14ac:dyDescent="0.25">
      <c r="A11" s="18"/>
      <c r="B11" s="18">
        <v>4</v>
      </c>
      <c r="C11" s="19" t="s">
        <v>47</v>
      </c>
      <c r="D11" s="60">
        <v>63534</v>
      </c>
      <c r="E11" s="47" t="s">
        <v>173</v>
      </c>
      <c r="F11" s="13" t="s">
        <v>207</v>
      </c>
      <c r="G11" s="53">
        <v>61805</v>
      </c>
      <c r="H11" s="53">
        <v>5049</v>
      </c>
      <c r="I11" s="50">
        <f>G11+H11</f>
        <v>66854</v>
      </c>
      <c r="J11" s="45">
        <v>0.88</v>
      </c>
      <c r="K11" s="65">
        <f>ROUND(G11*J11,2)</f>
        <v>54388.4</v>
      </c>
      <c r="L11" s="66">
        <f>1-J11</f>
        <v>0.12</v>
      </c>
      <c r="M11" s="67">
        <f>G11-K11</f>
        <v>7416.5999999999985</v>
      </c>
      <c r="N11" s="43">
        <f>M11*60*365/1000000</f>
        <v>162.42353999999997</v>
      </c>
      <c r="O11" s="92">
        <f>M11*110*365/1000000</f>
        <v>297.77648999999997</v>
      </c>
      <c r="P11" s="72">
        <f>M11*70*365/1000000</f>
        <v>189.49412999999998</v>
      </c>
      <c r="Q11" s="72">
        <f>M11*10*365/1000000</f>
        <v>27.070589999999996</v>
      </c>
      <c r="R11" s="25">
        <f>M11*2*365/1000000</f>
        <v>5.4141179999999993</v>
      </c>
      <c r="S11" s="72">
        <f>M11*13*365/1000000*0.33</f>
        <v>11.613283109999998</v>
      </c>
      <c r="T11" s="72">
        <f>M11*18*365/1000000*0.33</f>
        <v>16.079930459999996</v>
      </c>
      <c r="U11" s="72">
        <f>M11*17*365/1000000*0.33</f>
        <v>15.186600989999999</v>
      </c>
      <c r="V11" s="72">
        <f>M11*2.5*365/1000000*0.33</f>
        <v>2.2333236749999998</v>
      </c>
      <c r="W11" s="72">
        <f>M11*0.5*365/1000000*0.33</f>
        <v>0.44666473499999998</v>
      </c>
      <c r="X11" s="72">
        <f>M11*19*365/1000000*0.33</f>
        <v>16.973259929999994</v>
      </c>
      <c r="Y11" s="72">
        <f>M11*26*365/1000000*0.33</f>
        <v>23.226566219999995</v>
      </c>
      <c r="Z11" s="72">
        <f>M11*18*365/1000000*0.33</f>
        <v>16.079930459999996</v>
      </c>
      <c r="AA11" s="72">
        <f>M11*0*365/1000000*0.33</f>
        <v>0</v>
      </c>
      <c r="AB11" s="72">
        <f>M11*0*365/1000000*0.33</f>
        <v>0</v>
      </c>
      <c r="AC11" s="91">
        <f>N11-S11-X11</f>
        <v>133.83699695999999</v>
      </c>
      <c r="AD11" s="91">
        <f>O11-T11-Y11</f>
        <v>258.46999331999996</v>
      </c>
      <c r="AE11" s="91">
        <f>P11-U11-Z11</f>
        <v>158.22759855000001</v>
      </c>
      <c r="AF11" s="91">
        <f>Q11-V11-AA11</f>
        <v>24.837266324999995</v>
      </c>
      <c r="AG11" s="91">
        <f>R11-W11-AB11</f>
        <v>4.9674532649999996</v>
      </c>
      <c r="AH11" s="39">
        <f>(K11+H11)*60*365/1000000</f>
        <v>1301.6790599999999</v>
      </c>
      <c r="AI11" s="77">
        <f>($K11+$H11)*110*365/1000000</f>
        <v>2386.4116100000001</v>
      </c>
      <c r="AJ11" s="77">
        <f>($K11+$H11)*70*365/1000000</f>
        <v>1518.6255699999999</v>
      </c>
      <c r="AK11" s="77">
        <f>($K11+$H11)*10*365/1000000</f>
        <v>216.94650999999999</v>
      </c>
      <c r="AL11" s="26">
        <f>($K11+$H11)*2*365/1000000</f>
        <v>43.389302000000001</v>
      </c>
      <c r="AM11" s="27">
        <v>0.9</v>
      </c>
      <c r="AN11" s="27">
        <v>0.75</v>
      </c>
      <c r="AO11" s="27">
        <v>0.9</v>
      </c>
      <c r="AP11" s="27">
        <v>0.8</v>
      </c>
      <c r="AQ11" s="27">
        <v>0.8</v>
      </c>
      <c r="AR11" s="26">
        <f>(S11+AH11)*AM11</f>
        <v>1181.9631087989999</v>
      </c>
      <c r="AS11" s="26">
        <f>(T11+AI11)*AN11</f>
        <v>1801.8686553450002</v>
      </c>
      <c r="AT11" s="26">
        <f>(U11+AJ11)*AO11</f>
        <v>1380.4309538909999</v>
      </c>
      <c r="AU11" s="26">
        <f>(V11+AK11)*AP11</f>
        <v>175.34386694</v>
      </c>
      <c r="AV11" s="26">
        <f>(W11+AL11)*AQ11</f>
        <v>35.068773388000004</v>
      </c>
      <c r="AW11" s="26">
        <f>S11+AH11-AR11</f>
        <v>131.32923431099994</v>
      </c>
      <c r="AX11" s="26">
        <f>T11+AI11-AS11</f>
        <v>600.62288511499992</v>
      </c>
      <c r="AY11" s="26">
        <f>U11+AJ11-AT11</f>
        <v>153.38121709899997</v>
      </c>
      <c r="AZ11" s="26">
        <f>V11+AK11-AU11</f>
        <v>43.835966735</v>
      </c>
      <c r="BA11" s="40">
        <f>W11+AL11-AV11</f>
        <v>8.7671933469999956</v>
      </c>
      <c r="BB11" s="37">
        <f>N11+AH11</f>
        <v>1464.1025999999999</v>
      </c>
      <c r="BC11" s="28">
        <f>O11+AI11</f>
        <v>2684.1881000000003</v>
      </c>
      <c r="BD11" s="28">
        <f>P11+AJ11</f>
        <v>1708.1197</v>
      </c>
      <c r="BE11" s="29">
        <f>Q11+AK11</f>
        <v>244.01709999999997</v>
      </c>
      <c r="BF11" s="29">
        <f>R11+AL11</f>
        <v>48.803420000000003</v>
      </c>
      <c r="BG11" s="28">
        <f>AC11+AW11</f>
        <v>265.1662312709999</v>
      </c>
      <c r="BH11" s="28">
        <f>AD11+AX11</f>
        <v>859.09287843499988</v>
      </c>
      <c r="BI11" s="28">
        <f>AE11+AY11</f>
        <v>311.60881564900001</v>
      </c>
      <c r="BJ11" s="29">
        <f>AF11+AZ11</f>
        <v>68.673233060000001</v>
      </c>
      <c r="BK11" s="29">
        <f>AG11+BA11</f>
        <v>13.734646611999995</v>
      </c>
      <c r="BL11" s="28">
        <f>X11+AR11</f>
        <v>1198.9363687289999</v>
      </c>
      <c r="BM11" s="28">
        <f>Y11+AS11</f>
        <v>1825.0952215650002</v>
      </c>
      <c r="BN11" s="28">
        <f>Z11+AT11</f>
        <v>1396.510884351</v>
      </c>
      <c r="BO11" s="29">
        <f>AA11+AU11</f>
        <v>175.34386694</v>
      </c>
      <c r="BP11" s="30">
        <f>AB11+AV11</f>
        <v>35.068773388000004</v>
      </c>
      <c r="BQ11" s="10">
        <v>5629576</v>
      </c>
      <c r="BR11" s="6">
        <v>1454456</v>
      </c>
      <c r="BS11" t="s">
        <v>128</v>
      </c>
    </row>
    <row r="12" spans="1:78" x14ac:dyDescent="0.25">
      <c r="A12" s="18"/>
      <c r="B12" s="18">
        <v>5</v>
      </c>
      <c r="C12" s="19" t="s">
        <v>48</v>
      </c>
      <c r="D12" s="60">
        <v>56307</v>
      </c>
      <c r="E12" s="47" t="s">
        <v>4</v>
      </c>
      <c r="F12" s="13" t="s">
        <v>207</v>
      </c>
      <c r="G12" s="54">
        <v>50150</v>
      </c>
      <c r="H12" s="104"/>
      <c r="I12" s="50">
        <f>G12+H12</f>
        <v>50150</v>
      </c>
      <c r="J12" s="45">
        <v>0.68</v>
      </c>
      <c r="K12" s="65">
        <f>ROUND(G12*J12,2)</f>
        <v>34102</v>
      </c>
      <c r="L12" s="66">
        <f>1-J12</f>
        <v>0.31999999999999995</v>
      </c>
      <c r="M12" s="67">
        <f>G12-K12</f>
        <v>16048</v>
      </c>
      <c r="N12" s="43">
        <f>M12*60*365/1000000</f>
        <v>351.45119999999997</v>
      </c>
      <c r="O12" s="92">
        <f>M12*110*365/1000000</f>
        <v>644.32719999999995</v>
      </c>
      <c r="P12" s="72">
        <f>M12*70*365/1000000</f>
        <v>410.02640000000002</v>
      </c>
      <c r="Q12" s="72">
        <f>M12*10*365/1000000</f>
        <v>58.575200000000002</v>
      </c>
      <c r="R12" s="25">
        <f>M12*2*365/1000000</f>
        <v>11.71504</v>
      </c>
      <c r="S12" s="72">
        <f>M12*13*365/1000000*0.33</f>
        <v>25.128760800000002</v>
      </c>
      <c r="T12" s="72">
        <f>M12*18*365/1000000*0.33</f>
        <v>34.793668800000006</v>
      </c>
      <c r="U12" s="72">
        <f>M12*17*365/1000000*0.33</f>
        <v>32.860687200000001</v>
      </c>
      <c r="V12" s="72">
        <f>M12*2.5*365/1000000*0.33</f>
        <v>4.8324540000000002</v>
      </c>
      <c r="W12" s="72">
        <f>M12*0.5*365/1000000*0.33</f>
        <v>0.96649080000000009</v>
      </c>
      <c r="X12" s="72">
        <f>M12*19*365/1000000*0.33</f>
        <v>36.726650400000004</v>
      </c>
      <c r="Y12" s="72">
        <f>M12*26*365/1000000*0.33</f>
        <v>50.257521600000004</v>
      </c>
      <c r="Z12" s="72">
        <f>M12*18*365/1000000*0.33</f>
        <v>34.793668800000006</v>
      </c>
      <c r="AA12" s="72">
        <f>M12*0*365/1000000*0.33</f>
        <v>0</v>
      </c>
      <c r="AB12" s="72">
        <f>M12*0*365/1000000*0.33</f>
        <v>0</v>
      </c>
      <c r="AC12" s="91">
        <f>N12-S12-X12</f>
        <v>289.59578879999998</v>
      </c>
      <c r="AD12" s="91">
        <f>O12-T12-Y12</f>
        <v>559.27600959999995</v>
      </c>
      <c r="AE12" s="91">
        <f>P12-U12-Z12</f>
        <v>342.37204400000007</v>
      </c>
      <c r="AF12" s="91">
        <f>Q12-V12-AA12</f>
        <v>53.742746000000004</v>
      </c>
      <c r="AG12" s="91">
        <f>R12-W12-AB12</f>
        <v>10.748549199999999</v>
      </c>
      <c r="AH12" s="39">
        <f>(K12+H12)*60*365/1000000</f>
        <v>746.8338</v>
      </c>
      <c r="AI12" s="77">
        <f>($K12+$H12)*110*365/1000000</f>
        <v>1369.1953000000001</v>
      </c>
      <c r="AJ12" s="77">
        <f>($K12+$H12)*70*365/1000000</f>
        <v>871.30610000000001</v>
      </c>
      <c r="AK12" s="77">
        <f>($K12+$H12)*10*365/1000000</f>
        <v>124.4723</v>
      </c>
      <c r="AL12" s="26">
        <f>($K12+$H12)*2*365/1000000</f>
        <v>24.894459999999999</v>
      </c>
      <c r="AM12" s="27">
        <v>0.9</v>
      </c>
      <c r="AN12" s="27">
        <v>0.75</v>
      </c>
      <c r="AO12" s="27">
        <v>0.9</v>
      </c>
      <c r="AP12" s="27">
        <v>0.8</v>
      </c>
      <c r="AQ12" s="27">
        <v>0.8</v>
      </c>
      <c r="AR12" s="26">
        <f>(S12+AH12)*AM12</f>
        <v>694.76630471999999</v>
      </c>
      <c r="AS12" s="26">
        <f>(T12+AI12)*AN12</f>
        <v>1052.9917266</v>
      </c>
      <c r="AT12" s="26">
        <f>(U12+AJ12)*AO12</f>
        <v>813.75010848000011</v>
      </c>
      <c r="AU12" s="26">
        <f>(V12+AK12)*AP12</f>
        <v>103.4438032</v>
      </c>
      <c r="AV12" s="26">
        <f>(W12+AL12)*AQ12</f>
        <v>20.688760639999998</v>
      </c>
      <c r="AW12" s="26">
        <f>S12+AH12-AR12</f>
        <v>77.196256080000012</v>
      </c>
      <c r="AX12" s="26">
        <f>T12+AI12-AS12</f>
        <v>350.99724220000007</v>
      </c>
      <c r="AY12" s="26">
        <f>U12+AJ12-AT12</f>
        <v>90.416678719999936</v>
      </c>
      <c r="AZ12" s="26">
        <f>V12+AK12-AU12</f>
        <v>25.860950799999998</v>
      </c>
      <c r="BA12" s="40">
        <f>W12+AL12-AV12</f>
        <v>5.1721901599999995</v>
      </c>
      <c r="BB12" s="37">
        <f>N12+AH12</f>
        <v>1098.2849999999999</v>
      </c>
      <c r="BC12" s="28">
        <f>O12+AI12</f>
        <v>2013.5225</v>
      </c>
      <c r="BD12" s="28">
        <f>P12+AJ12</f>
        <v>1281.3325</v>
      </c>
      <c r="BE12" s="29">
        <f>Q12+AK12</f>
        <v>183.04750000000001</v>
      </c>
      <c r="BF12" s="29">
        <f>R12+AL12</f>
        <v>36.609499999999997</v>
      </c>
      <c r="BG12" s="28">
        <f>AC12+AW12</f>
        <v>366.79204487999999</v>
      </c>
      <c r="BH12" s="28">
        <f>AD12+AX12</f>
        <v>910.27325180000003</v>
      </c>
      <c r="BI12" s="28">
        <f>AE12+AY12</f>
        <v>432.78872272000001</v>
      </c>
      <c r="BJ12" s="29">
        <f>AF12+AZ12</f>
        <v>79.603696799999994</v>
      </c>
      <c r="BK12" s="29">
        <f>AG12+BA12</f>
        <v>15.920739359999999</v>
      </c>
      <c r="BL12" s="28">
        <f>X12+AR12</f>
        <v>731.49295512000003</v>
      </c>
      <c r="BM12" s="28">
        <f>Y12+AS12</f>
        <v>1103.2492482</v>
      </c>
      <c r="BN12" s="28">
        <f>Z12+AT12</f>
        <v>848.54377728000009</v>
      </c>
      <c r="BO12" s="29">
        <f>AA12+AU12</f>
        <v>103.4438032</v>
      </c>
      <c r="BP12" s="30">
        <f>AB12+AV12</f>
        <v>20.688760639999998</v>
      </c>
      <c r="BQ12" s="10" t="s">
        <v>169</v>
      </c>
      <c r="BR12" s="6"/>
    </row>
    <row r="13" spans="1:78" x14ac:dyDescent="0.25">
      <c r="A13" s="18"/>
      <c r="B13" s="18">
        <v>6</v>
      </c>
      <c r="C13" s="19" t="s">
        <v>49</v>
      </c>
      <c r="D13" s="60">
        <v>38082</v>
      </c>
      <c r="E13" s="47" t="s">
        <v>127</v>
      </c>
      <c r="F13" s="13" t="s">
        <v>205</v>
      </c>
      <c r="G13" s="53">
        <v>43800</v>
      </c>
      <c r="H13" s="53">
        <v>1226</v>
      </c>
      <c r="I13" s="50">
        <f>G13+H13</f>
        <v>45026</v>
      </c>
      <c r="J13" s="45">
        <v>0.85</v>
      </c>
      <c r="K13" s="65">
        <f>ROUND(G13*J13,2)</f>
        <v>37230</v>
      </c>
      <c r="L13" s="66">
        <f>1-J13</f>
        <v>0.15000000000000002</v>
      </c>
      <c r="M13" s="67">
        <f>G13-K13</f>
        <v>6570</v>
      </c>
      <c r="N13" s="43">
        <f>M13*60*365/1000000</f>
        <v>143.88300000000001</v>
      </c>
      <c r="O13" s="92">
        <f>M13*110*365/1000000</f>
        <v>263.78550000000001</v>
      </c>
      <c r="P13" s="72">
        <f>M13*70*365/1000000</f>
        <v>167.86349999999999</v>
      </c>
      <c r="Q13" s="72">
        <f>M13*10*365/1000000</f>
        <v>23.980499999999999</v>
      </c>
      <c r="R13" s="25">
        <f>M13*2*365/1000000</f>
        <v>4.7961</v>
      </c>
      <c r="S13" s="72">
        <f>M13*13*365/1000000*0.33</f>
        <v>10.287634500000001</v>
      </c>
      <c r="T13" s="72">
        <f>M13*18*365/1000000*0.33</f>
        <v>14.244417000000002</v>
      </c>
      <c r="U13" s="72">
        <f>M13*17*365/1000000*0.33</f>
        <v>13.453060499999999</v>
      </c>
      <c r="V13" s="72">
        <f>M13*2.5*365/1000000*0.33</f>
        <v>1.97839125</v>
      </c>
      <c r="W13" s="72">
        <f>M13*0.5*365/1000000*0.33</f>
        <v>0.39567825000000001</v>
      </c>
      <c r="X13" s="72">
        <f>M13*19*365/1000000*0.33</f>
        <v>15.035773500000001</v>
      </c>
      <c r="Y13" s="72">
        <f>M13*26*365/1000000*0.33</f>
        <v>20.575269000000002</v>
      </c>
      <c r="Z13" s="72">
        <f>M13*18*365/1000000*0.33</f>
        <v>14.244417000000002</v>
      </c>
      <c r="AA13" s="72">
        <f>M13*0*365/1000000*0.33</f>
        <v>0</v>
      </c>
      <c r="AB13" s="72">
        <f>M13*0*365/1000000*0.33</f>
        <v>0</v>
      </c>
      <c r="AC13" s="91">
        <f>N13-S13-X13</f>
        <v>118.55959200000001</v>
      </c>
      <c r="AD13" s="91">
        <f>O13-T13-Y13</f>
        <v>228.96581400000002</v>
      </c>
      <c r="AE13" s="91">
        <f>P13-U13-Z13</f>
        <v>140.1660225</v>
      </c>
      <c r="AF13" s="91">
        <f>Q13-V13-AA13</f>
        <v>22.002108749999998</v>
      </c>
      <c r="AG13" s="91">
        <f>R13-W13-AB13</f>
        <v>4.4004217499999996</v>
      </c>
      <c r="AH13" s="39">
        <f>(K13+H13)*60*365/1000000</f>
        <v>842.18640000000005</v>
      </c>
      <c r="AI13" s="77">
        <f>($K13+$H13)*110*365/1000000</f>
        <v>1544.0083999999999</v>
      </c>
      <c r="AJ13" s="77">
        <f>($K13+$H13)*70*365/1000000</f>
        <v>982.55079999999998</v>
      </c>
      <c r="AK13" s="77">
        <f>($K13+$H13)*10*365/1000000</f>
        <v>140.36439999999999</v>
      </c>
      <c r="AL13" s="26">
        <f>($K13+$H13)*2*365/1000000</f>
        <v>28.072880000000001</v>
      </c>
      <c r="AM13" s="27">
        <v>0.9</v>
      </c>
      <c r="AN13" s="27">
        <v>0.75</v>
      </c>
      <c r="AO13" s="27">
        <v>0.9</v>
      </c>
      <c r="AP13" s="27">
        <v>0.8</v>
      </c>
      <c r="AQ13" s="27">
        <v>0.8</v>
      </c>
      <c r="AR13" s="26">
        <f>(S13+AH13)*AM13</f>
        <v>767.22663105000004</v>
      </c>
      <c r="AS13" s="26">
        <f>(T13+AI13)*AN13</f>
        <v>1168.6896127499999</v>
      </c>
      <c r="AT13" s="26">
        <f>(U13+AJ13)*AO13</f>
        <v>896.40347444999998</v>
      </c>
      <c r="AU13" s="26">
        <f>(V13+AK13)*AP13</f>
        <v>113.87423299999999</v>
      </c>
      <c r="AV13" s="26">
        <f>(W13+AL13)*AQ13</f>
        <v>22.774846600000004</v>
      </c>
      <c r="AW13" s="26">
        <f>S13+AH13-AR13</f>
        <v>85.247403449999979</v>
      </c>
      <c r="AX13" s="26">
        <f>T13+AI13-AS13</f>
        <v>389.56320425000013</v>
      </c>
      <c r="AY13" s="26">
        <f>U13+AJ13-AT13</f>
        <v>99.600386049999997</v>
      </c>
      <c r="AZ13" s="26">
        <f>V13+AK13-AU13</f>
        <v>28.468558249999987</v>
      </c>
      <c r="BA13" s="40">
        <f>W13+AL13-AV13</f>
        <v>5.6937116499999973</v>
      </c>
      <c r="BB13" s="37">
        <f>N13+AH13</f>
        <v>986.06940000000009</v>
      </c>
      <c r="BC13" s="28">
        <f>O13+AI13</f>
        <v>1807.7938999999999</v>
      </c>
      <c r="BD13" s="28">
        <f>P13+AJ13</f>
        <v>1150.4142999999999</v>
      </c>
      <c r="BE13" s="29">
        <f>Q13+AK13</f>
        <v>164.3449</v>
      </c>
      <c r="BF13" s="29">
        <f>R13+AL13</f>
        <v>32.868980000000001</v>
      </c>
      <c r="BG13" s="28">
        <f>AC13+AW13</f>
        <v>203.80699544999999</v>
      </c>
      <c r="BH13" s="28">
        <f>AD13+AX13</f>
        <v>618.52901825000015</v>
      </c>
      <c r="BI13" s="28">
        <f>AE13+AY13</f>
        <v>239.76640854999999</v>
      </c>
      <c r="BJ13" s="29">
        <f>AF13+AZ13</f>
        <v>50.470666999999985</v>
      </c>
      <c r="BK13" s="29">
        <f>AG13+BA13</f>
        <v>10.094133399999997</v>
      </c>
      <c r="BL13" s="28">
        <f>X13+AR13</f>
        <v>782.26240455000004</v>
      </c>
      <c r="BM13" s="28">
        <f>Y13+AS13</f>
        <v>1189.2648817499999</v>
      </c>
      <c r="BN13" s="28">
        <f>Z13+AT13</f>
        <v>910.64789144999997</v>
      </c>
      <c r="BO13" s="29">
        <f>AA13+AU13</f>
        <v>113.87423299999999</v>
      </c>
      <c r="BP13" s="30">
        <f>AB13+AV13</f>
        <v>22.774846600000004</v>
      </c>
      <c r="BQ13" s="10">
        <f>(298720+60000+144280+1842476+382812)*0.6</f>
        <v>1636972.8</v>
      </c>
      <c r="BR13" s="6">
        <f>(1854360+1896459)*0.6</f>
        <v>2250491.4</v>
      </c>
      <c r="BS13" t="s">
        <v>128</v>
      </c>
    </row>
    <row r="14" spans="1:78" x14ac:dyDescent="0.25">
      <c r="A14" s="18"/>
      <c r="B14" s="18">
        <v>7</v>
      </c>
      <c r="C14" s="19" t="s">
        <v>10</v>
      </c>
      <c r="D14" s="60">
        <v>31401</v>
      </c>
      <c r="E14" s="47" t="s">
        <v>130</v>
      </c>
      <c r="F14" s="13" t="s">
        <v>206</v>
      </c>
      <c r="G14" s="53">
        <v>39234</v>
      </c>
      <c r="H14" s="53">
        <v>6211</v>
      </c>
      <c r="I14" s="50">
        <f>G14+H14</f>
        <v>45445</v>
      </c>
      <c r="J14" s="45">
        <v>0.77</v>
      </c>
      <c r="K14" s="65">
        <f>ROUND(G14*J14,2)</f>
        <v>30210.18</v>
      </c>
      <c r="L14" s="66">
        <f>1-J14</f>
        <v>0.22999999999999998</v>
      </c>
      <c r="M14" s="67">
        <f>G14-K14</f>
        <v>9023.82</v>
      </c>
      <c r="N14" s="43">
        <f>M14*60*365/1000000</f>
        <v>197.62165799999997</v>
      </c>
      <c r="O14" s="92">
        <f>M14*110*365/1000000</f>
        <v>362.30637300000001</v>
      </c>
      <c r="P14" s="72">
        <f>M14*70*365/1000000</f>
        <v>230.55860100000001</v>
      </c>
      <c r="Q14" s="72">
        <f>M14*10*365/1000000</f>
        <v>32.936942999999999</v>
      </c>
      <c r="R14" s="25">
        <f>M14*2*365/1000000</f>
        <v>6.5873885999999997</v>
      </c>
      <c r="S14" s="72">
        <f>M14*13*365/1000000*0.33</f>
        <v>14.129948547</v>
      </c>
      <c r="T14" s="72">
        <f>M14*18*365/1000000*0.33</f>
        <v>19.564544142000003</v>
      </c>
      <c r="U14" s="72">
        <f>M14*17*365/1000000*0.33</f>
        <v>18.477625023000002</v>
      </c>
      <c r="V14" s="72">
        <f>M14*2.5*365/1000000*0.33</f>
        <v>2.7172977975000001</v>
      </c>
      <c r="W14" s="72">
        <f>M14*0.5*365/1000000*0.33</f>
        <v>0.54345955950000002</v>
      </c>
      <c r="X14" s="72">
        <f>M14*19*365/1000000*0.33</f>
        <v>20.651463261</v>
      </c>
      <c r="Y14" s="72">
        <f>M14*26*365/1000000*0.33</f>
        <v>28.259897093999999</v>
      </c>
      <c r="Z14" s="72">
        <f>M14*18*365/1000000*0.33</f>
        <v>19.564544142000003</v>
      </c>
      <c r="AA14" s="72">
        <f>M14*0*365/1000000*0.33</f>
        <v>0</v>
      </c>
      <c r="AB14" s="72">
        <f>M14*0*365/1000000*0.33</f>
        <v>0</v>
      </c>
      <c r="AC14" s="91">
        <f>N14-S14-X14</f>
        <v>162.84024619199997</v>
      </c>
      <c r="AD14" s="91">
        <f>O14-T14-Y14</f>
        <v>314.48193176400002</v>
      </c>
      <c r="AE14" s="91">
        <f>P14-U14-Z14</f>
        <v>192.51643183499999</v>
      </c>
      <c r="AF14" s="91">
        <f>Q14-V14-AA14</f>
        <v>30.219645202500001</v>
      </c>
      <c r="AG14" s="91">
        <f>R14-W14-AB14</f>
        <v>6.0439290405000001</v>
      </c>
      <c r="AH14" s="39">
        <f>(K14+H14)*60*365/1000000</f>
        <v>797.62384199999985</v>
      </c>
      <c r="AI14" s="77">
        <f>($K14+$H14)*110*365/1000000</f>
        <v>1462.310377</v>
      </c>
      <c r="AJ14" s="77">
        <f>($K14+$H14)*70*365/1000000</f>
        <v>930.561149</v>
      </c>
      <c r="AK14" s="77">
        <f>($K14+$H14)*10*365/1000000</f>
        <v>132.937307</v>
      </c>
      <c r="AL14" s="26">
        <f>($K14+$H14)*2*365/1000000</f>
        <v>26.587461399999999</v>
      </c>
      <c r="AM14" s="27">
        <v>0.9</v>
      </c>
      <c r="AN14" s="27">
        <v>0.75</v>
      </c>
      <c r="AO14" s="27">
        <v>0.9</v>
      </c>
      <c r="AP14" s="27">
        <v>0.8</v>
      </c>
      <c r="AQ14" s="27">
        <v>0.8</v>
      </c>
      <c r="AR14" s="26">
        <f>(S14+AH14)*AM14</f>
        <v>730.57841149229989</v>
      </c>
      <c r="AS14" s="26">
        <f>(T14+AI14)*AN14</f>
        <v>1111.4061908565</v>
      </c>
      <c r="AT14" s="26">
        <f>(U14+AJ14)*AO14</f>
        <v>854.13489662070003</v>
      </c>
      <c r="AU14" s="26">
        <f>(V14+AK14)*AP14</f>
        <v>108.52368383800001</v>
      </c>
      <c r="AV14" s="26">
        <f>(W14+AL14)*AQ14</f>
        <v>21.7047367676</v>
      </c>
      <c r="AW14" s="26">
        <f>S14+AH14-AR14</f>
        <v>81.175379054699988</v>
      </c>
      <c r="AX14" s="26">
        <f>T14+AI14-AS14</f>
        <v>370.46873028549999</v>
      </c>
      <c r="AY14" s="26">
        <f>U14+AJ14-AT14</f>
        <v>94.903877402299941</v>
      </c>
      <c r="AZ14" s="26">
        <f>V14+AK14-AU14</f>
        <v>27.130920959500003</v>
      </c>
      <c r="BA14" s="40">
        <f>W14+AL14-AV14</f>
        <v>5.4261841918999991</v>
      </c>
      <c r="BB14" s="37">
        <f>N14+AH14</f>
        <v>995.24549999999977</v>
      </c>
      <c r="BC14" s="28">
        <f>O14+AI14</f>
        <v>1824.6167500000001</v>
      </c>
      <c r="BD14" s="28">
        <f>P14+AJ14</f>
        <v>1161.1197500000001</v>
      </c>
      <c r="BE14" s="29">
        <f>Q14+AK14</f>
        <v>165.87425000000002</v>
      </c>
      <c r="BF14" s="29">
        <f>R14+AL14</f>
        <v>33.174849999999999</v>
      </c>
      <c r="BG14" s="28">
        <f>AC14+AW14</f>
        <v>244.01562524669995</v>
      </c>
      <c r="BH14" s="28">
        <f>AD14+AX14</f>
        <v>684.95066204950001</v>
      </c>
      <c r="BI14" s="28">
        <f>AE14+AY14</f>
        <v>287.42030923729993</v>
      </c>
      <c r="BJ14" s="29">
        <f>AF14+AZ14</f>
        <v>57.350566162000007</v>
      </c>
      <c r="BK14" s="29">
        <f>AG14+BA14</f>
        <v>11.470113232399999</v>
      </c>
      <c r="BL14" s="28">
        <f>X14+AR14</f>
        <v>751.2298747532999</v>
      </c>
      <c r="BM14" s="28">
        <f>Y14+AS14</f>
        <v>1139.6660879505</v>
      </c>
      <c r="BN14" s="28">
        <f>Z14+AT14</f>
        <v>873.69944076270008</v>
      </c>
      <c r="BO14" s="29">
        <f>AA14+AU14</f>
        <v>108.52368383800001</v>
      </c>
      <c r="BP14" s="30">
        <f>AB14+AV14</f>
        <v>21.7047367676</v>
      </c>
      <c r="BQ14" s="10">
        <v>1724600</v>
      </c>
      <c r="BR14" s="6">
        <v>1538665</v>
      </c>
      <c r="BS14" t="s">
        <v>131</v>
      </c>
    </row>
    <row r="15" spans="1:78" x14ac:dyDescent="0.25">
      <c r="A15" s="18"/>
      <c r="B15" s="18">
        <v>8</v>
      </c>
      <c r="C15" s="19" t="s">
        <v>50</v>
      </c>
      <c r="D15" s="60">
        <v>26674</v>
      </c>
      <c r="E15" s="47" t="s">
        <v>2</v>
      </c>
      <c r="F15" s="13" t="s">
        <v>208</v>
      </c>
      <c r="G15" s="53">
        <v>28516</v>
      </c>
      <c r="H15" s="53">
        <v>47784</v>
      </c>
      <c r="I15" s="50">
        <f>G15+H15</f>
        <v>76300</v>
      </c>
      <c r="J15" s="45">
        <v>0.92</v>
      </c>
      <c r="K15" s="65">
        <f>ROUND(G15*J15,2)</f>
        <v>26234.720000000001</v>
      </c>
      <c r="L15" s="66">
        <f>1-J15</f>
        <v>7.999999999999996E-2</v>
      </c>
      <c r="M15" s="67">
        <f>G15-K15</f>
        <v>2281.2799999999988</v>
      </c>
      <c r="N15" s="43">
        <f>M15*60*365/1000000</f>
        <v>49.960031999999977</v>
      </c>
      <c r="O15" s="92">
        <f>M15*110*365/1000000</f>
        <v>91.593391999999952</v>
      </c>
      <c r="P15" s="72">
        <f>M15*70*365/1000000</f>
        <v>58.286703999999972</v>
      </c>
      <c r="Q15" s="72">
        <f>M15*10*365/1000000</f>
        <v>8.326671999999995</v>
      </c>
      <c r="R15" s="25">
        <f>M15*2*365/1000000</f>
        <v>1.6653343999999992</v>
      </c>
      <c r="S15" s="72">
        <f>M15*13*365/1000000*0.33</f>
        <v>3.572142287999998</v>
      </c>
      <c r="T15" s="72">
        <f>M15*18*365/1000000*0.33</f>
        <v>4.9460431679999974</v>
      </c>
      <c r="U15" s="72">
        <f>M15*17*365/1000000*0.33</f>
        <v>4.6712629919999982</v>
      </c>
      <c r="V15" s="72">
        <f>M15*2.5*365/1000000*0.33</f>
        <v>0.68695043999999961</v>
      </c>
      <c r="W15" s="72">
        <f>M15*0.5*365/1000000*0.33</f>
        <v>0.13739008799999994</v>
      </c>
      <c r="X15" s="72">
        <f>M15*19*365/1000000*0.33</f>
        <v>5.2208233439999976</v>
      </c>
      <c r="Y15" s="72">
        <f>M15*26*365/1000000*0.33</f>
        <v>7.144284575999996</v>
      </c>
      <c r="Z15" s="72">
        <f>M15*18*365/1000000*0.33</f>
        <v>4.9460431679999974</v>
      </c>
      <c r="AA15" s="72">
        <f>M15*0*365/1000000*0.33</f>
        <v>0</v>
      </c>
      <c r="AB15" s="72">
        <f>M15*0*365/1000000*0.33</f>
        <v>0</v>
      </c>
      <c r="AC15" s="91">
        <f>N15-S15-X15</f>
        <v>41.167066367999986</v>
      </c>
      <c r="AD15" s="91">
        <f>O15-T15-Y15</f>
        <v>79.503064255999959</v>
      </c>
      <c r="AE15" s="91">
        <f>P15-U15-Z15</f>
        <v>48.669397839999981</v>
      </c>
      <c r="AF15" s="91">
        <f>Q15-V15-AA15</f>
        <v>7.6397215599999955</v>
      </c>
      <c r="AG15" s="91">
        <f>R15-W15-AB15</f>
        <v>1.5279443119999994</v>
      </c>
      <c r="AH15" s="39">
        <f>(K15+H15)*60*365/1000000</f>
        <v>1621.0099680000001</v>
      </c>
      <c r="AI15" s="77">
        <f>($K15+$H15)*110*365/1000000</f>
        <v>2971.8516079999999</v>
      </c>
      <c r="AJ15" s="77">
        <f>($K15+$H15)*70*365/1000000</f>
        <v>1891.1782960000003</v>
      </c>
      <c r="AK15" s="77">
        <f>($K15+$H15)*10*365/1000000</f>
        <v>270.16832799999997</v>
      </c>
      <c r="AL15" s="26">
        <f>($K15+$H15)*2*365/1000000</f>
        <v>54.033665599999999</v>
      </c>
      <c r="AM15" s="27">
        <v>0.9</v>
      </c>
      <c r="AN15" s="27">
        <v>0.75</v>
      </c>
      <c r="AO15" s="27">
        <v>0.9</v>
      </c>
      <c r="AP15" s="27">
        <v>0.8</v>
      </c>
      <c r="AQ15" s="27">
        <v>0.8</v>
      </c>
      <c r="AR15" s="26">
        <f>(S15+AH15)*AM15</f>
        <v>1462.1238992592</v>
      </c>
      <c r="AS15" s="26">
        <f>(T15+AI15)*AN15</f>
        <v>2232.5982383760002</v>
      </c>
      <c r="AT15" s="26">
        <f>(U15+AJ15)*AO15</f>
        <v>1706.2646030928004</v>
      </c>
      <c r="AU15" s="26">
        <f>(V15+AK15)*AP15</f>
        <v>216.68422275199998</v>
      </c>
      <c r="AV15" s="26">
        <f>(W15+AL15)*AQ15</f>
        <v>43.336844550400002</v>
      </c>
      <c r="AW15" s="26">
        <f>S15+AH15-AR15</f>
        <v>162.45821102879995</v>
      </c>
      <c r="AX15" s="26">
        <f>T15+AI15-AS15</f>
        <v>744.19941279199975</v>
      </c>
      <c r="AY15" s="26">
        <f>U15+AJ15-AT15</f>
        <v>189.58495589919994</v>
      </c>
      <c r="AZ15" s="26">
        <f>V15+AK15-AU15</f>
        <v>54.171055687999967</v>
      </c>
      <c r="BA15" s="40">
        <f>W15+AL15-AV15</f>
        <v>10.834211137599993</v>
      </c>
      <c r="BB15" s="37">
        <f>N15+AH15</f>
        <v>1670.97</v>
      </c>
      <c r="BC15" s="28">
        <f>O15+AI15</f>
        <v>3063.4449999999997</v>
      </c>
      <c r="BD15" s="28">
        <f>P15+AJ15</f>
        <v>1949.4650000000001</v>
      </c>
      <c r="BE15" s="29">
        <f>Q15+AK15</f>
        <v>278.49499999999995</v>
      </c>
      <c r="BF15" s="29">
        <f>R15+AL15</f>
        <v>55.698999999999998</v>
      </c>
      <c r="BG15" s="28">
        <f>AC15+AW15</f>
        <v>203.62527739679993</v>
      </c>
      <c r="BH15" s="28">
        <f>AD15+AX15</f>
        <v>823.70247704799976</v>
      </c>
      <c r="BI15" s="28">
        <f>AE15+AY15</f>
        <v>238.25435373919993</v>
      </c>
      <c r="BJ15" s="29">
        <f>AF15+AZ15</f>
        <v>61.810777247999965</v>
      </c>
      <c r="BK15" s="29">
        <f>AG15+BA15</f>
        <v>12.362155449599992</v>
      </c>
      <c r="BL15" s="28">
        <f>X15+AR15</f>
        <v>1467.3447226032001</v>
      </c>
      <c r="BM15" s="28">
        <f>Y15+AS15</f>
        <v>2239.7425229519999</v>
      </c>
      <c r="BN15" s="28">
        <f>Z15+AT15</f>
        <v>1711.2106462608003</v>
      </c>
      <c r="BO15" s="29">
        <f>AA15+AU15</f>
        <v>216.68422275199998</v>
      </c>
      <c r="BP15" s="30">
        <f>AB15+AV15</f>
        <v>43.336844550400002</v>
      </c>
      <c r="BQ15" s="10">
        <f>114000+99000+141300+157280+88000+120000+109000+106000+21000+1078000</f>
        <v>2033580</v>
      </c>
      <c r="BR15" s="6">
        <f>4446000+129800+1500000</f>
        <v>6075800</v>
      </c>
      <c r="BS15" t="s">
        <v>132</v>
      </c>
    </row>
    <row r="16" spans="1:78" x14ac:dyDescent="0.25">
      <c r="A16" s="18"/>
      <c r="B16" s="18">
        <v>9</v>
      </c>
      <c r="C16" s="19" t="s">
        <v>52</v>
      </c>
      <c r="D16" s="60">
        <v>25883</v>
      </c>
      <c r="E16" s="47" t="s">
        <v>11</v>
      </c>
      <c r="F16" s="13" t="s">
        <v>206</v>
      </c>
      <c r="G16" s="53">
        <v>26600</v>
      </c>
      <c r="H16" s="53">
        <v>1448</v>
      </c>
      <c r="I16" s="50">
        <f>G16+H16</f>
        <v>28048</v>
      </c>
      <c r="J16" s="45">
        <v>0.72</v>
      </c>
      <c r="K16" s="65">
        <f>ROUND(G16*J16,2)</f>
        <v>19152</v>
      </c>
      <c r="L16" s="66">
        <f>1-J16</f>
        <v>0.28000000000000003</v>
      </c>
      <c r="M16" s="67">
        <f>G16-K16</f>
        <v>7448</v>
      </c>
      <c r="N16" s="43">
        <f>M16*60*365/1000000</f>
        <v>163.1112</v>
      </c>
      <c r="O16" s="92">
        <f>M16*110*365/1000000</f>
        <v>299.03719999999998</v>
      </c>
      <c r="P16" s="72">
        <f>M16*70*365/1000000</f>
        <v>190.29640000000001</v>
      </c>
      <c r="Q16" s="72">
        <f>M16*10*365/1000000</f>
        <v>27.185199999999998</v>
      </c>
      <c r="R16" s="25">
        <f>M16*2*365/1000000</f>
        <v>5.4370399999999997</v>
      </c>
      <c r="S16" s="72">
        <f>M16*13*365/1000000*0.33</f>
        <v>11.662450800000002</v>
      </c>
      <c r="T16" s="72">
        <f>M16*18*365/1000000*0.33</f>
        <v>16.148008799999999</v>
      </c>
      <c r="U16" s="72">
        <f>M16*17*365/1000000*0.33</f>
        <v>15.250897200000001</v>
      </c>
      <c r="V16" s="72">
        <f>M16*2.5*365/1000000*0.33</f>
        <v>2.2427790000000001</v>
      </c>
      <c r="W16" s="72">
        <f>M16*0.5*365/1000000*0.33</f>
        <v>0.4485558</v>
      </c>
      <c r="X16" s="72">
        <f>M16*19*365/1000000*0.33</f>
        <v>17.045120400000002</v>
      </c>
      <c r="Y16" s="72">
        <f>M16*26*365/1000000*0.33</f>
        <v>23.324901600000004</v>
      </c>
      <c r="Z16" s="72">
        <f>M16*18*365/1000000*0.33</f>
        <v>16.148008799999999</v>
      </c>
      <c r="AA16" s="72">
        <f>M16*0*365/1000000*0.33</f>
        <v>0</v>
      </c>
      <c r="AB16" s="72">
        <f>M16*0*365/1000000*0.33</f>
        <v>0</v>
      </c>
      <c r="AC16" s="91">
        <f>N16-S16-X16</f>
        <v>134.40362880000001</v>
      </c>
      <c r="AD16" s="91">
        <f>O16-T16-Y16</f>
        <v>259.56428959999994</v>
      </c>
      <c r="AE16" s="91">
        <f>P16-U16-Z16</f>
        <v>158.89749399999999</v>
      </c>
      <c r="AF16" s="91">
        <f>Q16-V16-AA16</f>
        <v>24.942421</v>
      </c>
      <c r="AG16" s="91">
        <f>R16-W16-AB16</f>
        <v>4.9884841999999994</v>
      </c>
      <c r="AH16" s="39">
        <f>(K16+H16)*60*365/1000000</f>
        <v>451.14</v>
      </c>
      <c r="AI16" s="77">
        <f>($K16+$H16)*110*365/1000000</f>
        <v>827.09</v>
      </c>
      <c r="AJ16" s="77">
        <f>($K16+$H16)*70*365/1000000</f>
        <v>526.33000000000004</v>
      </c>
      <c r="AK16" s="77">
        <f>($K16+$H16)*10*365/1000000</f>
        <v>75.19</v>
      </c>
      <c r="AL16" s="26">
        <f>($K16+$H16)*2*365/1000000</f>
        <v>15.038</v>
      </c>
      <c r="AM16" s="27">
        <v>0.9</v>
      </c>
      <c r="AN16" s="27">
        <v>0.75</v>
      </c>
      <c r="AO16" s="27">
        <v>0.9</v>
      </c>
      <c r="AP16" s="27">
        <v>0.8</v>
      </c>
      <c r="AQ16" s="27">
        <v>0.8</v>
      </c>
      <c r="AR16" s="26">
        <f>(S16+AH16)*AM16</f>
        <v>416.52220571999999</v>
      </c>
      <c r="AS16" s="26">
        <f>(T16+AI16)*AN16</f>
        <v>632.42850659999999</v>
      </c>
      <c r="AT16" s="26">
        <f>(U16+AJ16)*AO16</f>
        <v>487.42280748000007</v>
      </c>
      <c r="AU16" s="26">
        <f>(V16+AK16)*AP16</f>
        <v>61.946223199999999</v>
      </c>
      <c r="AV16" s="26">
        <f>(W16+AL16)*AQ16</f>
        <v>12.389244640000001</v>
      </c>
      <c r="AW16" s="26">
        <f>S16+AH16-AR16</f>
        <v>46.280245079999986</v>
      </c>
      <c r="AX16" s="26">
        <f>T16+AI16-AS16</f>
        <v>210.8095022</v>
      </c>
      <c r="AY16" s="26">
        <f>U16+AJ16-AT16</f>
        <v>54.158089720000021</v>
      </c>
      <c r="AZ16" s="26">
        <f>V16+AK16-AU16</f>
        <v>15.486555799999998</v>
      </c>
      <c r="BA16" s="40">
        <f>W16+AL16-AV16</f>
        <v>3.0973111599999985</v>
      </c>
      <c r="BB16" s="37">
        <f>N16+AH16</f>
        <v>614.25119999999993</v>
      </c>
      <c r="BC16" s="28">
        <f>O16+AI16</f>
        <v>1126.1271999999999</v>
      </c>
      <c r="BD16" s="28">
        <f>P16+AJ16</f>
        <v>716.6264000000001</v>
      </c>
      <c r="BE16" s="29">
        <f>Q16+AK16</f>
        <v>102.37519999999999</v>
      </c>
      <c r="BF16" s="29">
        <f>R16+AL16</f>
        <v>20.47504</v>
      </c>
      <c r="BG16" s="28">
        <f>AC16+AW16</f>
        <v>180.68387387999999</v>
      </c>
      <c r="BH16" s="28">
        <f>AD16+AX16</f>
        <v>470.37379179999994</v>
      </c>
      <c r="BI16" s="28">
        <f>AE16+AY16</f>
        <v>213.05558372000002</v>
      </c>
      <c r="BJ16" s="29">
        <f>AF16+AZ16</f>
        <v>40.428976800000001</v>
      </c>
      <c r="BK16" s="29">
        <f>AG16+BA16</f>
        <v>8.0857953599999988</v>
      </c>
      <c r="BL16" s="28">
        <f>X16+AR16</f>
        <v>433.56732611999996</v>
      </c>
      <c r="BM16" s="28">
        <f>Y16+AS16</f>
        <v>655.75340819999997</v>
      </c>
      <c r="BN16" s="28">
        <f>Z16+AT16</f>
        <v>503.57081628000009</v>
      </c>
      <c r="BO16" s="29">
        <f>AA16+AU16</f>
        <v>61.946223199999999</v>
      </c>
      <c r="BP16" s="30">
        <f>AB16+AV16</f>
        <v>12.389244640000001</v>
      </c>
      <c r="BQ16" s="10">
        <v>105676</v>
      </c>
      <c r="BR16" s="6">
        <v>0</v>
      </c>
      <c r="BS16" t="s">
        <v>170</v>
      </c>
    </row>
    <row r="17" spans="1:71" x14ac:dyDescent="0.25">
      <c r="A17" s="18"/>
      <c r="B17" s="18">
        <v>10</v>
      </c>
      <c r="C17" s="19" t="s">
        <v>51</v>
      </c>
      <c r="D17" s="60">
        <v>24931</v>
      </c>
      <c r="E17" s="47" t="s">
        <v>11</v>
      </c>
      <c r="F17" s="13" t="s">
        <v>206</v>
      </c>
      <c r="G17" s="53">
        <v>26198</v>
      </c>
      <c r="H17" s="53">
        <v>356</v>
      </c>
      <c r="I17" s="50">
        <f>G17+H17</f>
        <v>26554</v>
      </c>
      <c r="J17" s="45">
        <v>0.75</v>
      </c>
      <c r="K17" s="65">
        <f>ROUND(G17*J17,2)</f>
        <v>19648.5</v>
      </c>
      <c r="L17" s="66">
        <f>1-J17</f>
        <v>0.25</v>
      </c>
      <c r="M17" s="67">
        <f>G17-K17</f>
        <v>6549.5</v>
      </c>
      <c r="N17" s="43">
        <f>M17*60*365/1000000</f>
        <v>143.43405000000001</v>
      </c>
      <c r="O17" s="92">
        <f>M17*110*365/1000000</f>
        <v>262.962425</v>
      </c>
      <c r="P17" s="72">
        <f>M17*70*365/1000000</f>
        <v>167.33972499999999</v>
      </c>
      <c r="Q17" s="72">
        <f>M17*10*365/1000000</f>
        <v>23.905674999999999</v>
      </c>
      <c r="R17" s="25">
        <f>M17*2*365/1000000</f>
        <v>4.7811349999999999</v>
      </c>
      <c r="S17" s="72">
        <f>M17*13*365/1000000*0.33</f>
        <v>10.255534575</v>
      </c>
      <c r="T17" s="72">
        <f>M17*18*365/1000000*0.33</f>
        <v>14.199970950000001</v>
      </c>
      <c r="U17" s="72">
        <f>M17*17*365/1000000*0.33</f>
        <v>13.411083675000002</v>
      </c>
      <c r="V17" s="72">
        <f>M17*2.5*365/1000000*0.33</f>
        <v>1.9722181875</v>
      </c>
      <c r="W17" s="72">
        <f>M17*0.5*365/1000000*0.33</f>
        <v>0.3944436375</v>
      </c>
      <c r="X17" s="72">
        <f>M17*19*365/1000000*0.33</f>
        <v>14.988858225000001</v>
      </c>
      <c r="Y17" s="72">
        <f>M17*26*365/1000000*0.33</f>
        <v>20.511069150000001</v>
      </c>
      <c r="Z17" s="72">
        <f>M17*18*365/1000000*0.33</f>
        <v>14.199970950000001</v>
      </c>
      <c r="AA17" s="72">
        <f>M17*0*365/1000000*0.33</f>
        <v>0</v>
      </c>
      <c r="AB17" s="72">
        <f>M17*0*365/1000000*0.33</f>
        <v>0</v>
      </c>
      <c r="AC17" s="91">
        <f>N17-S17-X17</f>
        <v>118.1896572</v>
      </c>
      <c r="AD17" s="91">
        <f>O17-T17-Y17</f>
        <v>228.25138490000001</v>
      </c>
      <c r="AE17" s="91">
        <f>P17-U17-Z17</f>
        <v>139.72867037499998</v>
      </c>
      <c r="AF17" s="91">
        <f>Q17-V17-AA17</f>
        <v>21.933456812499998</v>
      </c>
      <c r="AG17" s="91">
        <f>R17-W17-AB17</f>
        <v>4.3866913624999997</v>
      </c>
      <c r="AH17" s="39">
        <f>(K17+H17)*60*365/1000000</f>
        <v>438.09854999999999</v>
      </c>
      <c r="AI17" s="77">
        <f>($K17+$H17)*110*365/1000000</f>
        <v>803.18067499999995</v>
      </c>
      <c r="AJ17" s="77">
        <f>($K17+$H17)*70*365/1000000</f>
        <v>511.11497500000002</v>
      </c>
      <c r="AK17" s="77">
        <f>($K17+$H17)*10*365/1000000</f>
        <v>73.016424999999998</v>
      </c>
      <c r="AL17" s="26">
        <f>($K17+$H17)*2*365/1000000</f>
        <v>14.603285</v>
      </c>
      <c r="AM17" s="27">
        <v>0.9</v>
      </c>
      <c r="AN17" s="27">
        <v>0.75</v>
      </c>
      <c r="AO17" s="27">
        <v>0.9</v>
      </c>
      <c r="AP17" s="27">
        <v>0.8</v>
      </c>
      <c r="AQ17" s="27">
        <v>0.8</v>
      </c>
      <c r="AR17" s="26">
        <f>(S17+AH17)*AM17</f>
        <v>403.51867611750004</v>
      </c>
      <c r="AS17" s="26">
        <f>(T17+AI17)*AN17</f>
        <v>613.03548446249988</v>
      </c>
      <c r="AT17" s="26">
        <f>(U17+AJ17)*AO17</f>
        <v>472.07345280750008</v>
      </c>
      <c r="AU17" s="26">
        <f>(V17+AK17)*AP17</f>
        <v>59.990914550000006</v>
      </c>
      <c r="AV17" s="26">
        <f>(W17+AL17)*AQ17</f>
        <v>11.998182910000001</v>
      </c>
      <c r="AW17" s="26">
        <f>S17+AH17-AR17</f>
        <v>44.835408457499966</v>
      </c>
      <c r="AX17" s="26">
        <f>T17+AI17-AS17</f>
        <v>204.34516148750004</v>
      </c>
      <c r="AY17" s="26">
        <f>U17+AJ17-AT17</f>
        <v>52.452605867499983</v>
      </c>
      <c r="AZ17" s="26">
        <f>V17+AK17-AU17</f>
        <v>14.997728637499996</v>
      </c>
      <c r="BA17" s="40">
        <f>W17+AL17-AV17</f>
        <v>2.9995457274999993</v>
      </c>
      <c r="BB17" s="37">
        <f>N17+AH17</f>
        <v>581.5326</v>
      </c>
      <c r="BC17" s="28">
        <f>O17+AI17</f>
        <v>1066.1431</v>
      </c>
      <c r="BD17" s="28">
        <f>P17+AJ17</f>
        <v>678.4547</v>
      </c>
      <c r="BE17" s="29">
        <f>Q17+AK17</f>
        <v>96.9221</v>
      </c>
      <c r="BF17" s="29">
        <f>R17+AL17</f>
        <v>19.384419999999999</v>
      </c>
      <c r="BG17" s="28">
        <f>AC17+AW17</f>
        <v>163.02506565749997</v>
      </c>
      <c r="BH17" s="28">
        <f>AD17+AX17</f>
        <v>432.59654638750004</v>
      </c>
      <c r="BI17" s="28">
        <f>AE17+AY17</f>
        <v>192.18127624249996</v>
      </c>
      <c r="BJ17" s="29">
        <f>AF17+AZ17</f>
        <v>36.931185449999994</v>
      </c>
      <c r="BK17" s="29">
        <f>AG17+BA17</f>
        <v>7.386237089999999</v>
      </c>
      <c r="BL17" s="28">
        <f>X17+AR17</f>
        <v>418.50753434250004</v>
      </c>
      <c r="BM17" s="28">
        <f>Y17+AS17</f>
        <v>633.54655361249991</v>
      </c>
      <c r="BN17" s="28">
        <f>Z17+AT17</f>
        <v>486.2734237575001</v>
      </c>
      <c r="BO17" s="29">
        <f>AA17+AU17</f>
        <v>59.990914550000006</v>
      </c>
      <c r="BP17" s="30">
        <f>AB17+AV17</f>
        <v>11.998182910000001</v>
      </c>
      <c r="BQ17" s="10">
        <v>2598025</v>
      </c>
      <c r="BR17" s="6">
        <v>0</v>
      </c>
      <c r="BS17" t="s">
        <v>170</v>
      </c>
    </row>
    <row r="18" spans="1:71" x14ac:dyDescent="0.25">
      <c r="A18" s="18"/>
      <c r="B18" s="18">
        <v>11</v>
      </c>
      <c r="C18" s="19" t="s">
        <v>53</v>
      </c>
      <c r="D18" s="60">
        <v>18053</v>
      </c>
      <c r="E18" s="47" t="s">
        <v>7</v>
      </c>
      <c r="F18" s="13" t="s">
        <v>209</v>
      </c>
      <c r="G18" s="53">
        <v>19412</v>
      </c>
      <c r="H18" s="53">
        <v>4400</v>
      </c>
      <c r="I18" s="50">
        <f>G18+H18</f>
        <v>23812</v>
      </c>
      <c r="J18" s="45">
        <v>0.76</v>
      </c>
      <c r="K18" s="65">
        <f>ROUND(G18*J18,2)</f>
        <v>14753.12</v>
      </c>
      <c r="L18" s="66">
        <f>1-J18</f>
        <v>0.24</v>
      </c>
      <c r="M18" s="67">
        <f>G18-K18</f>
        <v>4658.8799999999992</v>
      </c>
      <c r="N18" s="43">
        <f>M18*60*365/1000000</f>
        <v>102.02947199999997</v>
      </c>
      <c r="O18" s="92">
        <f>M18*110*365/1000000</f>
        <v>187.05403199999998</v>
      </c>
      <c r="P18" s="72">
        <f>M18*70*365/1000000</f>
        <v>119.03438399999997</v>
      </c>
      <c r="Q18" s="72">
        <f>M18*10*365/1000000</f>
        <v>17.004911999999997</v>
      </c>
      <c r="R18" s="25">
        <f>M18*2*365/1000000</f>
        <v>3.4009823999999993</v>
      </c>
      <c r="S18" s="72">
        <f>M18*13*365/1000000*0.33</f>
        <v>7.2951072479999981</v>
      </c>
      <c r="T18" s="72">
        <f>M18*18*365/1000000*0.33</f>
        <v>10.100917727999999</v>
      </c>
      <c r="U18" s="72">
        <f>M18*17*365/1000000*0.33</f>
        <v>9.5397556320000003</v>
      </c>
      <c r="V18" s="72">
        <f>M18*2.5*365/1000000*0.33</f>
        <v>1.4029052399999999</v>
      </c>
      <c r="W18" s="72">
        <f>M18*0.5*365/1000000*0.33</f>
        <v>0.28058104799999994</v>
      </c>
      <c r="X18" s="72">
        <f>M18*19*365/1000000*0.33</f>
        <v>10.662079823999997</v>
      </c>
      <c r="Y18" s="72">
        <f>M18*26*365/1000000*0.33</f>
        <v>14.590214495999996</v>
      </c>
      <c r="Z18" s="72">
        <f>M18*18*365/1000000*0.33</f>
        <v>10.100917727999999</v>
      </c>
      <c r="AA18" s="72">
        <f>M18*0*365/1000000*0.33</f>
        <v>0</v>
      </c>
      <c r="AB18" s="72">
        <f>M18*0*365/1000000*0.33</f>
        <v>0</v>
      </c>
      <c r="AC18" s="91">
        <f>N18-S18-X18</f>
        <v>84.072284927999974</v>
      </c>
      <c r="AD18" s="91">
        <f>O18-T18-Y18</f>
        <v>162.36289977600001</v>
      </c>
      <c r="AE18" s="91">
        <f>P18-U18-Z18</f>
        <v>99.393710639999981</v>
      </c>
      <c r="AF18" s="91">
        <f>Q18-V18-AA18</f>
        <v>15.602006759999998</v>
      </c>
      <c r="AG18" s="91">
        <f>R18-W18-AB18</f>
        <v>3.1204013519999991</v>
      </c>
      <c r="AH18" s="39">
        <f>(K18+H18)*60*365/1000000</f>
        <v>419.45332800000006</v>
      </c>
      <c r="AI18" s="77">
        <f>($K18+$H18)*110*365/1000000</f>
        <v>768.99776800000006</v>
      </c>
      <c r="AJ18" s="77">
        <f>($K18+$H18)*70*365/1000000</f>
        <v>489.36221600000005</v>
      </c>
      <c r="AK18" s="77">
        <f>($K18+$H18)*10*365/1000000</f>
        <v>69.908888000000005</v>
      </c>
      <c r="AL18" s="26">
        <f>($K18+$H18)*2*365/1000000</f>
        <v>13.981777600000001</v>
      </c>
      <c r="AM18" s="27">
        <v>0.9</v>
      </c>
      <c r="AN18" s="27">
        <v>0.75</v>
      </c>
      <c r="AO18" s="27">
        <v>0.9</v>
      </c>
      <c r="AP18" s="27">
        <v>0.8</v>
      </c>
      <c r="AQ18" s="27">
        <v>0.8</v>
      </c>
      <c r="AR18" s="26">
        <f>(S18+AH18)*AM18</f>
        <v>384.07359172320008</v>
      </c>
      <c r="AS18" s="26">
        <f>(T18+AI18)*AN18</f>
        <v>584.32401429600009</v>
      </c>
      <c r="AT18" s="26">
        <f>(U18+AJ18)*AO18</f>
        <v>449.01177446880001</v>
      </c>
      <c r="AU18" s="26">
        <f>(V18+AK18)*AP18</f>
        <v>57.049434592000004</v>
      </c>
      <c r="AV18" s="26">
        <f>(W18+AL18)*AQ18</f>
        <v>11.409886918400002</v>
      </c>
      <c r="AW18" s="26">
        <f>S18+AH18-AR18</f>
        <v>42.674843524799996</v>
      </c>
      <c r="AX18" s="26">
        <f>T18+AI18-AS18</f>
        <v>194.77467143199999</v>
      </c>
      <c r="AY18" s="26">
        <f>U18+AJ18-AT18</f>
        <v>49.890197163200014</v>
      </c>
      <c r="AZ18" s="26">
        <f>V18+AK18-AU18</f>
        <v>14.262358647999996</v>
      </c>
      <c r="BA18" s="40">
        <f>W18+AL18-AV18</f>
        <v>2.8524717295999995</v>
      </c>
      <c r="BB18" s="37">
        <f>N18+AH18</f>
        <v>521.4828</v>
      </c>
      <c r="BC18" s="28">
        <f>O18+AI18</f>
        <v>956.05180000000007</v>
      </c>
      <c r="BD18" s="28">
        <f>P18+AJ18</f>
        <v>608.39660000000003</v>
      </c>
      <c r="BE18" s="29">
        <f>Q18+AK18</f>
        <v>86.913800000000009</v>
      </c>
      <c r="BF18" s="29">
        <f>R18+AL18</f>
        <v>17.382760000000001</v>
      </c>
      <c r="BG18" s="28">
        <f>AC18+AW18</f>
        <v>126.74712845279997</v>
      </c>
      <c r="BH18" s="28">
        <f>AD18+AX18</f>
        <v>357.137571208</v>
      </c>
      <c r="BI18" s="28">
        <f>AE18+AY18</f>
        <v>149.28390780320001</v>
      </c>
      <c r="BJ18" s="29">
        <f>AF18+AZ18</f>
        <v>29.864365407999994</v>
      </c>
      <c r="BK18" s="29">
        <f>AG18+BA18</f>
        <v>5.9728730815999986</v>
      </c>
      <c r="BL18" s="28">
        <f>X18+AR18</f>
        <v>394.73567154720007</v>
      </c>
      <c r="BM18" s="28">
        <f>Y18+AS18</f>
        <v>598.91422879200013</v>
      </c>
      <c r="BN18" s="28">
        <f>Z18+AT18</f>
        <v>459.11269219680003</v>
      </c>
      <c r="BO18" s="29">
        <f>AA18+AU18</f>
        <v>57.049434592000004</v>
      </c>
      <c r="BP18" s="30">
        <f>AB18+AV18</f>
        <v>11.409886918400002</v>
      </c>
      <c r="BQ18" s="10">
        <v>0</v>
      </c>
      <c r="BR18" s="6">
        <v>0</v>
      </c>
    </row>
    <row r="19" spans="1:71" ht="45" x14ac:dyDescent="0.25">
      <c r="A19" s="18"/>
      <c r="B19" s="18">
        <v>12</v>
      </c>
      <c r="C19" s="19" t="s">
        <v>54</v>
      </c>
      <c r="D19" s="60">
        <v>16854</v>
      </c>
      <c r="E19" s="57" t="s">
        <v>171</v>
      </c>
      <c r="F19" s="14" t="s">
        <v>206</v>
      </c>
      <c r="G19" s="53">
        <v>20676</v>
      </c>
      <c r="H19" s="53">
        <v>147</v>
      </c>
      <c r="I19" s="50">
        <f>G19+H19</f>
        <v>20823</v>
      </c>
      <c r="J19" s="45">
        <v>0.9</v>
      </c>
      <c r="K19" s="65">
        <f>ROUND(G19*J19,2)</f>
        <v>18608.400000000001</v>
      </c>
      <c r="L19" s="66">
        <f>1-J19</f>
        <v>9.9999999999999978E-2</v>
      </c>
      <c r="M19" s="67">
        <f>G19-K19</f>
        <v>2067.5999999999985</v>
      </c>
      <c r="N19" s="43">
        <f>M19*60*365/1000000</f>
        <v>45.28043999999997</v>
      </c>
      <c r="O19" s="92">
        <f>M19*110*365/1000000</f>
        <v>83.014139999999941</v>
      </c>
      <c r="P19" s="72">
        <f>M19*70*365/1000000</f>
        <v>52.827179999999956</v>
      </c>
      <c r="Q19" s="72">
        <f>M19*10*365/1000000</f>
        <v>7.5467399999999945</v>
      </c>
      <c r="R19" s="25">
        <f>M19*2*365/1000000</f>
        <v>1.5093479999999988</v>
      </c>
      <c r="S19" s="72">
        <f>M19*13*365/1000000*0.33</f>
        <v>3.2375514599999979</v>
      </c>
      <c r="T19" s="72">
        <f>M19*18*365/1000000*0.33</f>
        <v>4.4827635599999978</v>
      </c>
      <c r="U19" s="72">
        <f>M19*17*365/1000000*0.33</f>
        <v>4.2337211399999966</v>
      </c>
      <c r="V19" s="72">
        <f>M19*2.5*365/1000000*0.33</f>
        <v>0.62260604999999958</v>
      </c>
      <c r="W19" s="72">
        <f>M19*0.5*365/1000000*0.33</f>
        <v>0.12452120999999991</v>
      </c>
      <c r="X19" s="72">
        <f>M19*19*365/1000000*0.33</f>
        <v>4.7318059799999972</v>
      </c>
      <c r="Y19" s="72">
        <f>M19*26*365/1000000*0.33</f>
        <v>6.4751029199999959</v>
      </c>
      <c r="Z19" s="72">
        <f>M19*18*365/1000000*0.33</f>
        <v>4.4827635599999978</v>
      </c>
      <c r="AA19" s="72">
        <f>M19*0*365/1000000*0.33</f>
        <v>0</v>
      </c>
      <c r="AB19" s="72">
        <f>M19*0*365/1000000*0.33</f>
        <v>0</v>
      </c>
      <c r="AC19" s="91">
        <f>N19-S19-X19</f>
        <v>37.311082559999974</v>
      </c>
      <c r="AD19" s="91">
        <f>O19-T19-Y19</f>
        <v>72.056273519999948</v>
      </c>
      <c r="AE19" s="91">
        <f>P19-U19-Z19</f>
        <v>44.110695299999961</v>
      </c>
      <c r="AF19" s="91">
        <f>Q19-V19-AA19</f>
        <v>6.9241339499999945</v>
      </c>
      <c r="AG19" s="91">
        <f>R19-W19-AB19</f>
        <v>1.3848267899999989</v>
      </c>
      <c r="AH19" s="39">
        <f>(K19+H19)*60*365/1000000</f>
        <v>410.74326000000002</v>
      </c>
      <c r="AI19" s="77">
        <f>($K19+$H19)*110*365/1000000</f>
        <v>753.02931000000012</v>
      </c>
      <c r="AJ19" s="77">
        <f>($K19+$H19)*70*365/1000000</f>
        <v>479.20047</v>
      </c>
      <c r="AK19" s="77">
        <f>($K19+$H19)*10*365/1000000</f>
        <v>68.457210000000003</v>
      </c>
      <c r="AL19" s="26">
        <f>($K19+$H19)*2*365/1000000</f>
        <v>13.691442000000002</v>
      </c>
      <c r="AM19" s="27">
        <v>0.9</v>
      </c>
      <c r="AN19" s="27">
        <v>0.75</v>
      </c>
      <c r="AO19" s="27">
        <v>0.9</v>
      </c>
      <c r="AP19" s="27">
        <v>0.8</v>
      </c>
      <c r="AQ19" s="27">
        <v>0.8</v>
      </c>
      <c r="AR19" s="26">
        <f>(S19+AH19)*AM19</f>
        <v>372.58273031400006</v>
      </c>
      <c r="AS19" s="26">
        <f>(T19+AI19)*AN19</f>
        <v>568.13405517000001</v>
      </c>
      <c r="AT19" s="26">
        <f>(U19+AJ19)*AO19</f>
        <v>435.09077202600002</v>
      </c>
      <c r="AU19" s="26">
        <f>(V19+AK19)*AP19</f>
        <v>55.263852840000006</v>
      </c>
      <c r="AV19" s="26">
        <f>(W19+AL19)*AQ19</f>
        <v>11.052770568000001</v>
      </c>
      <c r="AW19" s="26">
        <f>S19+AH19-AR19</f>
        <v>41.398081145999981</v>
      </c>
      <c r="AX19" s="26">
        <f>T19+AI19-AS19</f>
        <v>189.37801839000008</v>
      </c>
      <c r="AY19" s="26">
        <f>U19+AJ19-AT19</f>
        <v>48.343419113999971</v>
      </c>
      <c r="AZ19" s="26">
        <f>V19+AK19-AU19</f>
        <v>13.81596321</v>
      </c>
      <c r="BA19" s="40">
        <f>W19+AL19-AV19</f>
        <v>2.7631926419999999</v>
      </c>
      <c r="BB19" s="37">
        <f>N19+AH19</f>
        <v>456.02369999999996</v>
      </c>
      <c r="BC19" s="28">
        <f>O19+AI19</f>
        <v>836.04345000000012</v>
      </c>
      <c r="BD19" s="28">
        <f>P19+AJ19</f>
        <v>532.02764999999999</v>
      </c>
      <c r="BE19" s="29">
        <f>Q19+AK19</f>
        <v>76.003950000000003</v>
      </c>
      <c r="BF19" s="29">
        <f>R19+AL19</f>
        <v>15.200790000000001</v>
      </c>
      <c r="BG19" s="28">
        <f>AC19+AW19</f>
        <v>78.709163705999956</v>
      </c>
      <c r="BH19" s="28">
        <f>AD19+AX19</f>
        <v>261.43429191000001</v>
      </c>
      <c r="BI19" s="28">
        <f>AE19+AY19</f>
        <v>92.454114413999932</v>
      </c>
      <c r="BJ19" s="29">
        <f>AF19+AZ19</f>
        <v>20.740097159999994</v>
      </c>
      <c r="BK19" s="29">
        <f>AG19+BA19</f>
        <v>4.148019431999999</v>
      </c>
      <c r="BL19" s="28">
        <f>X19+AR19</f>
        <v>377.31453629400005</v>
      </c>
      <c r="BM19" s="28">
        <f>Y19+AS19</f>
        <v>574.60915809000005</v>
      </c>
      <c r="BN19" s="28">
        <f>Z19+AT19</f>
        <v>439.57353558600005</v>
      </c>
      <c r="BO19" s="29">
        <f>AA19+AU19</f>
        <v>55.263852840000006</v>
      </c>
      <c r="BP19" s="30">
        <f>AB19+AV19</f>
        <v>11.052770568000001</v>
      </c>
      <c r="BQ19" s="10">
        <v>642655</v>
      </c>
      <c r="BR19" s="6">
        <v>1802080</v>
      </c>
      <c r="BS19" t="s">
        <v>132</v>
      </c>
    </row>
    <row r="20" spans="1:71" x14ac:dyDescent="0.25">
      <c r="A20" s="18"/>
      <c r="B20" s="18">
        <v>13</v>
      </c>
      <c r="C20" s="19" t="s">
        <v>55</v>
      </c>
      <c r="D20" s="60">
        <v>16471</v>
      </c>
      <c r="E20" s="47" t="s">
        <v>2</v>
      </c>
      <c r="F20" s="13" t="s">
        <v>208</v>
      </c>
      <c r="G20" s="53">
        <v>19141</v>
      </c>
      <c r="H20" s="53">
        <v>0</v>
      </c>
      <c r="I20" s="50">
        <f>G20+H20</f>
        <v>19141</v>
      </c>
      <c r="J20" s="45">
        <v>0.85</v>
      </c>
      <c r="K20" s="65">
        <f>ROUND(G20*J20,2)</f>
        <v>16269.85</v>
      </c>
      <c r="L20" s="66">
        <f>1-J20</f>
        <v>0.15000000000000002</v>
      </c>
      <c r="M20" s="67">
        <f>G20-K20</f>
        <v>2871.1499999999996</v>
      </c>
      <c r="N20" s="43">
        <f>M20*60*365/1000000</f>
        <v>62.878184999999995</v>
      </c>
      <c r="O20" s="92">
        <f>M20*110*365/1000000</f>
        <v>115.27667249999999</v>
      </c>
      <c r="P20" s="72">
        <f>M20*70*365/1000000</f>
        <v>73.357882499999988</v>
      </c>
      <c r="Q20" s="72">
        <f>M20*10*365/1000000</f>
        <v>10.479697499999999</v>
      </c>
      <c r="R20" s="25">
        <f>M20*2*365/1000000</f>
        <v>2.0959394999999996</v>
      </c>
      <c r="S20" s="72">
        <f>M20*13*365/1000000*0.33</f>
        <v>4.4957902274999997</v>
      </c>
      <c r="T20" s="72">
        <f>M20*18*365/1000000*0.33</f>
        <v>6.2249403150000004</v>
      </c>
      <c r="U20" s="72">
        <f>M20*17*365/1000000*0.33</f>
        <v>5.8791102975000005</v>
      </c>
      <c r="V20" s="72">
        <f>M20*2.5*365/1000000*0.33</f>
        <v>0.86457504374999994</v>
      </c>
      <c r="W20" s="72">
        <f>M20*0.5*365/1000000*0.33</f>
        <v>0.17291500874999999</v>
      </c>
      <c r="X20" s="72">
        <f>M20*19*365/1000000*0.33</f>
        <v>6.5707703324999995</v>
      </c>
      <c r="Y20" s="72">
        <f>M20*26*365/1000000*0.33</f>
        <v>8.9915804549999994</v>
      </c>
      <c r="Z20" s="72">
        <f>M20*18*365/1000000*0.33</f>
        <v>6.2249403150000004</v>
      </c>
      <c r="AA20" s="72">
        <f>M20*0*365/1000000*0.33</f>
        <v>0</v>
      </c>
      <c r="AB20" s="72">
        <f>M20*0*365/1000000*0.33</f>
        <v>0</v>
      </c>
      <c r="AC20" s="91">
        <f>N20-S20-X20</f>
        <v>51.811624439999996</v>
      </c>
      <c r="AD20" s="91">
        <f>O20-T20-Y20</f>
        <v>100.06015172999999</v>
      </c>
      <c r="AE20" s="91">
        <f>P20-U20-Z20</f>
        <v>61.253831887499985</v>
      </c>
      <c r="AF20" s="91">
        <f>Q20-V20-AA20</f>
        <v>9.6151224562499991</v>
      </c>
      <c r="AG20" s="91">
        <f>R20-W20-AB20</f>
        <v>1.9230244912499996</v>
      </c>
      <c r="AH20" s="39">
        <f>(K20+H20)*60*365/1000000</f>
        <v>356.30971499999998</v>
      </c>
      <c r="AI20" s="77">
        <f>($K20+$H20)*110*365/1000000</f>
        <v>653.23447750000003</v>
      </c>
      <c r="AJ20" s="77">
        <f>($K20+$H20)*70*365/1000000</f>
        <v>415.69466749999998</v>
      </c>
      <c r="AK20" s="77">
        <f>($K20+$H20)*10*365/1000000</f>
        <v>59.384952499999997</v>
      </c>
      <c r="AL20" s="26">
        <f>($K20+$H20)*2*365/1000000</f>
        <v>11.8769905</v>
      </c>
      <c r="AM20" s="27">
        <v>0.9</v>
      </c>
      <c r="AN20" s="27">
        <v>0.75</v>
      </c>
      <c r="AO20" s="27">
        <v>0.9</v>
      </c>
      <c r="AP20" s="27">
        <v>0.8</v>
      </c>
      <c r="AQ20" s="27">
        <v>0.8</v>
      </c>
      <c r="AR20" s="26">
        <f>(S20+AH20)*AM20</f>
        <v>324.72495470474996</v>
      </c>
      <c r="AS20" s="26">
        <f>(T20+AI20)*AN20</f>
        <v>494.59456336125004</v>
      </c>
      <c r="AT20" s="26">
        <f>(U20+AJ20)*AO20</f>
        <v>379.41640001774999</v>
      </c>
      <c r="AU20" s="26">
        <f>(V20+AK20)*AP20</f>
        <v>48.199622035000004</v>
      </c>
      <c r="AV20" s="26">
        <f>(W20+AL20)*AQ20</f>
        <v>9.6399244070000005</v>
      </c>
      <c r="AW20" s="26">
        <f>S20+AH20-AR20</f>
        <v>36.080550522750002</v>
      </c>
      <c r="AX20" s="26">
        <f>T20+AI20-AS20</f>
        <v>164.86485445375001</v>
      </c>
      <c r="AY20" s="26">
        <f>U20+AJ20-AT20</f>
        <v>42.157377779749993</v>
      </c>
      <c r="AZ20" s="26">
        <f>V20+AK20-AU20</f>
        <v>12.049905508749994</v>
      </c>
      <c r="BA20" s="40">
        <f>W20+AL20-AV20</f>
        <v>2.4099811017499988</v>
      </c>
      <c r="BB20" s="37">
        <f>N20+AH20</f>
        <v>419.18789999999996</v>
      </c>
      <c r="BC20" s="28">
        <f>O20+AI20</f>
        <v>768.51115000000004</v>
      </c>
      <c r="BD20" s="28">
        <f>P20+AJ20</f>
        <v>489.05255</v>
      </c>
      <c r="BE20" s="29">
        <f>Q20+AK20</f>
        <v>69.864649999999997</v>
      </c>
      <c r="BF20" s="29">
        <f>R20+AL20</f>
        <v>13.97293</v>
      </c>
      <c r="BG20" s="28">
        <f>AC20+AW20</f>
        <v>87.892174962750005</v>
      </c>
      <c r="BH20" s="28">
        <f>AD20+AX20</f>
        <v>264.92500618374999</v>
      </c>
      <c r="BI20" s="28">
        <f>AE20+AY20</f>
        <v>103.41120966724998</v>
      </c>
      <c r="BJ20" s="29">
        <f>AF20+AZ20</f>
        <v>21.665027964999993</v>
      </c>
      <c r="BK20" s="29">
        <f>AG20+BA20</f>
        <v>4.3330055929999984</v>
      </c>
      <c r="BL20" s="28">
        <f>X20+AR20</f>
        <v>331.29572503724995</v>
      </c>
      <c r="BM20" s="28">
        <f>Y20+AS20</f>
        <v>503.58614381625006</v>
      </c>
      <c r="BN20" s="28">
        <f>Z20+AT20</f>
        <v>385.64134033275002</v>
      </c>
      <c r="BO20" s="29">
        <f>AA20+AU20</f>
        <v>48.199622035000004</v>
      </c>
      <c r="BP20" s="30">
        <f>AB20+AV20</f>
        <v>9.6399244070000005</v>
      </c>
      <c r="BQ20" s="10">
        <v>647005</v>
      </c>
      <c r="BR20" s="6">
        <v>978105</v>
      </c>
      <c r="BS20" t="s">
        <v>128</v>
      </c>
    </row>
    <row r="21" spans="1:71" x14ac:dyDescent="0.25">
      <c r="A21" s="18"/>
      <c r="B21" s="20">
        <v>14</v>
      </c>
      <c r="C21" s="63" t="s">
        <v>56</v>
      </c>
      <c r="D21" s="61">
        <v>11734</v>
      </c>
      <c r="E21" s="58" t="s">
        <v>172</v>
      </c>
      <c r="F21" s="15" t="s">
        <v>207</v>
      </c>
      <c r="G21" s="55">
        <v>13127</v>
      </c>
      <c r="H21" s="55">
        <v>0</v>
      </c>
      <c r="I21" s="50">
        <f>G21+H21</f>
        <v>13127</v>
      </c>
      <c r="J21" s="45">
        <v>1</v>
      </c>
      <c r="K21" s="65">
        <f>ROUND(G21*J21,2)</f>
        <v>13127</v>
      </c>
      <c r="L21" s="66">
        <f>1-J21</f>
        <v>0</v>
      </c>
      <c r="M21" s="67">
        <f>G21-K21</f>
        <v>0</v>
      </c>
      <c r="N21" s="43">
        <f>M21*60*365/1000000</f>
        <v>0</v>
      </c>
      <c r="O21" s="92">
        <f>M21*110*365/1000000</f>
        <v>0</v>
      </c>
      <c r="P21" s="72">
        <f>M21*70*365/1000000</f>
        <v>0</v>
      </c>
      <c r="Q21" s="72">
        <f>M21*10*365/1000000</f>
        <v>0</v>
      </c>
      <c r="R21" s="25">
        <f>M21*2*365/1000000</f>
        <v>0</v>
      </c>
      <c r="S21" s="72">
        <f>M21*13*365/1000000*0.33</f>
        <v>0</v>
      </c>
      <c r="T21" s="72">
        <f>M21*18*365/1000000*0.33</f>
        <v>0</v>
      </c>
      <c r="U21" s="72">
        <f>M21*17*365/1000000*0.33</f>
        <v>0</v>
      </c>
      <c r="V21" s="72">
        <f>M21*2.5*365/1000000*0.33</f>
        <v>0</v>
      </c>
      <c r="W21" s="72">
        <f>M21*0.5*365/1000000*0.33</f>
        <v>0</v>
      </c>
      <c r="X21" s="72">
        <f>M21*19*365/1000000*0.33</f>
        <v>0</v>
      </c>
      <c r="Y21" s="72">
        <f>M21*26*365/1000000*0.33</f>
        <v>0</v>
      </c>
      <c r="Z21" s="72">
        <f>M21*18*365/1000000*0.33</f>
        <v>0</v>
      </c>
      <c r="AA21" s="72">
        <f>M21*0*365/1000000*0.33</f>
        <v>0</v>
      </c>
      <c r="AB21" s="72">
        <f>M21*0*365/1000000*0.33</f>
        <v>0</v>
      </c>
      <c r="AC21" s="91">
        <f>N21-S21-X21</f>
        <v>0</v>
      </c>
      <c r="AD21" s="91">
        <f>O21-T21-Y21</f>
        <v>0</v>
      </c>
      <c r="AE21" s="91">
        <f>P21-U21-Z21</f>
        <v>0</v>
      </c>
      <c r="AF21" s="91">
        <f>Q21-V21-AA21</f>
        <v>0</v>
      </c>
      <c r="AG21" s="91">
        <f>R21-W21-AB21</f>
        <v>0</v>
      </c>
      <c r="AH21" s="39">
        <f>(K21+H21)*60*365/1000000</f>
        <v>287.48129999999998</v>
      </c>
      <c r="AI21" s="77">
        <f>($K21+$H21)*110*365/1000000</f>
        <v>527.04904999999997</v>
      </c>
      <c r="AJ21" s="77">
        <f>($K21+$H21)*70*365/1000000</f>
        <v>335.39485000000002</v>
      </c>
      <c r="AK21" s="77">
        <f>($K21+$H21)*10*365/1000000</f>
        <v>47.913550000000001</v>
      </c>
      <c r="AL21" s="26">
        <f>($K21+$H21)*2*365/1000000</f>
        <v>9.5827100000000005</v>
      </c>
      <c r="AM21" s="27">
        <v>0.9</v>
      </c>
      <c r="AN21" s="27">
        <v>0.75</v>
      </c>
      <c r="AO21" s="27">
        <v>0.9</v>
      </c>
      <c r="AP21" s="27">
        <v>0.8</v>
      </c>
      <c r="AQ21" s="27">
        <v>0.8</v>
      </c>
      <c r="AR21" s="26">
        <f>(S21+AH21)*AM21</f>
        <v>258.73316999999997</v>
      </c>
      <c r="AS21" s="26">
        <f>(T21+AI21)*AN21</f>
        <v>395.28678749999995</v>
      </c>
      <c r="AT21" s="26">
        <f>(U21+AJ21)*AO21</f>
        <v>301.85536500000001</v>
      </c>
      <c r="AU21" s="26">
        <f>(V21+AK21)*AP21</f>
        <v>38.330840000000002</v>
      </c>
      <c r="AV21" s="26">
        <f>(W21+AL21)*AQ21</f>
        <v>7.6661680000000008</v>
      </c>
      <c r="AW21" s="26">
        <f>S21+AH21-AR21</f>
        <v>28.748130000000003</v>
      </c>
      <c r="AX21" s="26">
        <f>T21+AI21-AS21</f>
        <v>131.76226250000002</v>
      </c>
      <c r="AY21" s="26">
        <f>U21+AJ21-AT21</f>
        <v>33.539485000000013</v>
      </c>
      <c r="AZ21" s="26">
        <f>V21+AK21-AU21</f>
        <v>9.5827099999999987</v>
      </c>
      <c r="BA21" s="40">
        <f>W21+AL21-AV21</f>
        <v>1.9165419999999997</v>
      </c>
      <c r="BB21" s="37">
        <f>N21+AH21</f>
        <v>287.48129999999998</v>
      </c>
      <c r="BC21" s="28">
        <f>O21+AI21</f>
        <v>527.04904999999997</v>
      </c>
      <c r="BD21" s="28">
        <f>P21+AJ21</f>
        <v>335.39485000000002</v>
      </c>
      <c r="BE21" s="29">
        <f>Q21+AK21</f>
        <v>47.913550000000001</v>
      </c>
      <c r="BF21" s="29">
        <f>R21+AL21</f>
        <v>9.5827100000000005</v>
      </c>
      <c r="BG21" s="28">
        <f>AC21+AW21</f>
        <v>28.748130000000003</v>
      </c>
      <c r="BH21" s="28">
        <f>AD21+AX21</f>
        <v>131.76226250000002</v>
      </c>
      <c r="BI21" s="28">
        <f>AE21+AY21</f>
        <v>33.539485000000013</v>
      </c>
      <c r="BJ21" s="29">
        <f>AF21+AZ21</f>
        <v>9.5827099999999987</v>
      </c>
      <c r="BK21" s="29">
        <f>AG21+BA21</f>
        <v>1.9165419999999997</v>
      </c>
      <c r="BL21" s="28">
        <f>X21+AR21</f>
        <v>258.73316999999997</v>
      </c>
      <c r="BM21" s="28">
        <f>Y21+AS21</f>
        <v>395.28678749999995</v>
      </c>
      <c r="BN21" s="28">
        <f>Z21+AT21</f>
        <v>301.85536500000001</v>
      </c>
      <c r="BO21" s="29">
        <f>AA21+AU21</f>
        <v>38.330840000000002</v>
      </c>
      <c r="BP21" s="30">
        <f>AB21+AV21</f>
        <v>7.6661680000000008</v>
      </c>
      <c r="BQ21" s="10">
        <v>0</v>
      </c>
      <c r="BR21" s="6">
        <v>0</v>
      </c>
      <c r="BS21" s="3"/>
    </row>
    <row r="22" spans="1:71" s="3" customFormat="1" x14ac:dyDescent="0.25">
      <c r="A22" s="18"/>
      <c r="B22" s="18">
        <v>15</v>
      </c>
      <c r="C22" s="19" t="s">
        <v>57</v>
      </c>
      <c r="D22" s="60">
        <v>11456</v>
      </c>
      <c r="E22" s="47" t="s">
        <v>9</v>
      </c>
      <c r="F22" s="13" t="s">
        <v>209</v>
      </c>
      <c r="G22" s="53">
        <v>13272</v>
      </c>
      <c r="H22" s="54">
        <v>138</v>
      </c>
      <c r="I22" s="50">
        <f>G22+H22</f>
        <v>13410</v>
      </c>
      <c r="J22" s="45">
        <v>0.84</v>
      </c>
      <c r="K22" s="65">
        <f>ROUND(G22*J22,2)</f>
        <v>11148.48</v>
      </c>
      <c r="L22" s="66">
        <f>1-J22</f>
        <v>0.16000000000000003</v>
      </c>
      <c r="M22" s="67">
        <f>G22-K22</f>
        <v>2123.5200000000004</v>
      </c>
      <c r="N22" s="43">
        <f>M22*60*365/1000000</f>
        <v>46.505088000000008</v>
      </c>
      <c r="O22" s="92">
        <f>M22*110*365/1000000</f>
        <v>85.259328000000011</v>
      </c>
      <c r="P22" s="72">
        <f>M22*70*365/1000000</f>
        <v>54.255936000000005</v>
      </c>
      <c r="Q22" s="72">
        <f>M22*10*365/1000000</f>
        <v>7.7508480000000022</v>
      </c>
      <c r="R22" s="25">
        <f>M22*2*365/1000000</f>
        <v>1.5501696000000003</v>
      </c>
      <c r="S22" s="72">
        <f>M22*13*365/1000000*0.33</f>
        <v>3.3251137920000007</v>
      </c>
      <c r="T22" s="72">
        <f>M22*18*365/1000000*0.33</f>
        <v>4.6040037120000008</v>
      </c>
      <c r="U22" s="72">
        <f>M22*17*365/1000000*0.33</f>
        <v>4.3482257280000018</v>
      </c>
      <c r="V22" s="72">
        <f>M22*2.5*365/1000000*0.33</f>
        <v>0.63944496000000017</v>
      </c>
      <c r="W22" s="72">
        <f>M22*0.5*365/1000000*0.33</f>
        <v>0.12788899200000003</v>
      </c>
      <c r="X22" s="72">
        <f>M22*19*365/1000000*0.33</f>
        <v>4.8597816960000007</v>
      </c>
      <c r="Y22" s="72">
        <f>M22*26*365/1000000*0.33</f>
        <v>6.6502275840000014</v>
      </c>
      <c r="Z22" s="72">
        <f>M22*18*365/1000000*0.33</f>
        <v>4.6040037120000008</v>
      </c>
      <c r="AA22" s="72">
        <f>M22*0*365/1000000*0.33</f>
        <v>0</v>
      </c>
      <c r="AB22" s="72">
        <f>M22*0*365/1000000*0.33</f>
        <v>0</v>
      </c>
      <c r="AC22" s="91">
        <f>N22-S22-X22</f>
        <v>38.320192512000006</v>
      </c>
      <c r="AD22" s="91">
        <f>O22-T22-Y22</f>
        <v>74.005096703999996</v>
      </c>
      <c r="AE22" s="91">
        <f>P22-U22-Z22</f>
        <v>45.303706560000002</v>
      </c>
      <c r="AF22" s="91">
        <f>Q22-V22-AA22</f>
        <v>7.1114030400000017</v>
      </c>
      <c r="AG22" s="91">
        <f>R22-W22-AB22</f>
        <v>1.4222806080000003</v>
      </c>
      <c r="AH22" s="39">
        <f>(K22+H22)*60*365/1000000</f>
        <v>247.17391199999997</v>
      </c>
      <c r="AI22" s="77">
        <f>($K22+$H22)*110*365/1000000</f>
        <v>453.15217200000001</v>
      </c>
      <c r="AJ22" s="77">
        <f>($K22+$H22)*70*365/1000000</f>
        <v>288.36956400000003</v>
      </c>
      <c r="AK22" s="77">
        <f>($K22+$H22)*10*365/1000000</f>
        <v>41.195651999999995</v>
      </c>
      <c r="AL22" s="26">
        <f>($K22+$H22)*2*365/1000000</f>
        <v>8.2391303999999987</v>
      </c>
      <c r="AM22" s="27">
        <v>0.9</v>
      </c>
      <c r="AN22" s="27">
        <v>0.75</v>
      </c>
      <c r="AO22" s="27">
        <v>0.9</v>
      </c>
      <c r="AP22" s="27">
        <v>0.8</v>
      </c>
      <c r="AQ22" s="27">
        <v>0.8</v>
      </c>
      <c r="AR22" s="26">
        <f>(S22+AH22)*AM22</f>
        <v>225.44912321279998</v>
      </c>
      <c r="AS22" s="26">
        <f>(T22+AI22)*AN22</f>
        <v>343.31713178400003</v>
      </c>
      <c r="AT22" s="26">
        <f>(U22+AJ22)*AO22</f>
        <v>263.44601075520001</v>
      </c>
      <c r="AU22" s="26">
        <f>(V22+AK22)*AP22</f>
        <v>33.468077567999998</v>
      </c>
      <c r="AV22" s="26">
        <f>(W22+AL22)*AQ22</f>
        <v>6.6936155136000002</v>
      </c>
      <c r="AW22" s="26">
        <f>S22+AH22-AR22</f>
        <v>25.049902579199994</v>
      </c>
      <c r="AX22" s="26">
        <f>T22+AI22-AS22</f>
        <v>114.43904392799999</v>
      </c>
      <c r="AY22" s="26">
        <f>U22+AJ22-AT22</f>
        <v>29.271778972800007</v>
      </c>
      <c r="AZ22" s="26">
        <f>V22+AK22-AU22</f>
        <v>8.367019391999996</v>
      </c>
      <c r="BA22" s="40">
        <f>W22+AL22-AV22</f>
        <v>1.6734038783999994</v>
      </c>
      <c r="BB22" s="37">
        <f>N22+AH22</f>
        <v>293.67899999999997</v>
      </c>
      <c r="BC22" s="28">
        <f>O22+AI22</f>
        <v>538.41150000000005</v>
      </c>
      <c r="BD22" s="28">
        <f>P22+AJ22</f>
        <v>342.62550000000005</v>
      </c>
      <c r="BE22" s="29">
        <f>Q22+AK22</f>
        <v>48.9465</v>
      </c>
      <c r="BF22" s="29">
        <f>R22+AL22</f>
        <v>9.789299999999999</v>
      </c>
      <c r="BG22" s="28">
        <f>AC22+AW22</f>
        <v>63.3700950912</v>
      </c>
      <c r="BH22" s="28">
        <f>AD22+AX22</f>
        <v>188.44414063199997</v>
      </c>
      <c r="BI22" s="28">
        <f>AE22+AY22</f>
        <v>74.575485532800002</v>
      </c>
      <c r="BJ22" s="29">
        <f>AF22+AZ22</f>
        <v>15.478422431999999</v>
      </c>
      <c r="BK22" s="29">
        <f>AG22+BA22</f>
        <v>3.0956844863999997</v>
      </c>
      <c r="BL22" s="28">
        <f>X22+AR22</f>
        <v>230.30890490879997</v>
      </c>
      <c r="BM22" s="28">
        <f>Y22+AS22</f>
        <v>349.96735936800002</v>
      </c>
      <c r="BN22" s="28">
        <f>Z22+AT22</f>
        <v>268.05001446720001</v>
      </c>
      <c r="BO22" s="29">
        <f>AA22+AU22</f>
        <v>33.468077567999998</v>
      </c>
      <c r="BP22" s="30">
        <f>AB22+AV22</f>
        <v>6.6936155136000002</v>
      </c>
      <c r="BQ22" s="10">
        <v>0</v>
      </c>
      <c r="BR22" s="6">
        <v>0</v>
      </c>
      <c r="BS22" t="s">
        <v>131</v>
      </c>
    </row>
    <row r="23" spans="1:71" ht="90" x14ac:dyDescent="0.25">
      <c r="A23" s="18"/>
      <c r="B23" s="18">
        <v>16</v>
      </c>
      <c r="C23" s="19" t="s">
        <v>58</v>
      </c>
      <c r="D23" s="60">
        <v>11091</v>
      </c>
      <c r="E23" s="57" t="s">
        <v>133</v>
      </c>
      <c r="F23" s="14" t="s">
        <v>209</v>
      </c>
      <c r="G23" s="53">
        <v>12650</v>
      </c>
      <c r="H23" s="54">
        <v>220</v>
      </c>
      <c r="I23" s="50">
        <f>G23+H23</f>
        <v>12870</v>
      </c>
      <c r="J23" s="45">
        <v>0.51</v>
      </c>
      <c r="K23" s="65">
        <f>ROUND(G23*J23,2)</f>
        <v>6451.5</v>
      </c>
      <c r="L23" s="66">
        <f>1-J23</f>
        <v>0.49</v>
      </c>
      <c r="M23" s="67">
        <f>G23-K23</f>
        <v>6198.5</v>
      </c>
      <c r="N23" s="43">
        <f>M23*60*365/1000000</f>
        <v>135.74715</v>
      </c>
      <c r="O23" s="92">
        <f>M23*110*365/1000000</f>
        <v>248.869775</v>
      </c>
      <c r="P23" s="72">
        <f>M23*70*365/1000000</f>
        <v>158.37167500000001</v>
      </c>
      <c r="Q23" s="72">
        <f>M23*10*365/1000000</f>
        <v>22.624524999999998</v>
      </c>
      <c r="R23" s="25">
        <f>M23*2*365/1000000</f>
        <v>4.5249050000000004</v>
      </c>
      <c r="S23" s="72">
        <f>M23*13*365/1000000*0.33</f>
        <v>9.7059212250000009</v>
      </c>
      <c r="T23" s="72">
        <f>M23*18*365/1000000*0.33</f>
        <v>13.438967850000001</v>
      </c>
      <c r="U23" s="72">
        <f>M23*17*365/1000000*0.33</f>
        <v>12.692358525</v>
      </c>
      <c r="V23" s="72">
        <f>M23*2.5*365/1000000*0.33</f>
        <v>1.8665233125</v>
      </c>
      <c r="W23" s="72">
        <f>M23*0.5*365/1000000*0.33</f>
        <v>0.37330466250000005</v>
      </c>
      <c r="X23" s="72">
        <f>M23*19*365/1000000*0.33</f>
        <v>14.185577175000001</v>
      </c>
      <c r="Y23" s="72">
        <f>M23*26*365/1000000*0.33</f>
        <v>19.411842450000002</v>
      </c>
      <c r="Z23" s="72">
        <f>M23*18*365/1000000*0.33</f>
        <v>13.438967850000001</v>
      </c>
      <c r="AA23" s="72">
        <f>M23*0*365/1000000*0.33</f>
        <v>0</v>
      </c>
      <c r="AB23" s="72">
        <f>M23*0*365/1000000*0.33</f>
        <v>0</v>
      </c>
      <c r="AC23" s="91">
        <f>N23-S23-X23</f>
        <v>111.8556516</v>
      </c>
      <c r="AD23" s="91">
        <f>O23-T23-Y23</f>
        <v>216.0189647</v>
      </c>
      <c r="AE23" s="91">
        <f>P23-U23-Z23</f>
        <v>132.240348625</v>
      </c>
      <c r="AF23" s="91">
        <f>Q23-V23-AA23</f>
        <v>20.758001687499998</v>
      </c>
      <c r="AG23" s="91">
        <f>R23-W23-AB23</f>
        <v>4.1516003375000006</v>
      </c>
      <c r="AH23" s="39">
        <f>(K23+H23)*60*365/1000000</f>
        <v>146.10585</v>
      </c>
      <c r="AI23" s="77">
        <f>($K23+$H23)*110*365/1000000</f>
        <v>267.860725</v>
      </c>
      <c r="AJ23" s="77">
        <f>($K23+$H23)*70*365/1000000</f>
        <v>170.45682500000001</v>
      </c>
      <c r="AK23" s="77">
        <f>($K23+$H23)*10*365/1000000</f>
        <v>24.350974999999998</v>
      </c>
      <c r="AL23" s="26">
        <f>($K23+$H23)*2*365/1000000</f>
        <v>4.8701949999999998</v>
      </c>
      <c r="AM23" s="27">
        <v>0.9</v>
      </c>
      <c r="AN23" s="27">
        <v>0.75</v>
      </c>
      <c r="AO23" s="27">
        <v>0.9</v>
      </c>
      <c r="AP23" s="27">
        <v>0.8</v>
      </c>
      <c r="AQ23" s="27">
        <v>0.8</v>
      </c>
      <c r="AR23" s="26">
        <f>(S23+AH23)*AM23</f>
        <v>140.23059410249999</v>
      </c>
      <c r="AS23" s="26">
        <f>(T23+AI23)*AN23</f>
        <v>210.9747696375</v>
      </c>
      <c r="AT23" s="26">
        <f>(U23+AJ23)*AO23</f>
        <v>164.83426517250001</v>
      </c>
      <c r="AU23" s="26">
        <f>(V23+AK23)*AP23</f>
        <v>20.973998649999999</v>
      </c>
      <c r="AV23" s="26">
        <f>(W23+AL23)*AQ23</f>
        <v>4.1947997299999997</v>
      </c>
      <c r="AW23" s="26">
        <f>S23+AH23-AR23</f>
        <v>15.581177122500009</v>
      </c>
      <c r="AX23" s="26">
        <f>T23+AI23-AS23</f>
        <v>70.324923212499982</v>
      </c>
      <c r="AY23" s="26">
        <f>U23+AJ23-AT23</f>
        <v>18.314918352500001</v>
      </c>
      <c r="AZ23" s="26">
        <f>V23+AK23-AU23</f>
        <v>5.2434996624999997</v>
      </c>
      <c r="BA23" s="40">
        <f>W23+AL23-AV23</f>
        <v>1.0486999324999999</v>
      </c>
      <c r="BB23" s="37">
        <f>N23+AH23</f>
        <v>281.85300000000001</v>
      </c>
      <c r="BC23" s="28">
        <f>O23+AI23</f>
        <v>516.73050000000001</v>
      </c>
      <c r="BD23" s="28">
        <f>P23+AJ23</f>
        <v>328.82850000000002</v>
      </c>
      <c r="BE23" s="29">
        <f>Q23+AK23</f>
        <v>46.975499999999997</v>
      </c>
      <c r="BF23" s="29">
        <f>R23+AL23</f>
        <v>9.3950999999999993</v>
      </c>
      <c r="BG23" s="28">
        <f>AC23+AW23</f>
        <v>127.43682872250001</v>
      </c>
      <c r="BH23" s="28">
        <f>AD23+AX23</f>
        <v>286.34388791250001</v>
      </c>
      <c r="BI23" s="28">
        <f>AE23+AY23</f>
        <v>150.5552669775</v>
      </c>
      <c r="BJ23" s="29">
        <f>AF23+AZ23</f>
        <v>26.001501349999998</v>
      </c>
      <c r="BK23" s="29">
        <f>AG23+BA23</f>
        <v>5.2003002700000005</v>
      </c>
      <c r="BL23" s="28">
        <f>X23+AR23</f>
        <v>154.41617127749998</v>
      </c>
      <c r="BM23" s="28">
        <f>Y23+AS23</f>
        <v>230.3866120875</v>
      </c>
      <c r="BN23" s="28">
        <f>Z23+AT23</f>
        <v>178.27323302250002</v>
      </c>
      <c r="BO23" s="29">
        <f>AA23+AU23</f>
        <v>20.973998649999999</v>
      </c>
      <c r="BP23" s="30">
        <f>AB23+AV23</f>
        <v>4.1947997299999997</v>
      </c>
      <c r="BQ23" s="10">
        <v>18000</v>
      </c>
      <c r="BR23" s="6">
        <v>0</v>
      </c>
      <c r="BS23" t="s">
        <v>128</v>
      </c>
    </row>
    <row r="24" spans="1:71" ht="30" x14ac:dyDescent="0.25">
      <c r="A24" s="18"/>
      <c r="B24" s="18">
        <v>17</v>
      </c>
      <c r="C24" s="19" t="s">
        <v>59</v>
      </c>
      <c r="D24" s="60">
        <v>10665</v>
      </c>
      <c r="E24" s="57" t="s">
        <v>134</v>
      </c>
      <c r="F24" s="14" t="s">
        <v>208</v>
      </c>
      <c r="G24" s="53">
        <v>12636</v>
      </c>
      <c r="H24" s="54">
        <v>0</v>
      </c>
      <c r="I24" s="50">
        <f>G24+H24</f>
        <v>12636</v>
      </c>
      <c r="J24" s="45">
        <v>0.74</v>
      </c>
      <c r="K24" s="65">
        <f>ROUND(G24*J24,2)</f>
        <v>9350.64</v>
      </c>
      <c r="L24" s="66">
        <f>1-J24</f>
        <v>0.26</v>
      </c>
      <c r="M24" s="67">
        <f>G24-K24</f>
        <v>3285.3600000000006</v>
      </c>
      <c r="N24" s="43">
        <f>M24*60*365/1000000</f>
        <v>71.949384000000009</v>
      </c>
      <c r="O24" s="92">
        <f>M24*110*365/1000000</f>
        <v>131.90720400000004</v>
      </c>
      <c r="P24" s="72">
        <f>M24*70*365/1000000</f>
        <v>83.94094800000002</v>
      </c>
      <c r="Q24" s="72">
        <f>M24*10*365/1000000</f>
        <v>11.991564000000002</v>
      </c>
      <c r="R24" s="25">
        <f>M24*2*365/1000000</f>
        <v>2.3983128000000002</v>
      </c>
      <c r="S24" s="72">
        <f>M24*13*365/1000000*0.33</f>
        <v>5.1443809560000009</v>
      </c>
      <c r="T24" s="72">
        <f>M24*18*365/1000000*0.33</f>
        <v>7.1229890160000009</v>
      </c>
      <c r="U24" s="72">
        <f>M24*17*365/1000000*0.33</f>
        <v>6.7272674040000018</v>
      </c>
      <c r="V24" s="72">
        <f>M24*2.5*365/1000000*0.33</f>
        <v>0.98930403000000022</v>
      </c>
      <c r="W24" s="72">
        <f>M24*0.5*365/1000000*0.33</f>
        <v>0.19786080600000003</v>
      </c>
      <c r="X24" s="72">
        <f>M24*19*365/1000000*0.33</f>
        <v>7.5187106280000018</v>
      </c>
      <c r="Y24" s="72">
        <f>M24*26*365/1000000*0.33</f>
        <v>10.288761912000002</v>
      </c>
      <c r="Z24" s="72">
        <f>M24*18*365/1000000*0.33</f>
        <v>7.1229890160000009</v>
      </c>
      <c r="AA24" s="72">
        <f>M24*0*365/1000000*0.33</f>
        <v>0</v>
      </c>
      <c r="AB24" s="72">
        <f>M24*0*365/1000000*0.33</f>
        <v>0</v>
      </c>
      <c r="AC24" s="91">
        <f>N24-S24-X24</f>
        <v>59.286292416000002</v>
      </c>
      <c r="AD24" s="91">
        <f>O24-T24-Y24</f>
        <v>114.49545307200003</v>
      </c>
      <c r="AE24" s="91">
        <f>P24-U24-Z24</f>
        <v>70.090691580000012</v>
      </c>
      <c r="AF24" s="91">
        <f>Q24-V24-AA24</f>
        <v>11.002259970000003</v>
      </c>
      <c r="AG24" s="91">
        <f>R24-W24-AB24</f>
        <v>2.2004519940000002</v>
      </c>
      <c r="AH24" s="39">
        <f>(K24+H24)*60*365/1000000</f>
        <v>204.77901599999998</v>
      </c>
      <c r="AI24" s="77">
        <f>($K24+$H24)*110*365/1000000</f>
        <v>375.42819599999996</v>
      </c>
      <c r="AJ24" s="77">
        <f>($K24+$H24)*70*365/1000000</f>
        <v>238.90885199999997</v>
      </c>
      <c r="AK24" s="77">
        <f>($K24+$H24)*10*365/1000000</f>
        <v>34.129835999999997</v>
      </c>
      <c r="AL24" s="26">
        <f>($K24+$H24)*2*365/1000000</f>
        <v>6.8259671999999991</v>
      </c>
      <c r="AM24" s="27">
        <v>0.9</v>
      </c>
      <c r="AN24" s="27">
        <v>0.75</v>
      </c>
      <c r="AO24" s="27">
        <v>0.9</v>
      </c>
      <c r="AP24" s="27">
        <v>0.8</v>
      </c>
      <c r="AQ24" s="27">
        <v>0.8</v>
      </c>
      <c r="AR24" s="26">
        <f>(S24+AH24)*AM24</f>
        <v>188.9310572604</v>
      </c>
      <c r="AS24" s="26">
        <f>(T24+AI24)*AN24</f>
        <v>286.91338876199995</v>
      </c>
      <c r="AT24" s="26">
        <f>(U24+AJ24)*AO24</f>
        <v>221.07250746359998</v>
      </c>
      <c r="AU24" s="26">
        <f>(V24+AK24)*AP24</f>
        <v>28.095312023999998</v>
      </c>
      <c r="AV24" s="26">
        <f>(W24+AL24)*AQ24</f>
        <v>5.6190624048000002</v>
      </c>
      <c r="AW24" s="26">
        <f>S24+AH24-AR24</f>
        <v>20.992339695599981</v>
      </c>
      <c r="AX24" s="26">
        <f>T24+AI24-AS24</f>
        <v>95.637796254000023</v>
      </c>
      <c r="AY24" s="26">
        <f>U24+AJ24-AT24</f>
        <v>24.563611940399994</v>
      </c>
      <c r="AZ24" s="26">
        <f>V24+AK24-AU24</f>
        <v>7.0238280059999987</v>
      </c>
      <c r="BA24" s="40">
        <f>W24+AL24-AV24</f>
        <v>1.4047656011999994</v>
      </c>
      <c r="BB24" s="37">
        <f>N24+AH24</f>
        <v>276.72839999999997</v>
      </c>
      <c r="BC24" s="28">
        <f>O24+AI24</f>
        <v>507.33539999999999</v>
      </c>
      <c r="BD24" s="28">
        <f>P24+AJ24</f>
        <v>322.84979999999996</v>
      </c>
      <c r="BE24" s="29">
        <f>Q24+AK24</f>
        <v>46.121400000000001</v>
      </c>
      <c r="BF24" s="29">
        <f>R24+AL24</f>
        <v>9.2242800000000003</v>
      </c>
      <c r="BG24" s="28">
        <f>AC24+AW24</f>
        <v>80.27863211159999</v>
      </c>
      <c r="BH24" s="28">
        <f>AD24+AX24</f>
        <v>210.13324932600005</v>
      </c>
      <c r="BI24" s="28">
        <f>AE24+AY24</f>
        <v>94.654303520400006</v>
      </c>
      <c r="BJ24" s="29">
        <f>AF24+AZ24</f>
        <v>18.026087975999999</v>
      </c>
      <c r="BK24" s="29">
        <f>AG24+BA24</f>
        <v>3.6052175951999996</v>
      </c>
      <c r="BL24" s="28">
        <f>X24+AR24</f>
        <v>196.4497678884</v>
      </c>
      <c r="BM24" s="28">
        <f>Y24+AS24</f>
        <v>297.20215067399994</v>
      </c>
      <c r="BN24" s="28">
        <f>Z24+AT24</f>
        <v>228.19549647959997</v>
      </c>
      <c r="BO24" s="29">
        <f>AA24+AU24</f>
        <v>28.095312023999998</v>
      </c>
      <c r="BP24" s="30">
        <f>AB24+AV24</f>
        <v>5.6190624048000002</v>
      </c>
      <c r="BQ24" s="10">
        <f>724300+400000+498860+142900+25000+150000</f>
        <v>1941060</v>
      </c>
      <c r="BR24" s="6">
        <f>29500+50000</f>
        <v>79500</v>
      </c>
      <c r="BS24" t="s">
        <v>135</v>
      </c>
    </row>
    <row r="25" spans="1:71" ht="15.75" thickBot="1" x14ac:dyDescent="0.3">
      <c r="A25" s="18"/>
      <c r="B25" s="21">
        <v>18</v>
      </c>
      <c r="C25" s="23" t="s">
        <v>60</v>
      </c>
      <c r="D25" s="62">
        <v>10071</v>
      </c>
      <c r="E25" s="48" t="s">
        <v>136</v>
      </c>
      <c r="F25" s="22" t="s">
        <v>207</v>
      </c>
      <c r="G25" s="90">
        <v>10751</v>
      </c>
      <c r="H25" s="56">
        <v>308</v>
      </c>
      <c r="I25" s="51">
        <f>G25+H25</f>
        <v>11059</v>
      </c>
      <c r="J25" s="46">
        <v>0.81</v>
      </c>
      <c r="K25" s="235">
        <f>ROUND(G25*J25,2)</f>
        <v>8708.31</v>
      </c>
      <c r="L25" s="234">
        <f>1-J25</f>
        <v>0.18999999999999995</v>
      </c>
      <c r="M25" s="236">
        <f>G25-K25</f>
        <v>2042.6900000000005</v>
      </c>
      <c r="N25" s="44">
        <f>M25*60*365/1000000</f>
        <v>44.734911000000011</v>
      </c>
      <c r="O25" s="237">
        <f>M25*110*365/1000000</f>
        <v>82.014003500000015</v>
      </c>
      <c r="P25" s="238">
        <f>M25*70*365/1000000</f>
        <v>52.190729500000018</v>
      </c>
      <c r="Q25" s="238">
        <f>M25*10*365/1000000</f>
        <v>7.4558185000000021</v>
      </c>
      <c r="R25" s="31">
        <f>M25*2*365/1000000</f>
        <v>1.4911637000000004</v>
      </c>
      <c r="S25" s="238">
        <f>M25*13*365/1000000*0.33</f>
        <v>3.1985461365000014</v>
      </c>
      <c r="T25" s="238">
        <f>M25*18*365/1000000*0.33</f>
        <v>4.4287561890000013</v>
      </c>
      <c r="U25" s="238">
        <f>M25*17*365/1000000*0.33</f>
        <v>4.1827141785000013</v>
      </c>
      <c r="V25" s="238">
        <f>M25*2.5*365/1000000*0.33</f>
        <v>0.61510502625000019</v>
      </c>
      <c r="W25" s="238">
        <f>M25*0.5*365/1000000*0.33</f>
        <v>0.12302100525000004</v>
      </c>
      <c r="X25" s="238">
        <f>M25*19*365/1000000*0.33</f>
        <v>4.6747981995000005</v>
      </c>
      <c r="Y25" s="238">
        <f>M25*26*365/1000000*0.33</f>
        <v>6.3970922730000028</v>
      </c>
      <c r="Z25" s="238">
        <f>M25*18*365/1000000*0.33</f>
        <v>4.4287561890000013</v>
      </c>
      <c r="AA25" s="238">
        <f>M25*0*365/1000000*0.33</f>
        <v>0</v>
      </c>
      <c r="AB25" s="238">
        <f>M25*0*365/1000000*0.33</f>
        <v>0</v>
      </c>
      <c r="AC25" s="239">
        <f>N25-S25-X25</f>
        <v>36.861566664000009</v>
      </c>
      <c r="AD25" s="239">
        <f>O25-T25-Y25</f>
        <v>71.188155038000019</v>
      </c>
      <c r="AE25" s="239">
        <f>P25-U25-Z25</f>
        <v>43.579259132500013</v>
      </c>
      <c r="AF25" s="239">
        <f>Q25-V25-AA25</f>
        <v>6.8407134737500019</v>
      </c>
      <c r="AG25" s="239">
        <f>R25-W25-AB25</f>
        <v>1.3681426947500004</v>
      </c>
      <c r="AH25" s="41">
        <f>(K25+H25)*60*365/1000000</f>
        <v>197.457189</v>
      </c>
      <c r="AI25" s="240">
        <f>($K25+$H25)*110*365/1000000</f>
        <v>362.00484649999999</v>
      </c>
      <c r="AJ25" s="240">
        <f>($K25+$H25)*70*365/1000000</f>
        <v>230.36672049999996</v>
      </c>
      <c r="AK25" s="240">
        <f>($K25+$H25)*10*365/1000000</f>
        <v>32.909531499999993</v>
      </c>
      <c r="AL25" s="32">
        <f>($K25+$H25)*2*365/1000000</f>
        <v>6.5819063</v>
      </c>
      <c r="AM25" s="33">
        <v>0.9</v>
      </c>
      <c r="AN25" s="33">
        <v>0.75</v>
      </c>
      <c r="AO25" s="33">
        <v>0.9</v>
      </c>
      <c r="AP25" s="33">
        <v>0.8</v>
      </c>
      <c r="AQ25" s="33">
        <v>0.8</v>
      </c>
      <c r="AR25" s="32">
        <f>(S25+AH25)*AM25</f>
        <v>180.59016162284999</v>
      </c>
      <c r="AS25" s="32">
        <f>(T25+AI25)*AN25</f>
        <v>274.82520201674998</v>
      </c>
      <c r="AT25" s="32">
        <f>(U25+AJ25)*AO25</f>
        <v>211.09449121064995</v>
      </c>
      <c r="AU25" s="32">
        <f>(V25+AK25)*AP25</f>
        <v>26.819709220999997</v>
      </c>
      <c r="AV25" s="32">
        <f>(W25+AL25)*AQ25</f>
        <v>5.3639418442000002</v>
      </c>
      <c r="AW25" s="32">
        <f>S25+AH25-AR25</f>
        <v>20.065573513650008</v>
      </c>
      <c r="AX25" s="32">
        <f>T25+AI25-AS25</f>
        <v>91.608400672250013</v>
      </c>
      <c r="AY25" s="32">
        <f>U25+AJ25-AT25</f>
        <v>23.454943467850001</v>
      </c>
      <c r="AZ25" s="32">
        <f>V25+AK25-AU25</f>
        <v>6.7049273052499956</v>
      </c>
      <c r="BA25" s="42">
        <f>W25+AL25-AV25</f>
        <v>1.3409854610499998</v>
      </c>
      <c r="BB25" s="38">
        <f>N25+AH25</f>
        <v>242.19210000000001</v>
      </c>
      <c r="BC25" s="34">
        <f>O25+AI25</f>
        <v>444.01884999999999</v>
      </c>
      <c r="BD25" s="34">
        <f>P25+AJ25</f>
        <v>282.55744999999996</v>
      </c>
      <c r="BE25" s="35">
        <f>Q25+AK25</f>
        <v>40.365349999999992</v>
      </c>
      <c r="BF25" s="35">
        <f>R25+AL25</f>
        <v>8.0730700000000013</v>
      </c>
      <c r="BG25" s="34">
        <f>AC25+AW25</f>
        <v>56.927140177650017</v>
      </c>
      <c r="BH25" s="34">
        <f>AD25+AX25</f>
        <v>162.79655571025003</v>
      </c>
      <c r="BI25" s="34">
        <f>AE25+AY25</f>
        <v>67.034202600350014</v>
      </c>
      <c r="BJ25" s="35">
        <f>AF25+AZ25</f>
        <v>13.545640778999998</v>
      </c>
      <c r="BK25" s="35">
        <f>AG25+BA25</f>
        <v>2.7091281558000002</v>
      </c>
      <c r="BL25" s="34">
        <f>X25+AR25</f>
        <v>185.26495982234999</v>
      </c>
      <c r="BM25" s="34">
        <f>Y25+AS25</f>
        <v>281.22229428974998</v>
      </c>
      <c r="BN25" s="34">
        <f>Z25+AT25</f>
        <v>215.52324739964996</v>
      </c>
      <c r="BO25" s="35">
        <f>AA25+AU25</f>
        <v>26.819709220999997</v>
      </c>
      <c r="BP25" s="36">
        <f>AB25+AV25</f>
        <v>5.3639418442000002</v>
      </c>
      <c r="BQ25" s="10">
        <v>936550</v>
      </c>
      <c r="BR25" s="6">
        <v>400000</v>
      </c>
      <c r="BS25" t="s">
        <v>128</v>
      </c>
    </row>
    <row r="26" spans="1:71" ht="15.75" thickBot="1" x14ac:dyDescent="0.3">
      <c r="A26" s="111"/>
      <c r="B26" s="268" t="s">
        <v>222</v>
      </c>
      <c r="C26" s="269"/>
      <c r="D26" s="288">
        <f>SUM(D10:D25)</f>
        <v>455620</v>
      </c>
      <c r="E26" s="289"/>
      <c r="F26" s="290"/>
      <c r="G26" s="291">
        <f>SUM(G10:G25)</f>
        <v>486968</v>
      </c>
      <c r="H26" s="291">
        <f t="shared" ref="H26:I26" si="7">SUM(H10:H25)</f>
        <v>71987</v>
      </c>
      <c r="I26" s="291">
        <f t="shared" si="7"/>
        <v>558955</v>
      </c>
      <c r="J26" s="274">
        <f>K26/G26</f>
        <v>0.8185201080974519</v>
      </c>
      <c r="K26" s="275">
        <f>SUM(K10:K25)</f>
        <v>398593.1</v>
      </c>
      <c r="L26" s="276">
        <f>M26/G26</f>
        <v>0.18147989190254801</v>
      </c>
      <c r="M26" s="277">
        <f>SUM(M10:M25)</f>
        <v>88374.9</v>
      </c>
      <c r="N26" s="278">
        <f>SUM(N10:N25)</f>
        <v>1935.41031</v>
      </c>
      <c r="O26" s="279">
        <f>SUM(O10:O25)</f>
        <v>3548.2522349999995</v>
      </c>
      <c r="P26" s="279">
        <f t="shared" ref="P26:AF26" si="8">SUM(P10:P25)</f>
        <v>2257.9786949999998</v>
      </c>
      <c r="Q26" s="279">
        <f t="shared" si="8"/>
        <v>322.56838500000003</v>
      </c>
      <c r="R26" s="279">
        <f t="shared" si="8"/>
        <v>64.513676999999987</v>
      </c>
      <c r="S26" s="279">
        <f t="shared" si="8"/>
        <v>138.38183716499998</v>
      </c>
      <c r="T26" s="279">
        <f t="shared" si="8"/>
        <v>191.60562069000002</v>
      </c>
      <c r="U26" s="279">
        <f t="shared" si="8"/>
        <v>180.960863985</v>
      </c>
      <c r="V26" s="279">
        <f t="shared" si="8"/>
        <v>26.611891762499997</v>
      </c>
      <c r="W26" s="279">
        <f t="shared" si="8"/>
        <v>5.3223783525000012</v>
      </c>
      <c r="X26" s="279">
        <f t="shared" si="8"/>
        <v>202.25037739499999</v>
      </c>
      <c r="Y26" s="279">
        <f t="shared" si="8"/>
        <v>276.76367432999996</v>
      </c>
      <c r="Z26" s="279">
        <f t="shared" si="8"/>
        <v>191.60562069000002</v>
      </c>
      <c r="AA26" s="279">
        <f t="shared" si="8"/>
        <v>0</v>
      </c>
      <c r="AB26" s="279">
        <f t="shared" si="8"/>
        <v>0</v>
      </c>
      <c r="AC26" s="279">
        <f t="shared" si="8"/>
        <v>1594.77809544</v>
      </c>
      <c r="AD26" s="279">
        <f t="shared" si="8"/>
        <v>3079.8829399800006</v>
      </c>
      <c r="AE26" s="279">
        <f t="shared" si="8"/>
        <v>1885.4122103249997</v>
      </c>
      <c r="AF26" s="279">
        <f t="shared" si="8"/>
        <v>295.95649323749996</v>
      </c>
      <c r="AG26" s="292">
        <f>SUM(AG10:AG25)</f>
        <v>59.191298647499998</v>
      </c>
      <c r="AH26" s="293">
        <f>SUM(AH10:AH25)</f>
        <v>10305.70419</v>
      </c>
      <c r="AI26" s="282">
        <f>SUM(AI10:AI25)</f>
        <v>18893.791014999995</v>
      </c>
      <c r="AJ26" s="282">
        <f t="shared" ref="AJ26:AL26" si="9">SUM(AJ10:AJ25)</f>
        <v>12023.321555</v>
      </c>
      <c r="AK26" s="282">
        <f t="shared" si="9"/>
        <v>1717.6173650000003</v>
      </c>
      <c r="AL26" s="282">
        <f t="shared" si="9"/>
        <v>343.52347300000002</v>
      </c>
      <c r="AM26" s="283"/>
      <c r="AN26" s="283"/>
      <c r="AO26" s="283"/>
      <c r="AP26" s="283"/>
      <c r="AQ26" s="283"/>
      <c r="AR26" s="282">
        <f>SUM(AR10:AR25)</f>
        <v>9399.6774244485005</v>
      </c>
      <c r="AS26" s="282">
        <f t="shared" ref="AS26:AZ26" si="10">SUM(AS10:AS25)</f>
        <v>14314.047476767497</v>
      </c>
      <c r="AT26" s="282">
        <f t="shared" si="10"/>
        <v>10983.854177086499</v>
      </c>
      <c r="AU26" s="282">
        <f t="shared" si="10"/>
        <v>1395.3834054099998</v>
      </c>
      <c r="AV26" s="282">
        <f t="shared" si="10"/>
        <v>279.07668108199994</v>
      </c>
      <c r="AW26" s="282">
        <f t="shared" si="10"/>
        <v>1044.4086027164997</v>
      </c>
      <c r="AX26" s="282">
        <f t="shared" si="10"/>
        <v>4771.3491589225005</v>
      </c>
      <c r="AY26" s="282">
        <f t="shared" si="10"/>
        <v>1220.4282418984997</v>
      </c>
      <c r="AZ26" s="282">
        <f t="shared" si="10"/>
        <v>348.84585135249995</v>
      </c>
      <c r="BA26" s="294">
        <f>SUM(BA10:BA25)</f>
        <v>69.76917027049997</v>
      </c>
      <c r="BB26" s="285">
        <f>SUM(BB10:BB25)</f>
        <v>12241.1145</v>
      </c>
      <c r="BC26" s="286">
        <f>SUM(BC10:BC25)</f>
        <v>22442.043250000002</v>
      </c>
      <c r="BD26" s="286">
        <f t="shared" ref="BD26:BP26" si="11">SUM(BD10:BD25)</f>
        <v>14281.30025</v>
      </c>
      <c r="BE26" s="286">
        <f t="shared" si="11"/>
        <v>2040.1857499999999</v>
      </c>
      <c r="BF26" s="286">
        <f t="shared" si="11"/>
        <v>408.03715</v>
      </c>
      <c r="BG26" s="286">
        <f t="shared" si="11"/>
        <v>2639.186698156499</v>
      </c>
      <c r="BH26" s="286">
        <f t="shared" si="11"/>
        <v>7851.2320989024993</v>
      </c>
      <c r="BI26" s="286">
        <f t="shared" si="11"/>
        <v>3105.8404522235001</v>
      </c>
      <c r="BJ26" s="286">
        <f t="shared" si="11"/>
        <v>644.80234458999996</v>
      </c>
      <c r="BK26" s="286">
        <f t="shared" si="11"/>
        <v>128.96046891799995</v>
      </c>
      <c r="BL26" s="286">
        <f t="shared" si="11"/>
        <v>9601.9278018434979</v>
      </c>
      <c r="BM26" s="286">
        <f t="shared" si="11"/>
        <v>14590.811151097498</v>
      </c>
      <c r="BN26" s="286">
        <f t="shared" si="11"/>
        <v>11175.459797776502</v>
      </c>
      <c r="BO26" s="286">
        <f t="shared" si="11"/>
        <v>1395.3834054099998</v>
      </c>
      <c r="BP26" s="287">
        <f t="shared" si="11"/>
        <v>279.07668108199994</v>
      </c>
      <c r="BQ26" s="10"/>
      <c r="BR26" s="6"/>
    </row>
    <row r="27" spans="1:71" s="1" customFormat="1" ht="15.75" thickBot="1" x14ac:dyDescent="0.3">
      <c r="D27" s="206"/>
      <c r="G27" s="206"/>
      <c r="I27" s="206"/>
      <c r="J27" s="221"/>
      <c r="K27" s="206"/>
      <c r="L27" s="221"/>
      <c r="M27" s="206"/>
      <c r="N27" s="222"/>
      <c r="O27" s="223"/>
      <c r="P27" s="222"/>
      <c r="Q27" s="222"/>
      <c r="R27" s="222"/>
      <c r="S27" s="222"/>
      <c r="T27" s="222"/>
      <c r="U27" s="222"/>
      <c r="V27" s="222"/>
      <c r="W27" s="222"/>
      <c r="X27" s="222"/>
      <c r="Y27" s="222"/>
      <c r="Z27" s="222"/>
      <c r="AA27" s="222"/>
      <c r="AB27" s="222"/>
      <c r="AC27" s="224"/>
      <c r="AD27" s="224"/>
      <c r="AE27" s="224"/>
      <c r="AF27" s="224"/>
      <c r="AG27" s="224"/>
      <c r="AH27" s="225"/>
      <c r="AI27" s="225"/>
      <c r="AJ27" s="225"/>
      <c r="AK27" s="225"/>
      <c r="AL27" s="225"/>
      <c r="AM27" s="226"/>
      <c r="AN27" s="226"/>
      <c r="AO27" s="226"/>
      <c r="AP27" s="226"/>
      <c r="AQ27" s="226"/>
      <c r="AR27" s="225"/>
      <c r="AS27" s="225"/>
      <c r="AT27" s="225"/>
      <c r="AU27" s="225"/>
      <c r="AV27" s="225"/>
      <c r="AW27" s="225"/>
      <c r="AX27" s="225"/>
      <c r="AY27" s="225"/>
      <c r="AZ27" s="225"/>
      <c r="BA27" s="225"/>
      <c r="BB27" s="227"/>
      <c r="BC27" s="227"/>
      <c r="BD27" s="227"/>
      <c r="BE27" s="228"/>
      <c r="BF27" s="228"/>
      <c r="BG27" s="227"/>
      <c r="BH27" s="227"/>
      <c r="BI27" s="227"/>
      <c r="BJ27" s="228"/>
      <c r="BK27" s="228"/>
      <c r="BL27" s="227"/>
      <c r="BM27" s="227"/>
      <c r="BN27" s="227"/>
      <c r="BO27" s="228"/>
      <c r="BP27" s="228"/>
      <c r="BQ27" s="10"/>
      <c r="BR27" s="10"/>
    </row>
    <row r="28" spans="1:71" x14ac:dyDescent="0.25">
      <c r="A28" s="214"/>
      <c r="B28" s="16">
        <v>19</v>
      </c>
      <c r="C28" s="17" t="s">
        <v>61</v>
      </c>
      <c r="D28" s="59">
        <v>9984</v>
      </c>
      <c r="E28" s="295" t="s">
        <v>174</v>
      </c>
      <c r="F28" s="296" t="s">
        <v>209</v>
      </c>
      <c r="G28" s="52">
        <v>12041</v>
      </c>
      <c r="H28" s="52">
        <v>5767</v>
      </c>
      <c r="I28" s="49">
        <f>G28+H28</f>
        <v>17808</v>
      </c>
      <c r="J28" s="297">
        <v>0.6</v>
      </c>
      <c r="K28" s="298">
        <f>ROUND(G28*J28,2)</f>
        <v>7224.6</v>
      </c>
      <c r="L28" s="299">
        <f>1-J28</f>
        <v>0.4</v>
      </c>
      <c r="M28" s="300">
        <f>G28-K28</f>
        <v>4816.3999999999996</v>
      </c>
      <c r="N28" s="301">
        <f>M28*60*365/1000000</f>
        <v>105.47915999999999</v>
      </c>
      <c r="O28" s="302">
        <f>M28*110*365/1000000</f>
        <v>193.37845999999999</v>
      </c>
      <c r="P28" s="303">
        <f>M28*70*365/1000000</f>
        <v>123.05902</v>
      </c>
      <c r="Q28" s="303">
        <f>M28*10*365/1000000</f>
        <v>17.57986</v>
      </c>
      <c r="R28" s="303">
        <f>M28*2*365/1000000</f>
        <v>3.5159719999999997</v>
      </c>
      <c r="S28" s="303">
        <f>M28*13*365/1000000*0.33</f>
        <v>7.5417599400000004</v>
      </c>
      <c r="T28" s="303">
        <f>M28*18*365/1000000*0.33</f>
        <v>10.442436839999999</v>
      </c>
      <c r="U28" s="303">
        <f>M28*17*365/1000000*0.33</f>
        <v>9.8623014599999994</v>
      </c>
      <c r="V28" s="303">
        <f>M28*2.5*365/1000000*0.33</f>
        <v>1.4503384500000001</v>
      </c>
      <c r="W28" s="303">
        <f>M28*0.5*365/1000000*0.33</f>
        <v>0.29006768999999999</v>
      </c>
      <c r="X28" s="303">
        <f>M28*19*365/1000000*0.33</f>
        <v>11.022572219999999</v>
      </c>
      <c r="Y28" s="303">
        <f>M28*26*365/1000000*0.33</f>
        <v>15.083519880000001</v>
      </c>
      <c r="Z28" s="303">
        <f>M28*18*365/1000000*0.33</f>
        <v>10.442436839999999</v>
      </c>
      <c r="AA28" s="303">
        <f>M28*0*365/1000000*0.33</f>
        <v>0</v>
      </c>
      <c r="AB28" s="303">
        <f>M28*0*365/1000000*0.33</f>
        <v>0</v>
      </c>
      <c r="AC28" s="304">
        <f>N28-S28-X28</f>
        <v>86.914827839999987</v>
      </c>
      <c r="AD28" s="304">
        <f>O28-T28-Y28</f>
        <v>167.85250327999998</v>
      </c>
      <c r="AE28" s="304">
        <f>P28-U28-Z28</f>
        <v>102.75428170000001</v>
      </c>
      <c r="AF28" s="304">
        <f>Q28-V28-AA28</f>
        <v>16.12952155</v>
      </c>
      <c r="AG28" s="304">
        <f>R28-W28-AB28</f>
        <v>3.2259043099999998</v>
      </c>
      <c r="AH28" s="305">
        <f>(K28+H28)*60*365/1000000</f>
        <v>284.51603999999998</v>
      </c>
      <c r="AI28" s="306">
        <f>($K28+$H28)*110*365/1000000</f>
        <v>521.61274000000003</v>
      </c>
      <c r="AJ28" s="306">
        <f>($K28+$H28)*70*365/1000000</f>
        <v>331.93538000000001</v>
      </c>
      <c r="AK28" s="306">
        <f>($K28+$H28)*10*365/1000000</f>
        <v>47.419339999999998</v>
      </c>
      <c r="AL28" s="306">
        <f>($K28+$H28)*2*365/1000000</f>
        <v>9.4838679999999993</v>
      </c>
      <c r="AM28" s="307">
        <v>0.9</v>
      </c>
      <c r="AN28" s="307">
        <v>0.75</v>
      </c>
      <c r="AO28" s="307">
        <v>0.9</v>
      </c>
      <c r="AP28" s="307">
        <v>0.8</v>
      </c>
      <c r="AQ28" s="307">
        <v>0.8</v>
      </c>
      <c r="AR28" s="306">
        <f>(S28+AH28)*AM28</f>
        <v>262.85201994599998</v>
      </c>
      <c r="AS28" s="306">
        <f>(T28+AI28)*AN28</f>
        <v>399.04138263000004</v>
      </c>
      <c r="AT28" s="306">
        <f>(U28+AJ28)*AO28</f>
        <v>307.61791331400002</v>
      </c>
      <c r="AU28" s="306">
        <f>(V28+AK28)*AP28</f>
        <v>39.09574276</v>
      </c>
      <c r="AV28" s="306">
        <f>(W28+AL28)*AQ28</f>
        <v>7.8191485520000006</v>
      </c>
      <c r="AW28" s="306">
        <f>S28+AH28-AR28</f>
        <v>29.205779994000011</v>
      </c>
      <c r="AX28" s="306">
        <f>T28+AI28-AS28</f>
        <v>133.01379421000001</v>
      </c>
      <c r="AY28" s="306">
        <f>U28+AJ28-AT28</f>
        <v>34.179768146000015</v>
      </c>
      <c r="AZ28" s="306">
        <f>V28+AK28-AU28</f>
        <v>9.7739356899999947</v>
      </c>
      <c r="BA28" s="308">
        <f>W28+AL28-AV28</f>
        <v>1.9547871379999995</v>
      </c>
      <c r="BB28" s="309">
        <f>N28+AH28</f>
        <v>389.99519999999995</v>
      </c>
      <c r="BC28" s="310">
        <f>O28+AI28</f>
        <v>714.99120000000005</v>
      </c>
      <c r="BD28" s="310">
        <f>P28+AJ28</f>
        <v>454.99440000000004</v>
      </c>
      <c r="BE28" s="311">
        <f>Q28+AK28</f>
        <v>64.999200000000002</v>
      </c>
      <c r="BF28" s="311">
        <f>R28+AL28</f>
        <v>12.999839999999999</v>
      </c>
      <c r="BG28" s="310">
        <f>AC28+AW28</f>
        <v>116.120607834</v>
      </c>
      <c r="BH28" s="310">
        <f>AD28+AX28</f>
        <v>300.86629748999997</v>
      </c>
      <c r="BI28" s="310">
        <f>AE28+AY28</f>
        <v>136.93404984600002</v>
      </c>
      <c r="BJ28" s="311">
        <f>AF28+AZ28</f>
        <v>25.903457239999994</v>
      </c>
      <c r="BK28" s="311">
        <f>AG28+BA28</f>
        <v>5.1806914479999993</v>
      </c>
      <c r="BL28" s="310">
        <f>X28+AR28</f>
        <v>273.87459216599996</v>
      </c>
      <c r="BM28" s="310">
        <f>Y28+AS28</f>
        <v>414.12490251000003</v>
      </c>
      <c r="BN28" s="310">
        <f>Z28+AT28</f>
        <v>318.06035015400005</v>
      </c>
      <c r="BO28" s="311">
        <f>AA28+AU28</f>
        <v>39.09574276</v>
      </c>
      <c r="BP28" s="312">
        <f>AB28+AV28</f>
        <v>7.8191485520000006</v>
      </c>
      <c r="BQ28" s="10">
        <v>227559</v>
      </c>
      <c r="BR28" s="6">
        <v>657408</v>
      </c>
      <c r="BS28" t="s">
        <v>198</v>
      </c>
    </row>
    <row r="29" spans="1:71" x14ac:dyDescent="0.25">
      <c r="A29" s="18"/>
      <c r="B29" s="18">
        <v>20</v>
      </c>
      <c r="C29" s="19" t="s">
        <v>63</v>
      </c>
      <c r="D29" s="60">
        <v>9598</v>
      </c>
      <c r="E29" s="47" t="s">
        <v>175</v>
      </c>
      <c r="F29" s="13" t="s">
        <v>205</v>
      </c>
      <c r="G29" s="53">
        <v>6390</v>
      </c>
      <c r="H29" s="53">
        <v>323</v>
      </c>
      <c r="I29" s="50">
        <f>G29+H29</f>
        <v>6713</v>
      </c>
      <c r="J29" s="45">
        <v>0.68</v>
      </c>
      <c r="K29" s="65">
        <f>ROUND(G29*J29,2)</f>
        <v>4345.2</v>
      </c>
      <c r="L29" s="66">
        <f>1-J29</f>
        <v>0.31999999999999995</v>
      </c>
      <c r="M29" s="67">
        <f>G29-K29</f>
        <v>2044.8000000000002</v>
      </c>
      <c r="N29" s="43">
        <f>M29*60*365/1000000</f>
        <v>44.781120000000008</v>
      </c>
      <c r="O29" s="92">
        <f>M29*110*365/1000000</f>
        <v>82.098720000000014</v>
      </c>
      <c r="P29" s="72">
        <f>M29*70*365/1000000</f>
        <v>52.244639999999997</v>
      </c>
      <c r="Q29" s="72">
        <f>M29*10*365/1000000</f>
        <v>7.4635199999999999</v>
      </c>
      <c r="R29" s="25">
        <f>M29*2*365/1000000</f>
        <v>1.4927040000000003</v>
      </c>
      <c r="S29" s="72">
        <f>M29*13*365/1000000*0.33</f>
        <v>3.2018500800000003</v>
      </c>
      <c r="T29" s="72">
        <f>M29*18*365/1000000*0.33</f>
        <v>4.4333308800000006</v>
      </c>
      <c r="U29" s="72">
        <f>M29*17*365/1000000*0.33</f>
        <v>4.1870347200000007</v>
      </c>
      <c r="V29" s="72">
        <f>M29*2.5*365/1000000*0.33</f>
        <v>0.61574040000000008</v>
      </c>
      <c r="W29" s="72">
        <f>M29*0.5*365/1000000*0.33</f>
        <v>0.12314808000000002</v>
      </c>
      <c r="X29" s="72">
        <f>M29*19*365/1000000*0.33</f>
        <v>4.6796270400000006</v>
      </c>
      <c r="Y29" s="72">
        <f>M29*26*365/1000000*0.33</f>
        <v>6.4037001600000005</v>
      </c>
      <c r="Z29" s="72">
        <f>M29*18*365/1000000*0.33</f>
        <v>4.4333308800000006</v>
      </c>
      <c r="AA29" s="72">
        <f>M29*0*365/1000000*0.33</f>
        <v>0</v>
      </c>
      <c r="AB29" s="72">
        <f>M29*0*365/1000000*0.33</f>
        <v>0</v>
      </c>
      <c r="AC29" s="91">
        <f>N29-S29-X29</f>
        <v>36.899642880000009</v>
      </c>
      <c r="AD29" s="91">
        <f>O29-T29-Y29</f>
        <v>71.261688960000015</v>
      </c>
      <c r="AE29" s="91">
        <f>P29-U29-Z29</f>
        <v>43.624274399999997</v>
      </c>
      <c r="AF29" s="91">
        <f>Q29-V29-AA29</f>
        <v>6.8477796</v>
      </c>
      <c r="AG29" s="91">
        <f>R29-W29-AB29</f>
        <v>1.3695559200000003</v>
      </c>
      <c r="AH29" s="39">
        <f>(K29+H29)*60*365/1000000</f>
        <v>102.23358</v>
      </c>
      <c r="AI29" s="77">
        <f>($K29+$H29)*110*365/1000000</f>
        <v>187.42823000000001</v>
      </c>
      <c r="AJ29" s="77">
        <f>($K29+$H29)*70*365/1000000</f>
        <v>119.27251</v>
      </c>
      <c r="AK29" s="77">
        <f>($K29+$H29)*10*365/1000000</f>
        <v>17.038930000000001</v>
      </c>
      <c r="AL29" s="26">
        <f>($K29+$H29)*2*365/1000000</f>
        <v>3.4077860000000002</v>
      </c>
      <c r="AM29" s="27">
        <v>0.9</v>
      </c>
      <c r="AN29" s="27">
        <v>0.75</v>
      </c>
      <c r="AO29" s="27">
        <v>0.9</v>
      </c>
      <c r="AP29" s="27">
        <v>0.8</v>
      </c>
      <c r="AQ29" s="27">
        <v>0.8</v>
      </c>
      <c r="AR29" s="26">
        <f>(S29+AH29)*AM29</f>
        <v>94.891887072000003</v>
      </c>
      <c r="AS29" s="26">
        <f>(T29+AI29)*AN29</f>
        <v>143.89617066</v>
      </c>
      <c r="AT29" s="26">
        <f>(U29+AJ29)*AO29</f>
        <v>111.11359024799999</v>
      </c>
      <c r="AU29" s="26">
        <f>(V29+AK29)*AP29</f>
        <v>14.123736320000001</v>
      </c>
      <c r="AV29" s="26">
        <f>(W29+AL29)*AQ29</f>
        <v>2.8247472640000004</v>
      </c>
      <c r="AW29" s="26">
        <f>S29+AH29-AR29</f>
        <v>10.543543008</v>
      </c>
      <c r="AX29" s="26">
        <f>T29+AI29-AS29</f>
        <v>47.965390220000018</v>
      </c>
      <c r="AY29" s="26">
        <f>U29+AJ29-AT29</f>
        <v>12.345954472000003</v>
      </c>
      <c r="AZ29" s="26">
        <f>V29+AK29-AU29</f>
        <v>3.5309340799999998</v>
      </c>
      <c r="BA29" s="40">
        <f>W29+AL29-AV29</f>
        <v>0.70618681599999977</v>
      </c>
      <c r="BB29" s="37">
        <f>N29+AH29</f>
        <v>147.0147</v>
      </c>
      <c r="BC29" s="28">
        <f>O29+AI29</f>
        <v>269.52695000000006</v>
      </c>
      <c r="BD29" s="28">
        <f>P29+AJ29</f>
        <v>171.51714999999999</v>
      </c>
      <c r="BE29" s="29">
        <f>Q29+AK29</f>
        <v>24.50245</v>
      </c>
      <c r="BF29" s="29">
        <f>R29+AL29</f>
        <v>4.9004900000000005</v>
      </c>
      <c r="BG29" s="28">
        <f>AC29+AW29</f>
        <v>47.443185888000009</v>
      </c>
      <c r="BH29" s="28">
        <f>AD29+AX29</f>
        <v>119.22707918000003</v>
      </c>
      <c r="BI29" s="28">
        <f>AE29+AY29</f>
        <v>55.970228872</v>
      </c>
      <c r="BJ29" s="29">
        <f>AF29+AZ29</f>
        <v>10.378713680000001</v>
      </c>
      <c r="BK29" s="29">
        <f>AG29+BA29</f>
        <v>2.075742736</v>
      </c>
      <c r="BL29" s="28">
        <f>X29+AR29</f>
        <v>99.571514112000003</v>
      </c>
      <c r="BM29" s="28">
        <f>Y29+AS29</f>
        <v>150.29987082</v>
      </c>
      <c r="BN29" s="28">
        <f>Z29+AT29</f>
        <v>115.54692112799999</v>
      </c>
      <c r="BO29" s="29">
        <f>AA29+AU29</f>
        <v>14.123736320000001</v>
      </c>
      <c r="BP29" s="30">
        <f>AB29+AV29</f>
        <v>2.8247472640000004</v>
      </c>
      <c r="BQ29" s="10">
        <v>1708700</v>
      </c>
      <c r="BR29" s="6">
        <v>0</v>
      </c>
      <c r="BS29" t="s">
        <v>128</v>
      </c>
    </row>
    <row r="30" spans="1:71" x14ac:dyDescent="0.25">
      <c r="A30" s="18"/>
      <c r="B30" s="18">
        <v>21</v>
      </c>
      <c r="C30" s="19" t="s">
        <v>62</v>
      </c>
      <c r="D30" s="60">
        <v>9250</v>
      </c>
      <c r="E30" s="47" t="s">
        <v>4</v>
      </c>
      <c r="F30" s="13" t="s">
        <v>207</v>
      </c>
      <c r="G30" s="53">
        <v>10650</v>
      </c>
      <c r="H30" s="53">
        <v>4435</v>
      </c>
      <c r="I30" s="50">
        <f>G30+H30</f>
        <v>15085</v>
      </c>
      <c r="J30" s="45">
        <v>0.75</v>
      </c>
      <c r="K30" s="65">
        <f>ROUND(G30*J30,2)</f>
        <v>7987.5</v>
      </c>
      <c r="L30" s="66">
        <f>1-J30</f>
        <v>0.25</v>
      </c>
      <c r="M30" s="67">
        <f>G30-K30</f>
        <v>2662.5</v>
      </c>
      <c r="N30" s="43">
        <f>M30*60*365/1000000</f>
        <v>58.308750000000003</v>
      </c>
      <c r="O30" s="92">
        <f>M30*110*365/1000000</f>
        <v>106.89937500000001</v>
      </c>
      <c r="P30" s="72">
        <f>M30*70*365/1000000</f>
        <v>68.026875000000004</v>
      </c>
      <c r="Q30" s="72">
        <f>M30*10*365/1000000</f>
        <v>9.7181250000000006</v>
      </c>
      <c r="R30" s="25">
        <f>M30*2*365/1000000</f>
        <v>1.9436249999999999</v>
      </c>
      <c r="S30" s="72">
        <f>M30*13*365/1000000*0.33</f>
        <v>4.1690756250000005</v>
      </c>
      <c r="T30" s="72">
        <f>M30*18*365/1000000*0.33</f>
        <v>5.7725662500000006</v>
      </c>
      <c r="U30" s="72">
        <f>M30*17*365/1000000*0.33</f>
        <v>5.4518681250000007</v>
      </c>
      <c r="V30" s="72">
        <f>M30*2.5*365/1000000*0.33</f>
        <v>0.80174531250000003</v>
      </c>
      <c r="W30" s="72">
        <f>M30*0.5*365/1000000*0.33</f>
        <v>0.1603490625</v>
      </c>
      <c r="X30" s="72">
        <f>M30*19*365/1000000*0.33</f>
        <v>6.0932643749999995</v>
      </c>
      <c r="Y30" s="72">
        <f>M30*26*365/1000000*0.33</f>
        <v>8.338151250000001</v>
      </c>
      <c r="Z30" s="72">
        <f>M30*18*365/1000000*0.33</f>
        <v>5.7725662500000006</v>
      </c>
      <c r="AA30" s="72">
        <f>M30*0*365/1000000*0.33</f>
        <v>0</v>
      </c>
      <c r="AB30" s="72">
        <f>M30*0*365/1000000*0.33</f>
        <v>0</v>
      </c>
      <c r="AC30" s="91">
        <f>N30-S30-X30</f>
        <v>48.046410000000009</v>
      </c>
      <c r="AD30" s="91">
        <f>O30-T30-Y30</f>
        <v>92.788657500000014</v>
      </c>
      <c r="AE30" s="91">
        <f>P30-U30-Z30</f>
        <v>56.802440625000003</v>
      </c>
      <c r="AF30" s="91">
        <f>Q30-V30-AA30</f>
        <v>8.916379687500001</v>
      </c>
      <c r="AG30" s="91">
        <f>R30-W30-AB30</f>
        <v>1.7832759375</v>
      </c>
      <c r="AH30" s="39">
        <f>(K30+H30)*60*365/1000000</f>
        <v>272.05275</v>
      </c>
      <c r="AI30" s="77">
        <f>($K30+$H30)*110*365/1000000</f>
        <v>498.763375</v>
      </c>
      <c r="AJ30" s="77">
        <f>($K30+$H30)*70*365/1000000</f>
        <v>317.39487500000001</v>
      </c>
      <c r="AK30" s="77">
        <f>($K30+$H30)*10*365/1000000</f>
        <v>45.342125000000003</v>
      </c>
      <c r="AL30" s="26">
        <f>($K30+$H30)*2*365/1000000</f>
        <v>9.0684249999999995</v>
      </c>
      <c r="AM30" s="27">
        <v>0.9</v>
      </c>
      <c r="AN30" s="27">
        <v>0.75</v>
      </c>
      <c r="AO30" s="27">
        <v>0.9</v>
      </c>
      <c r="AP30" s="27">
        <v>0.8</v>
      </c>
      <c r="AQ30" s="27">
        <v>0.8</v>
      </c>
      <c r="AR30" s="26">
        <f>(S30+AH30)*AM30</f>
        <v>248.59964306250001</v>
      </c>
      <c r="AS30" s="26">
        <f>(T30+AI30)*AN30</f>
        <v>378.40195593750002</v>
      </c>
      <c r="AT30" s="26">
        <f>(U30+AJ30)*AO30</f>
        <v>290.5620688125</v>
      </c>
      <c r="AU30" s="26">
        <f>(V30+AK30)*AP30</f>
        <v>36.915096250000005</v>
      </c>
      <c r="AV30" s="26">
        <f>(W30+AL30)*AQ30</f>
        <v>7.3830192500000003</v>
      </c>
      <c r="AW30" s="26">
        <f>S30+AH30-AR30</f>
        <v>27.622182562500001</v>
      </c>
      <c r="AX30" s="26">
        <f>T30+AI30-AS30</f>
        <v>126.13398531249999</v>
      </c>
      <c r="AY30" s="26">
        <f>U30+AJ30-AT30</f>
        <v>32.284674312499988</v>
      </c>
      <c r="AZ30" s="26">
        <f>V30+AK30-AU30</f>
        <v>9.2287740625000012</v>
      </c>
      <c r="BA30" s="40">
        <f>W30+AL30-AV30</f>
        <v>1.8457548124999992</v>
      </c>
      <c r="BB30" s="37">
        <f>N30+AH30</f>
        <v>330.36149999999998</v>
      </c>
      <c r="BC30" s="28">
        <f>O30+AI30</f>
        <v>605.66274999999996</v>
      </c>
      <c r="BD30" s="28">
        <f>P30+AJ30</f>
        <v>385.42175000000003</v>
      </c>
      <c r="BE30" s="29">
        <f>Q30+AK30</f>
        <v>55.060250000000003</v>
      </c>
      <c r="BF30" s="29">
        <f>R30+AL30</f>
        <v>11.012049999999999</v>
      </c>
      <c r="BG30" s="28">
        <f>AC30+AW30</f>
        <v>75.66859256250001</v>
      </c>
      <c r="BH30" s="28">
        <f>AD30+AX30</f>
        <v>218.92264281249999</v>
      </c>
      <c r="BI30" s="28">
        <f>AE30+AY30</f>
        <v>89.08711493749999</v>
      </c>
      <c r="BJ30" s="29">
        <f>AF30+AZ30</f>
        <v>18.145153750000002</v>
      </c>
      <c r="BK30" s="29">
        <f>AG30+BA30</f>
        <v>3.6290307499999992</v>
      </c>
      <c r="BL30" s="28">
        <f>X30+AR30</f>
        <v>254.6929074375</v>
      </c>
      <c r="BM30" s="28">
        <f>Y30+AS30</f>
        <v>386.74010718750003</v>
      </c>
      <c r="BN30" s="28">
        <f>Z30+AT30</f>
        <v>296.33463506250001</v>
      </c>
      <c r="BO30" s="29">
        <f>AA30+AU30</f>
        <v>36.915096250000005</v>
      </c>
      <c r="BP30" s="30">
        <f>AB30+AV30</f>
        <v>7.3830192500000003</v>
      </c>
      <c r="BQ30" s="10">
        <v>54000</v>
      </c>
      <c r="BR30" s="6">
        <v>0</v>
      </c>
      <c r="BS30" t="s">
        <v>128</v>
      </c>
    </row>
    <row r="31" spans="1:71" x14ac:dyDescent="0.25">
      <c r="A31" s="18"/>
      <c r="B31" s="18">
        <v>22</v>
      </c>
      <c r="C31" s="19" t="s">
        <v>64</v>
      </c>
      <c r="D31" s="60">
        <v>8887</v>
      </c>
      <c r="E31" s="47" t="s">
        <v>11</v>
      </c>
      <c r="F31" s="13" t="s">
        <v>206</v>
      </c>
      <c r="G31" s="53">
        <v>11249</v>
      </c>
      <c r="H31" s="53">
        <v>1577</v>
      </c>
      <c r="I31" s="50">
        <f>G31+H31</f>
        <v>12826</v>
      </c>
      <c r="J31" s="45">
        <v>0.62</v>
      </c>
      <c r="K31" s="65">
        <f>ROUND(G31*J31,2)</f>
        <v>6974.38</v>
      </c>
      <c r="L31" s="66">
        <f>1-J31</f>
        <v>0.38</v>
      </c>
      <c r="M31" s="67">
        <f>G31-K31</f>
        <v>4274.62</v>
      </c>
      <c r="N31" s="43">
        <f>M31*60*365/1000000</f>
        <v>93.614177999999995</v>
      </c>
      <c r="O31" s="92">
        <f>M31*110*365/1000000</f>
        <v>171.62599299999999</v>
      </c>
      <c r="P31" s="72">
        <f>M31*70*365/1000000</f>
        <v>109.21654099999998</v>
      </c>
      <c r="Q31" s="72">
        <f>M31*10*365/1000000</f>
        <v>15.602362999999999</v>
      </c>
      <c r="R31" s="25">
        <f>M31*2*365/1000000</f>
        <v>3.1204726000000003</v>
      </c>
      <c r="S31" s="72">
        <f>M31*13*365/1000000*0.33</f>
        <v>6.6934137270000003</v>
      </c>
      <c r="T31" s="72">
        <f>M31*18*365/1000000*0.33</f>
        <v>9.2678036220000006</v>
      </c>
      <c r="U31" s="72">
        <f>M31*17*365/1000000*0.33</f>
        <v>8.7529256429999993</v>
      </c>
      <c r="V31" s="72">
        <f>M31*2.5*365/1000000*0.33</f>
        <v>1.2871949475</v>
      </c>
      <c r="W31" s="72">
        <f>M31*0.5*365/1000000*0.33</f>
        <v>0.25743898950000005</v>
      </c>
      <c r="X31" s="72">
        <f>M31*19*365/1000000*0.33</f>
        <v>9.7826816010000002</v>
      </c>
      <c r="Y31" s="72">
        <f>M31*26*365/1000000*0.33</f>
        <v>13.386827454000001</v>
      </c>
      <c r="Z31" s="72">
        <f>M31*18*365/1000000*0.33</f>
        <v>9.2678036220000006</v>
      </c>
      <c r="AA31" s="72">
        <f>M31*0*365/1000000*0.33</f>
        <v>0</v>
      </c>
      <c r="AB31" s="72">
        <f>M31*0*365/1000000*0.33</f>
        <v>0</v>
      </c>
      <c r="AC31" s="91">
        <f>N31-S31-X31</f>
        <v>77.138082671999996</v>
      </c>
      <c r="AD31" s="91">
        <f>O31-T31-Y31</f>
        <v>148.97136192399998</v>
      </c>
      <c r="AE31" s="91">
        <f>P31-U31-Z31</f>
        <v>91.195811734999978</v>
      </c>
      <c r="AF31" s="91">
        <f>Q31-V31-AA31</f>
        <v>14.315168052499999</v>
      </c>
      <c r="AG31" s="91">
        <f>R31-W31-AB31</f>
        <v>2.8630336105</v>
      </c>
      <c r="AH31" s="39">
        <f>(K31+H31)*60*365/1000000</f>
        <v>187.27522200000004</v>
      </c>
      <c r="AI31" s="77">
        <f>($K31+$H31)*110*365/1000000</f>
        <v>343.33790700000009</v>
      </c>
      <c r="AJ31" s="77">
        <f>($K31+$H31)*70*365/1000000</f>
        <v>218.48775900000004</v>
      </c>
      <c r="AK31" s="77">
        <f>($K31+$H31)*10*365/1000000</f>
        <v>31.212537000000008</v>
      </c>
      <c r="AL31" s="26">
        <f>($K31+$H31)*2*365/1000000</f>
        <v>6.2425074</v>
      </c>
      <c r="AM31" s="27">
        <v>0.9</v>
      </c>
      <c r="AN31" s="27">
        <v>0.75</v>
      </c>
      <c r="AO31" s="27">
        <v>0.9</v>
      </c>
      <c r="AP31" s="27">
        <v>0.8</v>
      </c>
      <c r="AQ31" s="27">
        <v>0.8</v>
      </c>
      <c r="AR31" s="26">
        <f>(S31+AH31)*AM31</f>
        <v>174.57177215430005</v>
      </c>
      <c r="AS31" s="26">
        <f>(T31+AI31)*AN31</f>
        <v>264.45428296650005</v>
      </c>
      <c r="AT31" s="26">
        <f>(U31+AJ31)*AO31</f>
        <v>204.51661617870005</v>
      </c>
      <c r="AU31" s="26">
        <f>(V31+AK31)*AP31</f>
        <v>25.99978555800001</v>
      </c>
      <c r="AV31" s="26">
        <f>(W31+AL31)*AQ31</f>
        <v>5.1999571115999998</v>
      </c>
      <c r="AW31" s="26">
        <f>S31+AH31-AR31</f>
        <v>19.396863572699999</v>
      </c>
      <c r="AX31" s="26">
        <f>T31+AI31-AS31</f>
        <v>88.151427655500015</v>
      </c>
      <c r="AY31" s="26">
        <f>U31+AJ31-AT31</f>
        <v>22.72406846429999</v>
      </c>
      <c r="AZ31" s="26">
        <f>V31+AK31-AU31</f>
        <v>6.4999463894999998</v>
      </c>
      <c r="BA31" s="40">
        <f>W31+AL31-AV31</f>
        <v>1.2999892779</v>
      </c>
      <c r="BB31" s="37">
        <f>N31+AH31</f>
        <v>280.88940000000002</v>
      </c>
      <c r="BC31" s="28">
        <f>O31+AI31</f>
        <v>514.96390000000008</v>
      </c>
      <c r="BD31" s="28">
        <f>P31+AJ31</f>
        <v>327.70429999999999</v>
      </c>
      <c r="BE31" s="29">
        <f>Q31+AK31</f>
        <v>46.814900000000009</v>
      </c>
      <c r="BF31" s="29">
        <f>R31+AL31</f>
        <v>9.3629800000000003</v>
      </c>
      <c r="BG31" s="28">
        <f>AC31+AW31</f>
        <v>96.534946244699995</v>
      </c>
      <c r="BH31" s="28">
        <f>AD31+AX31</f>
        <v>237.12278957949999</v>
      </c>
      <c r="BI31" s="28">
        <f>AE31+AY31</f>
        <v>113.91988019929997</v>
      </c>
      <c r="BJ31" s="29">
        <f>AF31+AZ31</f>
        <v>20.815114441999999</v>
      </c>
      <c r="BK31" s="29">
        <f>AG31+BA31</f>
        <v>4.1630228884000005</v>
      </c>
      <c r="BL31" s="28">
        <f>X31+AR31</f>
        <v>184.35445375530006</v>
      </c>
      <c r="BM31" s="28">
        <f>Y31+AS31</f>
        <v>277.84111042050006</v>
      </c>
      <c r="BN31" s="28">
        <f>Z31+AT31</f>
        <v>213.78441980070005</v>
      </c>
      <c r="BO31" s="29">
        <f>AA31+AU31</f>
        <v>25.99978555800001</v>
      </c>
      <c r="BP31" s="30">
        <f>AB31+AV31</f>
        <v>5.1999571115999998</v>
      </c>
      <c r="BQ31" s="10">
        <v>309101</v>
      </c>
      <c r="BR31" s="6">
        <v>1140163</v>
      </c>
      <c r="BS31" t="s">
        <v>128</v>
      </c>
    </row>
    <row r="32" spans="1:71" ht="60" x14ac:dyDescent="0.25">
      <c r="A32" s="18"/>
      <c r="B32" s="20">
        <v>23</v>
      </c>
      <c r="C32" s="63" t="s">
        <v>65</v>
      </c>
      <c r="D32" s="61">
        <v>8715</v>
      </c>
      <c r="E32" s="93" t="s">
        <v>176</v>
      </c>
      <c r="F32" s="14" t="s">
        <v>206</v>
      </c>
      <c r="G32" s="55">
        <v>10165</v>
      </c>
      <c r="H32" s="55">
        <v>572</v>
      </c>
      <c r="I32" s="94">
        <f>G32+H32</f>
        <v>10737</v>
      </c>
      <c r="J32" s="95">
        <v>0.62</v>
      </c>
      <c r="K32" s="96">
        <f>ROUND(G32*J32,2)</f>
        <v>6302.3</v>
      </c>
      <c r="L32" s="97">
        <f>1-J32</f>
        <v>0.38</v>
      </c>
      <c r="M32" s="98">
        <f>G32-K32</f>
        <v>3862.7</v>
      </c>
      <c r="N32" s="43">
        <f>M32*60*365/1000000</f>
        <v>84.593130000000002</v>
      </c>
      <c r="O32" s="92">
        <f>M32*110*365/1000000</f>
        <v>155.08740499999999</v>
      </c>
      <c r="P32" s="72">
        <f>M32*70*365/1000000</f>
        <v>98.691985000000003</v>
      </c>
      <c r="Q32" s="72">
        <f>M32*10*365/1000000</f>
        <v>14.098855</v>
      </c>
      <c r="R32" s="25">
        <f>M32*2*365/1000000</f>
        <v>2.8197709999999998</v>
      </c>
      <c r="S32" s="72">
        <f>M32*13*365/1000000*0.33</f>
        <v>6.0484087950000003</v>
      </c>
      <c r="T32" s="72">
        <f>M32*18*365/1000000*0.33</f>
        <v>8.3747198699999998</v>
      </c>
      <c r="U32" s="72">
        <f>M32*17*365/1000000*0.33</f>
        <v>7.9094576549999989</v>
      </c>
      <c r="V32" s="72">
        <f>M32*2.5*365/1000000*0.33</f>
        <v>1.1631555375</v>
      </c>
      <c r="W32" s="72">
        <f>M32*0.5*365/1000000*0.33</f>
        <v>0.23263110749999999</v>
      </c>
      <c r="X32" s="72">
        <f>M32*19*365/1000000*0.33</f>
        <v>8.8399820850000008</v>
      </c>
      <c r="Y32" s="72">
        <f>M32*26*365/1000000*0.33</f>
        <v>12.096817590000001</v>
      </c>
      <c r="Z32" s="72">
        <f>M32*18*365/1000000*0.33</f>
        <v>8.3747198699999998</v>
      </c>
      <c r="AA32" s="72">
        <f>M32*0*365/1000000*0.33</f>
        <v>0</v>
      </c>
      <c r="AB32" s="72">
        <f>M32*0*365/1000000*0.33</f>
        <v>0</v>
      </c>
      <c r="AC32" s="91">
        <f>N32-S32-X32</f>
        <v>69.704739119999999</v>
      </c>
      <c r="AD32" s="91">
        <f>O32-T32-Y32</f>
        <v>134.61586753999998</v>
      </c>
      <c r="AE32" s="91">
        <f>P32-U32-Z32</f>
        <v>82.407807474999998</v>
      </c>
      <c r="AF32" s="91">
        <f>Q32-V32-AA32</f>
        <v>12.935699462500001</v>
      </c>
      <c r="AG32" s="91">
        <f>R32-W32-AB32</f>
        <v>2.5871398924999998</v>
      </c>
      <c r="AH32" s="39">
        <f>(K32+H32)*60*365/1000000</f>
        <v>150.54716999999999</v>
      </c>
      <c r="AI32" s="77">
        <f>($K32+$H32)*110*365/1000000</f>
        <v>276.00314500000002</v>
      </c>
      <c r="AJ32" s="77">
        <f>($K32+$H32)*70*365/1000000</f>
        <v>175.63836499999999</v>
      </c>
      <c r="AK32" s="77">
        <f>($K32+$H32)*10*365/1000000</f>
        <v>25.091194999999999</v>
      </c>
      <c r="AL32" s="26">
        <f>($K32+$H32)*2*365/1000000</f>
        <v>5.0182390000000003</v>
      </c>
      <c r="AM32" s="27">
        <v>0.9</v>
      </c>
      <c r="AN32" s="27">
        <v>0.75</v>
      </c>
      <c r="AO32" s="27">
        <v>0.9</v>
      </c>
      <c r="AP32" s="27">
        <v>0.8</v>
      </c>
      <c r="AQ32" s="27">
        <v>0.8</v>
      </c>
      <c r="AR32" s="26">
        <f>(S32+AH32)*AM32</f>
        <v>140.93602091549999</v>
      </c>
      <c r="AS32" s="26">
        <f>(T32+AI32)*AN32</f>
        <v>213.28339865250001</v>
      </c>
      <c r="AT32" s="26">
        <f>(U32+AJ32)*AO32</f>
        <v>165.1930403895</v>
      </c>
      <c r="AU32" s="26">
        <f>(V32+AK32)*AP32</f>
        <v>21.00348043</v>
      </c>
      <c r="AV32" s="26">
        <f>(W32+AL32)*AQ32</f>
        <v>4.2006960859999998</v>
      </c>
      <c r="AW32" s="26">
        <f>S32+AH32-AR32</f>
        <v>15.659557879499999</v>
      </c>
      <c r="AX32" s="26">
        <f>T32+AI32-AS32</f>
        <v>71.094466217499985</v>
      </c>
      <c r="AY32" s="26">
        <f>U32+AJ32-AT32</f>
        <v>18.354782265500006</v>
      </c>
      <c r="AZ32" s="26">
        <f>V32+AK32-AU32</f>
        <v>5.2508701074999991</v>
      </c>
      <c r="BA32" s="40">
        <f>W32+AL32-AV32</f>
        <v>1.0501740215000002</v>
      </c>
      <c r="BB32" s="37">
        <f>N32+AH32</f>
        <v>235.1403</v>
      </c>
      <c r="BC32" s="28">
        <f>O32+AI32</f>
        <v>431.09055000000001</v>
      </c>
      <c r="BD32" s="28">
        <f>P32+AJ32</f>
        <v>274.33035000000001</v>
      </c>
      <c r="BE32" s="29">
        <f>Q32+AK32</f>
        <v>39.190049999999999</v>
      </c>
      <c r="BF32" s="29">
        <f>R32+AL32</f>
        <v>7.8380100000000006</v>
      </c>
      <c r="BG32" s="28">
        <f>AC32+AW32</f>
        <v>85.364296999499999</v>
      </c>
      <c r="BH32" s="28">
        <f>AD32+AX32</f>
        <v>205.71033375749997</v>
      </c>
      <c r="BI32" s="28">
        <f>AE32+AY32</f>
        <v>100.7625897405</v>
      </c>
      <c r="BJ32" s="29">
        <f>AF32+AZ32</f>
        <v>18.18656957</v>
      </c>
      <c r="BK32" s="29">
        <f>AG32+BA32</f>
        <v>3.6373139139999999</v>
      </c>
      <c r="BL32" s="28">
        <f>X32+AR32</f>
        <v>149.7760030005</v>
      </c>
      <c r="BM32" s="28">
        <f>Y32+AS32</f>
        <v>225.38021624250001</v>
      </c>
      <c r="BN32" s="28">
        <f>Z32+AT32</f>
        <v>173.56776025950001</v>
      </c>
      <c r="BO32" s="29">
        <f>AA32+AU32</f>
        <v>21.00348043</v>
      </c>
      <c r="BP32" s="30">
        <f>AB32+AV32</f>
        <v>4.2006960859999998</v>
      </c>
      <c r="BQ32" s="102">
        <v>533865</v>
      </c>
      <c r="BR32" s="103">
        <v>0</v>
      </c>
      <c r="BS32" s="3" t="s">
        <v>131</v>
      </c>
    </row>
    <row r="33" spans="1:71" s="3" customFormat="1" x14ac:dyDescent="0.25">
      <c r="A33" s="18"/>
      <c r="B33" s="18">
        <v>24</v>
      </c>
      <c r="C33" s="19" t="s">
        <v>66</v>
      </c>
      <c r="D33" s="60">
        <v>8047</v>
      </c>
      <c r="E33" s="47" t="s">
        <v>137</v>
      </c>
      <c r="F33" s="13" t="s">
        <v>206</v>
      </c>
      <c r="G33" s="53">
        <v>9024</v>
      </c>
      <c r="H33" s="54">
        <v>180</v>
      </c>
      <c r="I33" s="50">
        <f>G33+H33</f>
        <v>9204</v>
      </c>
      <c r="J33" s="45">
        <v>0.75</v>
      </c>
      <c r="K33" s="65">
        <f>ROUND(G33*J33,2)</f>
        <v>6768</v>
      </c>
      <c r="L33" s="66">
        <f>1-J33</f>
        <v>0.25</v>
      </c>
      <c r="M33" s="67">
        <f>G33-K33</f>
        <v>2256</v>
      </c>
      <c r="N33" s="43">
        <f>M33*60*365/1000000</f>
        <v>49.406399999999998</v>
      </c>
      <c r="O33" s="92">
        <f>M33*110*365/1000000</f>
        <v>90.578400000000002</v>
      </c>
      <c r="P33" s="72">
        <f>M33*70*365/1000000</f>
        <v>57.640799999999999</v>
      </c>
      <c r="Q33" s="72">
        <f>M33*10*365/1000000</f>
        <v>8.2344000000000008</v>
      </c>
      <c r="R33" s="25">
        <f>M33*2*365/1000000</f>
        <v>1.6468799999999999</v>
      </c>
      <c r="S33" s="72">
        <f>M33*13*365/1000000*0.33</f>
        <v>3.5325576000000001</v>
      </c>
      <c r="T33" s="72">
        <f>M33*18*365/1000000*0.33</f>
        <v>4.8912336000000005</v>
      </c>
      <c r="U33" s="72">
        <f>M33*17*365/1000000*0.33</f>
        <v>4.6194984000000003</v>
      </c>
      <c r="V33" s="72">
        <f>M33*2.5*365/1000000*0.33</f>
        <v>0.67933800000000011</v>
      </c>
      <c r="W33" s="72">
        <f>M33*0.5*365/1000000*0.33</f>
        <v>0.13586760000000001</v>
      </c>
      <c r="X33" s="72">
        <f>M33*19*365/1000000*0.33</f>
        <v>5.1629688000000007</v>
      </c>
      <c r="Y33" s="72">
        <f>M33*26*365/1000000*0.33</f>
        <v>7.0651152000000002</v>
      </c>
      <c r="Z33" s="72">
        <f>M33*18*365/1000000*0.33</f>
        <v>4.8912336000000005</v>
      </c>
      <c r="AA33" s="72">
        <f>M33*0*365/1000000*0.33</f>
        <v>0</v>
      </c>
      <c r="AB33" s="72">
        <f>M33*0*365/1000000*0.33</f>
        <v>0</v>
      </c>
      <c r="AC33" s="91">
        <f>N33-S33-X33</f>
        <v>40.710873599999999</v>
      </c>
      <c r="AD33" s="91">
        <f>O33-T33-Y33</f>
        <v>78.622051200000001</v>
      </c>
      <c r="AE33" s="91">
        <f>P33-U33-Z33</f>
        <v>48.130068000000001</v>
      </c>
      <c r="AF33" s="91">
        <f>Q33-V33-AA33</f>
        <v>7.5550620000000004</v>
      </c>
      <c r="AG33" s="91">
        <f>R33-W33-AB33</f>
        <v>1.5110123999999998</v>
      </c>
      <c r="AH33" s="39">
        <f>(K33+H33)*60*365/1000000</f>
        <v>152.16120000000001</v>
      </c>
      <c r="AI33" s="77">
        <f>($K33+$H33)*110*365/1000000</f>
        <v>278.9622</v>
      </c>
      <c r="AJ33" s="77">
        <f>($K33+$H33)*70*365/1000000</f>
        <v>177.5214</v>
      </c>
      <c r="AK33" s="77">
        <f>($K33+$H33)*10*365/1000000</f>
        <v>25.360199999999999</v>
      </c>
      <c r="AL33" s="26">
        <f>($K33+$H33)*2*365/1000000</f>
        <v>5.0720400000000003</v>
      </c>
      <c r="AM33" s="27">
        <v>0.9</v>
      </c>
      <c r="AN33" s="27">
        <v>0.75</v>
      </c>
      <c r="AO33" s="27">
        <v>0.9</v>
      </c>
      <c r="AP33" s="27">
        <v>0.8</v>
      </c>
      <c r="AQ33" s="27">
        <v>0.8</v>
      </c>
      <c r="AR33" s="26">
        <f>(S33+AH33)*AM33</f>
        <v>140.12438184000001</v>
      </c>
      <c r="AS33" s="26">
        <f>(T33+AI33)*AN33</f>
        <v>212.89007520000001</v>
      </c>
      <c r="AT33" s="26">
        <f>(U33+AJ33)*AO33</f>
        <v>163.92680856000001</v>
      </c>
      <c r="AU33" s="26">
        <f>(V33+AK33)*AP33</f>
        <v>20.831630400000002</v>
      </c>
      <c r="AV33" s="26">
        <f>(W33+AL33)*AQ33</f>
        <v>4.1663260800000002</v>
      </c>
      <c r="AW33" s="26">
        <f>S33+AH33-AR33</f>
        <v>15.569375759999986</v>
      </c>
      <c r="AX33" s="26">
        <f>T33+AI33-AS33</f>
        <v>70.963358400000004</v>
      </c>
      <c r="AY33" s="26">
        <f>U33+AJ33-AT33</f>
        <v>18.214089839999986</v>
      </c>
      <c r="AZ33" s="26">
        <f>V33+AK33-AU33</f>
        <v>5.2079075999999986</v>
      </c>
      <c r="BA33" s="40">
        <f>W33+AL33-AV33</f>
        <v>1.0415815200000003</v>
      </c>
      <c r="BB33" s="37">
        <f>N33+AH33</f>
        <v>201.5676</v>
      </c>
      <c r="BC33" s="28">
        <f>O33+AI33</f>
        <v>369.54059999999998</v>
      </c>
      <c r="BD33" s="28">
        <f>P33+AJ33</f>
        <v>235.16219999999998</v>
      </c>
      <c r="BE33" s="29">
        <f>Q33+AK33</f>
        <v>33.5946</v>
      </c>
      <c r="BF33" s="29">
        <f>R33+AL33</f>
        <v>6.7189200000000007</v>
      </c>
      <c r="BG33" s="28">
        <f>AC33+AW33</f>
        <v>56.280249359999985</v>
      </c>
      <c r="BH33" s="28">
        <f>AD33+AX33</f>
        <v>149.58540959999999</v>
      </c>
      <c r="BI33" s="28">
        <f>AE33+AY33</f>
        <v>66.34415783999998</v>
      </c>
      <c r="BJ33" s="29">
        <f>AF33+AZ33</f>
        <v>12.762969599999998</v>
      </c>
      <c r="BK33" s="29">
        <f>AG33+BA33</f>
        <v>2.5525939200000001</v>
      </c>
      <c r="BL33" s="28">
        <f>X33+AR33</f>
        <v>145.28735064</v>
      </c>
      <c r="BM33" s="28">
        <f>Y33+AS33</f>
        <v>219.95519040000002</v>
      </c>
      <c r="BN33" s="28">
        <f>Z33+AT33</f>
        <v>168.81804216</v>
      </c>
      <c r="BO33" s="29">
        <f>AA33+AU33</f>
        <v>20.831630400000002</v>
      </c>
      <c r="BP33" s="30">
        <f>AB33+AV33</f>
        <v>4.1663260800000002</v>
      </c>
      <c r="BQ33" s="10">
        <f>307160*0.6</f>
        <v>184296</v>
      </c>
      <c r="BR33" s="6">
        <v>0</v>
      </c>
      <c r="BS33" t="s">
        <v>128</v>
      </c>
    </row>
    <row r="34" spans="1:71" x14ac:dyDescent="0.25">
      <c r="A34" s="18"/>
      <c r="B34" s="18">
        <v>25</v>
      </c>
      <c r="C34" s="19" t="s">
        <v>77</v>
      </c>
      <c r="D34" s="60">
        <v>7887</v>
      </c>
      <c r="E34" s="47" t="s">
        <v>11</v>
      </c>
      <c r="F34" s="13" t="s">
        <v>206</v>
      </c>
      <c r="G34" s="53">
        <v>9890</v>
      </c>
      <c r="H34" s="53">
        <v>94</v>
      </c>
      <c r="I34" s="50">
        <f>G34+H34</f>
        <v>9984</v>
      </c>
      <c r="J34" s="45">
        <v>0.68</v>
      </c>
      <c r="K34" s="65">
        <f>ROUND(G34*J34,2)</f>
        <v>6725.2</v>
      </c>
      <c r="L34" s="66">
        <f>1-J34</f>
        <v>0.31999999999999995</v>
      </c>
      <c r="M34" s="67">
        <f>G34-K34</f>
        <v>3164.8</v>
      </c>
      <c r="N34" s="43">
        <f>M34*60*365/1000000</f>
        <v>69.309119999999993</v>
      </c>
      <c r="O34" s="92">
        <f>M34*110*365/1000000</f>
        <v>127.06672</v>
      </c>
      <c r="P34" s="72">
        <f>M34*70*365/1000000</f>
        <v>80.860640000000004</v>
      </c>
      <c r="Q34" s="72">
        <f>M34*10*365/1000000</f>
        <v>11.55152</v>
      </c>
      <c r="R34" s="25">
        <f>M34*2*365/1000000</f>
        <v>2.3103039999999999</v>
      </c>
      <c r="S34" s="72">
        <f>M34*13*365/1000000*0.33</f>
        <v>4.9556020800000002</v>
      </c>
      <c r="T34" s="72">
        <f>M34*18*365/1000000*0.33</f>
        <v>6.8616028800000004</v>
      </c>
      <c r="U34" s="72">
        <f>M34*17*365/1000000*0.33</f>
        <v>6.4804027200000016</v>
      </c>
      <c r="V34" s="72">
        <f>M34*2.5*365/1000000*0.33</f>
        <v>0.95300040000000008</v>
      </c>
      <c r="W34" s="72">
        <f>M34*0.5*365/1000000*0.33</f>
        <v>0.19060008000000001</v>
      </c>
      <c r="X34" s="72">
        <f>M34*19*365/1000000*0.33</f>
        <v>7.2428030400000001</v>
      </c>
      <c r="Y34" s="72">
        <f>M34*26*365/1000000*0.33</f>
        <v>9.9112041600000005</v>
      </c>
      <c r="Z34" s="72">
        <f>M34*18*365/1000000*0.33</f>
        <v>6.8616028800000004</v>
      </c>
      <c r="AA34" s="72">
        <f>M34*0*365/1000000*0.33</f>
        <v>0</v>
      </c>
      <c r="AB34" s="72">
        <f>M34*0*365/1000000*0.33</f>
        <v>0</v>
      </c>
      <c r="AC34" s="91">
        <f>N34-S34-X34</f>
        <v>57.110714879999989</v>
      </c>
      <c r="AD34" s="91">
        <f>O34-T34-Y34</f>
        <v>110.29391296</v>
      </c>
      <c r="AE34" s="91">
        <f>P34-U34-Z34</f>
        <v>67.518634399999996</v>
      </c>
      <c r="AF34" s="91">
        <f>Q34-V34-AA34</f>
        <v>10.598519599999999</v>
      </c>
      <c r="AG34" s="91">
        <f>R34-W34-AB34</f>
        <v>2.1197039200000001</v>
      </c>
      <c r="AH34" s="39">
        <f>(K34+H34)*60*365/1000000</f>
        <v>149.34048000000001</v>
      </c>
      <c r="AI34" s="77">
        <f>($K34+$H34)*110*365/1000000</f>
        <v>273.79088000000002</v>
      </c>
      <c r="AJ34" s="77">
        <f>($K34+$H34)*70*365/1000000</f>
        <v>174.23056</v>
      </c>
      <c r="AK34" s="77">
        <f>($K34+$H34)*10*365/1000000</f>
        <v>24.890080000000001</v>
      </c>
      <c r="AL34" s="26">
        <f>($K34+$H34)*2*365/1000000</f>
        <v>4.9780160000000002</v>
      </c>
      <c r="AM34" s="27">
        <v>0.9</v>
      </c>
      <c r="AN34" s="27">
        <v>0.75</v>
      </c>
      <c r="AO34" s="27">
        <v>0.9</v>
      </c>
      <c r="AP34" s="27">
        <v>0.1</v>
      </c>
      <c r="AQ34" s="27">
        <v>0.1</v>
      </c>
      <c r="AR34" s="26">
        <f>(S34+AH34)*AM34</f>
        <v>138.86647387200003</v>
      </c>
      <c r="AS34" s="26">
        <f>(T34+AI34)*AN34</f>
        <v>210.48936216000004</v>
      </c>
      <c r="AT34" s="26">
        <f>(U34+AJ34)*AO34</f>
        <v>162.63986644799999</v>
      </c>
      <c r="AU34" s="26">
        <f>(V34+AK34)*AP34</f>
        <v>2.5843080400000003</v>
      </c>
      <c r="AV34" s="26">
        <f>(W34+AL34)*AQ34</f>
        <v>0.51686160800000003</v>
      </c>
      <c r="AW34" s="26">
        <f>S34+AH34-AR34</f>
        <v>15.429608207999991</v>
      </c>
      <c r="AX34" s="26">
        <f>T34+AI34-AS34</f>
        <v>70.163120719999995</v>
      </c>
      <c r="AY34" s="26">
        <f>U34+AJ34-AT34</f>
        <v>18.071096272000005</v>
      </c>
      <c r="AZ34" s="26">
        <f>V34+AK34-AU34</f>
        <v>23.258772360000002</v>
      </c>
      <c r="BA34" s="40">
        <f>W34+AL34-AV34</f>
        <v>4.6517544720000004</v>
      </c>
      <c r="BB34" s="37">
        <f>N34+AH34</f>
        <v>218.64960000000002</v>
      </c>
      <c r="BC34" s="28">
        <f>O34+AI34</f>
        <v>400.85760000000005</v>
      </c>
      <c r="BD34" s="28">
        <f>P34+AJ34</f>
        <v>255.09120000000001</v>
      </c>
      <c r="BE34" s="29">
        <f>Q34+AK34</f>
        <v>36.441600000000001</v>
      </c>
      <c r="BF34" s="29">
        <f>R34+AL34</f>
        <v>7.2883200000000006</v>
      </c>
      <c r="BG34" s="28">
        <f>AC34+AW34</f>
        <v>72.54032308799998</v>
      </c>
      <c r="BH34" s="28">
        <f>AD34+AX34</f>
        <v>180.45703368</v>
      </c>
      <c r="BI34" s="28">
        <f>AE34+AY34</f>
        <v>85.589730672000002</v>
      </c>
      <c r="BJ34" s="29">
        <f>AF34+AZ34</f>
        <v>33.857291959999998</v>
      </c>
      <c r="BK34" s="29">
        <f>AG34+BA34</f>
        <v>6.7714583920000004</v>
      </c>
      <c r="BL34" s="28">
        <f>X34+AR34</f>
        <v>146.10927691200004</v>
      </c>
      <c r="BM34" s="28">
        <f>Y34+AS34</f>
        <v>220.40056632000005</v>
      </c>
      <c r="BN34" s="28">
        <f>Z34+AT34</f>
        <v>169.50146932799998</v>
      </c>
      <c r="BO34" s="29">
        <f>AA34+AU34</f>
        <v>2.5843080400000003</v>
      </c>
      <c r="BP34" s="30">
        <f>AB34+AV34</f>
        <v>0.51686160800000003</v>
      </c>
      <c r="BQ34" s="10">
        <v>1183705</v>
      </c>
      <c r="BR34" s="6">
        <v>584030</v>
      </c>
      <c r="BS34" t="s">
        <v>128</v>
      </c>
    </row>
    <row r="35" spans="1:71" x14ac:dyDescent="0.25">
      <c r="A35" s="18"/>
      <c r="B35" s="18">
        <v>26</v>
      </c>
      <c r="C35" s="19" t="s">
        <v>129</v>
      </c>
      <c r="D35" s="60">
        <v>7817</v>
      </c>
      <c r="E35" s="47" t="s">
        <v>138</v>
      </c>
      <c r="F35" s="13" t="s">
        <v>206</v>
      </c>
      <c r="G35" s="53">
        <v>9168</v>
      </c>
      <c r="H35" s="53">
        <v>181</v>
      </c>
      <c r="I35" s="50">
        <f>G35+H35</f>
        <v>9349</v>
      </c>
      <c r="J35" s="45">
        <v>0.66</v>
      </c>
      <c r="K35" s="65">
        <f>ROUND(G35*J35,2)</f>
        <v>6050.88</v>
      </c>
      <c r="L35" s="66">
        <f>1-J35</f>
        <v>0.33999999999999997</v>
      </c>
      <c r="M35" s="67">
        <f>G35-K35</f>
        <v>3117.12</v>
      </c>
      <c r="N35" s="43">
        <f>M35*60*365/1000000</f>
        <v>68.264927999999998</v>
      </c>
      <c r="O35" s="92">
        <f>M35*110*365/1000000</f>
        <v>125.152368</v>
      </c>
      <c r="P35" s="72">
        <f>M35*70*365/1000000</f>
        <v>79.642415999999997</v>
      </c>
      <c r="Q35" s="72">
        <f>M35*10*365/1000000</f>
        <v>11.377487999999998</v>
      </c>
      <c r="R35" s="25">
        <f>M35*2*365/1000000</f>
        <v>2.2754976</v>
      </c>
      <c r="S35" s="72">
        <f>M35*13*365/1000000*0.33</f>
        <v>4.8809423519999999</v>
      </c>
      <c r="T35" s="72">
        <f>M35*18*365/1000000*0.33</f>
        <v>6.758227872</v>
      </c>
      <c r="U35" s="72">
        <f>M35*17*365/1000000*0.33</f>
        <v>6.3827707680000003</v>
      </c>
      <c r="V35" s="72">
        <f>M35*2.5*365/1000000*0.33</f>
        <v>0.93864275999999991</v>
      </c>
      <c r="W35" s="72">
        <f>M35*0.5*365/1000000*0.33</f>
        <v>0.18772855200000002</v>
      </c>
      <c r="X35" s="72">
        <f>M35*19*365/1000000*0.33</f>
        <v>7.1336849759999996</v>
      </c>
      <c r="Y35" s="72">
        <f>M35*26*365/1000000*0.33</f>
        <v>9.7618847039999999</v>
      </c>
      <c r="Z35" s="72">
        <f>M35*18*365/1000000*0.33</f>
        <v>6.758227872</v>
      </c>
      <c r="AA35" s="72">
        <f>M35*0*365/1000000*0.33</f>
        <v>0</v>
      </c>
      <c r="AB35" s="72">
        <f>M35*0*365/1000000*0.33</f>
        <v>0</v>
      </c>
      <c r="AC35" s="91">
        <f>N35-S35-X35</f>
        <v>56.250300672000002</v>
      </c>
      <c r="AD35" s="91">
        <f>O35-T35-Y35</f>
        <v>108.63225542399999</v>
      </c>
      <c r="AE35" s="91">
        <f>P35-U35-Z35</f>
        <v>66.501417359999991</v>
      </c>
      <c r="AF35" s="91">
        <f>Q35-V35-AA35</f>
        <v>10.438845239999997</v>
      </c>
      <c r="AG35" s="91">
        <f>R35-W35-AB35</f>
        <v>2.0877690480000002</v>
      </c>
      <c r="AH35" s="39">
        <f>(K35+H35)*60*365/1000000</f>
        <v>136.478172</v>
      </c>
      <c r="AI35" s="77">
        <f>($K35+$H35)*110*365/1000000</f>
        <v>250.20998200000002</v>
      </c>
      <c r="AJ35" s="77">
        <f>($K35+$H35)*70*365/1000000</f>
        <v>159.22453400000001</v>
      </c>
      <c r="AK35" s="77">
        <f>($K35+$H35)*10*365/1000000</f>
        <v>22.746362000000001</v>
      </c>
      <c r="AL35" s="26">
        <f>($K35+$H35)*2*365/1000000</f>
        <v>4.5492724000000004</v>
      </c>
      <c r="AM35" s="27">
        <v>0.9</v>
      </c>
      <c r="AN35" s="27">
        <v>0.75</v>
      </c>
      <c r="AO35" s="27">
        <v>0.9</v>
      </c>
      <c r="AP35" s="27">
        <v>0.8</v>
      </c>
      <c r="AQ35" s="27">
        <v>0.8</v>
      </c>
      <c r="AR35" s="26">
        <f>(S35+AH35)*AM35</f>
        <v>127.22320291680001</v>
      </c>
      <c r="AS35" s="26">
        <f>(T35+AI35)*AN35</f>
        <v>192.72615740400005</v>
      </c>
      <c r="AT35" s="26">
        <f>(U35+AJ35)*AO35</f>
        <v>149.04657429120002</v>
      </c>
      <c r="AU35" s="26">
        <f>(V35+AK35)*AP35</f>
        <v>18.948003808000003</v>
      </c>
      <c r="AV35" s="26">
        <f>(W35+AL35)*AQ35</f>
        <v>3.7896007616000009</v>
      </c>
      <c r="AW35" s="26">
        <f>S35+AH35-AR35</f>
        <v>14.135911435200001</v>
      </c>
      <c r="AX35" s="26">
        <f>T35+AI35-AS35</f>
        <v>64.242052467999997</v>
      </c>
      <c r="AY35" s="26">
        <f>U35+AJ35-AT35</f>
        <v>16.560730476799989</v>
      </c>
      <c r="AZ35" s="26">
        <f>V35+AK35-AU35</f>
        <v>4.7370009519999989</v>
      </c>
      <c r="BA35" s="40">
        <f>W35+AL35-AV35</f>
        <v>0.94740019039999979</v>
      </c>
      <c r="BB35" s="37">
        <f>N35+AH35</f>
        <v>204.7431</v>
      </c>
      <c r="BC35" s="28">
        <f>O35+AI35</f>
        <v>375.36234999999999</v>
      </c>
      <c r="BD35" s="28">
        <f>P35+AJ35</f>
        <v>238.86695</v>
      </c>
      <c r="BE35" s="29">
        <f>Q35+AK35</f>
        <v>34.123849999999997</v>
      </c>
      <c r="BF35" s="29">
        <f>R35+AL35</f>
        <v>6.8247700000000009</v>
      </c>
      <c r="BG35" s="28">
        <f>AC35+AW35</f>
        <v>70.386212107200009</v>
      </c>
      <c r="BH35" s="28">
        <f>AD35+AX35</f>
        <v>172.87430789199999</v>
      </c>
      <c r="BI35" s="28">
        <f>AE35+AY35</f>
        <v>83.06214783679998</v>
      </c>
      <c r="BJ35" s="29">
        <f>AF35+AZ35</f>
        <v>15.175846191999996</v>
      </c>
      <c r="BK35" s="29">
        <f>AG35+BA35</f>
        <v>3.0351692384</v>
      </c>
      <c r="BL35" s="28">
        <f>X35+AR35</f>
        <v>134.35688789280002</v>
      </c>
      <c r="BM35" s="28">
        <f>Y35+AS35</f>
        <v>202.48804210800006</v>
      </c>
      <c r="BN35" s="28">
        <f>Z35+AT35</f>
        <v>155.80480216320001</v>
      </c>
      <c r="BO35" s="29">
        <f>AA35+AU35</f>
        <v>18.948003808000003</v>
      </c>
      <c r="BP35" s="30">
        <f>AB35+AV35</f>
        <v>3.7896007616000009</v>
      </c>
      <c r="BQ35" s="10">
        <v>0</v>
      </c>
      <c r="BR35" s="6">
        <v>0</v>
      </c>
      <c r="BS35" t="s">
        <v>3</v>
      </c>
    </row>
    <row r="36" spans="1:71" ht="45" x14ac:dyDescent="0.25">
      <c r="A36" s="18"/>
      <c r="B36" s="18">
        <v>27</v>
      </c>
      <c r="C36" s="19" t="s">
        <v>70</v>
      </c>
      <c r="D36" s="60">
        <v>7786</v>
      </c>
      <c r="E36" s="57" t="s">
        <v>139</v>
      </c>
      <c r="F36" s="14" t="s">
        <v>208</v>
      </c>
      <c r="G36" s="53">
        <v>9745</v>
      </c>
      <c r="H36" s="53">
        <v>500</v>
      </c>
      <c r="I36" s="50">
        <f>G36+H36</f>
        <v>10245</v>
      </c>
      <c r="J36" s="45">
        <v>0.78</v>
      </c>
      <c r="K36" s="65">
        <f>ROUND(G36*J36,2)</f>
        <v>7601.1</v>
      </c>
      <c r="L36" s="66">
        <f>1-J36</f>
        <v>0.21999999999999997</v>
      </c>
      <c r="M36" s="67">
        <f>G36-K36</f>
        <v>2143.8999999999996</v>
      </c>
      <c r="N36" s="43">
        <f>M36*60*365/1000000</f>
        <v>46.951409999999996</v>
      </c>
      <c r="O36" s="92">
        <f>M36*110*365/1000000</f>
        <v>86.077584999999985</v>
      </c>
      <c r="P36" s="72">
        <f>M36*70*365/1000000</f>
        <v>54.776644999999995</v>
      </c>
      <c r="Q36" s="72">
        <f>M36*10*365/1000000</f>
        <v>7.8252349999999993</v>
      </c>
      <c r="R36" s="25">
        <f>M36*2*365/1000000</f>
        <v>1.5650469999999999</v>
      </c>
      <c r="S36" s="72">
        <f>M36*13*365/1000000*0.33</f>
        <v>3.3570258149999992</v>
      </c>
      <c r="T36" s="72">
        <f>M36*18*365/1000000*0.33</f>
        <v>4.6481895899999994</v>
      </c>
      <c r="U36" s="72">
        <f>M36*17*365/1000000*0.33</f>
        <v>4.3899568349999996</v>
      </c>
      <c r="V36" s="72">
        <f>M36*2.5*365/1000000*0.33</f>
        <v>0.64558188750000001</v>
      </c>
      <c r="W36" s="72">
        <f>M36*0.5*365/1000000*0.33</f>
        <v>0.12911637749999999</v>
      </c>
      <c r="X36" s="72">
        <f>M36*19*365/1000000*0.33</f>
        <v>4.9064223449999993</v>
      </c>
      <c r="Y36" s="72">
        <f>M36*26*365/1000000*0.33</f>
        <v>6.7140516299999984</v>
      </c>
      <c r="Z36" s="72">
        <f>M36*18*365/1000000*0.33</f>
        <v>4.6481895899999994</v>
      </c>
      <c r="AA36" s="72">
        <f>M36*0*365/1000000*0.33</f>
        <v>0</v>
      </c>
      <c r="AB36" s="72">
        <f>M36*0*365/1000000*0.33</f>
        <v>0</v>
      </c>
      <c r="AC36" s="91">
        <f>N36-S36-X36</f>
        <v>38.68796184</v>
      </c>
      <c r="AD36" s="91">
        <f>O36-T36-Y36</f>
        <v>74.715343779999984</v>
      </c>
      <c r="AE36" s="91">
        <f>P36-U36-Z36</f>
        <v>45.738498574999994</v>
      </c>
      <c r="AF36" s="91">
        <f>Q36-V36-AA36</f>
        <v>7.1796531124999996</v>
      </c>
      <c r="AG36" s="91">
        <f>R36-W36-AB36</f>
        <v>1.4359306224999999</v>
      </c>
      <c r="AH36" s="39">
        <f>(K36+H36)*60*365/1000000</f>
        <v>177.41408999999999</v>
      </c>
      <c r="AI36" s="77">
        <f>($K36+$H36)*110*365/1000000</f>
        <v>325.259165</v>
      </c>
      <c r="AJ36" s="77">
        <f>($K36+$H36)*70*365/1000000</f>
        <v>206.98310499999999</v>
      </c>
      <c r="AK36" s="77">
        <f>($K36+$H36)*10*365/1000000</f>
        <v>29.569015</v>
      </c>
      <c r="AL36" s="26">
        <f>($K36+$H36)*2*365/1000000</f>
        <v>5.9138029999999997</v>
      </c>
      <c r="AM36" s="27">
        <v>0.9</v>
      </c>
      <c r="AN36" s="27">
        <v>0.75</v>
      </c>
      <c r="AO36" s="27">
        <v>0.9</v>
      </c>
      <c r="AP36" s="27">
        <v>0.1</v>
      </c>
      <c r="AQ36" s="27">
        <v>0.1</v>
      </c>
      <c r="AR36" s="26">
        <f>(S36+AH36)*AM36</f>
        <v>162.69400423349998</v>
      </c>
      <c r="AS36" s="26">
        <f>(T36+AI36)*AN36</f>
        <v>247.43051594249999</v>
      </c>
      <c r="AT36" s="26">
        <f>(U36+AJ36)*AO36</f>
        <v>190.2357556515</v>
      </c>
      <c r="AU36" s="26">
        <f>(V36+AK36)*AP36</f>
        <v>3.0214596887500003</v>
      </c>
      <c r="AV36" s="26">
        <f>(W36+AL36)*AQ36</f>
        <v>0.60429193775000001</v>
      </c>
      <c r="AW36" s="26">
        <f>S36+AH36-AR36</f>
        <v>18.077111581499992</v>
      </c>
      <c r="AX36" s="26">
        <f>T36+AI36-AS36</f>
        <v>82.476838647500017</v>
      </c>
      <c r="AY36" s="26">
        <f>U36+AJ36-AT36</f>
        <v>21.137306183499987</v>
      </c>
      <c r="AZ36" s="26">
        <f>V36+AK36-AU36</f>
        <v>27.193137198750001</v>
      </c>
      <c r="BA36" s="40">
        <f>W36+AL36-AV36</f>
        <v>5.4386274397499994</v>
      </c>
      <c r="BB36" s="37">
        <f>N36+AH36</f>
        <v>224.3655</v>
      </c>
      <c r="BC36" s="28">
        <f>O36+AI36</f>
        <v>411.33674999999999</v>
      </c>
      <c r="BD36" s="28">
        <f>P36+AJ36</f>
        <v>261.75975</v>
      </c>
      <c r="BE36" s="29">
        <f>Q36+AK36</f>
        <v>37.39425</v>
      </c>
      <c r="BF36" s="29">
        <f>R36+AL36</f>
        <v>7.4788499999999996</v>
      </c>
      <c r="BG36" s="28">
        <f>AC36+AW36</f>
        <v>56.765073421499991</v>
      </c>
      <c r="BH36" s="28">
        <f>AD36+AX36</f>
        <v>157.1921824275</v>
      </c>
      <c r="BI36" s="28">
        <f>AE36+AY36</f>
        <v>66.875804758499982</v>
      </c>
      <c r="BJ36" s="29">
        <f>AF36+AZ36</f>
        <v>34.37279031125</v>
      </c>
      <c r="BK36" s="29">
        <f>AG36+BA36</f>
        <v>6.8745580622499993</v>
      </c>
      <c r="BL36" s="28">
        <f>X36+AR36</f>
        <v>167.60042657849999</v>
      </c>
      <c r="BM36" s="28">
        <f>Y36+AS36</f>
        <v>254.14456757249999</v>
      </c>
      <c r="BN36" s="28">
        <f>Z36+AT36</f>
        <v>194.88394524149999</v>
      </c>
      <c r="BO36" s="29">
        <f>AA36+AU36</f>
        <v>3.0214596887500003</v>
      </c>
      <c r="BP36" s="30">
        <f>AB36+AV36</f>
        <v>0.60429193775000001</v>
      </c>
      <c r="BQ36" s="10">
        <f>173556+93358+100539+86071+58900+80091+55700+67250</f>
        <v>715465</v>
      </c>
      <c r="BR36" s="6">
        <f>63552+280840</f>
        <v>344392</v>
      </c>
      <c r="BS36" t="s">
        <v>140</v>
      </c>
    </row>
    <row r="37" spans="1:71" x14ac:dyDescent="0.25">
      <c r="A37" s="18"/>
      <c r="B37" s="18">
        <v>28</v>
      </c>
      <c r="C37" s="19" t="s">
        <v>67</v>
      </c>
      <c r="D37" s="60">
        <v>7667</v>
      </c>
      <c r="E37" s="47" t="s">
        <v>11</v>
      </c>
      <c r="F37" s="13" t="s">
        <v>206</v>
      </c>
      <c r="G37" s="53">
        <v>9099</v>
      </c>
      <c r="H37" s="54">
        <v>90</v>
      </c>
      <c r="I37" s="50">
        <f>G37+H37</f>
        <v>9189</v>
      </c>
      <c r="J37" s="45">
        <v>0.99</v>
      </c>
      <c r="K37" s="65">
        <f>ROUND(G37*J37,2)</f>
        <v>9008.01</v>
      </c>
      <c r="L37" s="66">
        <f>1-J37</f>
        <v>1.0000000000000009E-2</v>
      </c>
      <c r="M37" s="67">
        <f>G37-K37</f>
        <v>90.989999999999782</v>
      </c>
      <c r="N37" s="43">
        <f>M37*60*365/1000000</f>
        <v>1.992680999999995</v>
      </c>
      <c r="O37" s="92">
        <f>M37*110*365/1000000</f>
        <v>3.6532484999999912</v>
      </c>
      <c r="P37" s="72">
        <f>M37*70*365/1000000</f>
        <v>2.3247944999999945</v>
      </c>
      <c r="Q37" s="72">
        <f>M37*10*365/1000000</f>
        <v>0.33211349999999917</v>
      </c>
      <c r="R37" s="25">
        <f>M37*2*365/1000000</f>
        <v>6.6422699999999835E-2</v>
      </c>
      <c r="S37" s="72">
        <f>M37*13*365/1000000*0.33</f>
        <v>0.14247669149999964</v>
      </c>
      <c r="T37" s="72">
        <f>M37*18*365/1000000*0.33</f>
        <v>0.19727541899999951</v>
      </c>
      <c r="U37" s="72">
        <f>M37*17*365/1000000*0.33</f>
        <v>0.18631567349999956</v>
      </c>
      <c r="V37" s="72">
        <f>M37*2.5*365/1000000*0.33</f>
        <v>2.7399363749999933E-2</v>
      </c>
      <c r="W37" s="72">
        <f>M37*0.5*365/1000000*0.33</f>
        <v>5.4798727499999868E-3</v>
      </c>
      <c r="X37" s="72">
        <f>M37*19*365/1000000*0.33</f>
        <v>0.20823516449999951</v>
      </c>
      <c r="Y37" s="72">
        <f>M37*26*365/1000000*0.33</f>
        <v>0.28495338299999928</v>
      </c>
      <c r="Z37" s="72">
        <f>M37*18*365/1000000*0.33</f>
        <v>0.19727541899999951</v>
      </c>
      <c r="AA37" s="72">
        <f>M37*0*365/1000000*0.33</f>
        <v>0</v>
      </c>
      <c r="AB37" s="72">
        <f>M37*0*365/1000000*0.33</f>
        <v>0</v>
      </c>
      <c r="AC37" s="91">
        <f>N37-S37-X37</f>
        <v>1.6419691439999959</v>
      </c>
      <c r="AD37" s="91">
        <f>O37-T37-Y37</f>
        <v>3.1710196979999923</v>
      </c>
      <c r="AE37" s="91">
        <f>P37-U37-Z37</f>
        <v>1.9412034074999953</v>
      </c>
      <c r="AF37" s="91">
        <f>Q37-V37-AA37</f>
        <v>0.30471413624999921</v>
      </c>
      <c r="AG37" s="91">
        <f>R37-W37-AB37</f>
        <v>6.0942827249999845E-2</v>
      </c>
      <c r="AH37" s="39">
        <f>(K37+H37)*60*365/1000000</f>
        <v>199.246419</v>
      </c>
      <c r="AI37" s="77">
        <f>($K37+$H37)*110*365/1000000</f>
        <v>365.2851015</v>
      </c>
      <c r="AJ37" s="77">
        <f>($K37+$H37)*70*365/1000000</f>
        <v>232.45415550000004</v>
      </c>
      <c r="AK37" s="77">
        <f>($K37+$H37)*10*365/1000000</f>
        <v>33.207736500000003</v>
      </c>
      <c r="AL37" s="26">
        <f>($K37+$H37)*2*365/1000000</f>
        <v>6.6415473</v>
      </c>
      <c r="AM37" s="27">
        <v>0.9</v>
      </c>
      <c r="AN37" s="27">
        <v>0.75</v>
      </c>
      <c r="AO37" s="27">
        <v>0.9</v>
      </c>
      <c r="AP37" s="27">
        <v>0.1</v>
      </c>
      <c r="AQ37" s="27">
        <v>0.1</v>
      </c>
      <c r="AR37" s="26">
        <f>(S37+AH37)*AM37</f>
        <v>179.45000612235</v>
      </c>
      <c r="AS37" s="26">
        <f>(T37+AI37)*AN37</f>
        <v>274.11178268924999</v>
      </c>
      <c r="AT37" s="26">
        <f>(U37+AJ37)*AO37</f>
        <v>209.37642405615003</v>
      </c>
      <c r="AU37" s="26">
        <f>(V37+AK37)*AP37</f>
        <v>3.3235135863750003</v>
      </c>
      <c r="AV37" s="26">
        <f>(W37+AL37)*AQ37</f>
        <v>0.66470271727499997</v>
      </c>
      <c r="AW37" s="26">
        <f>S37+AH37-AR37</f>
        <v>19.938889569150007</v>
      </c>
      <c r="AX37" s="26">
        <f>T37+AI37-AS37</f>
        <v>91.370594229749997</v>
      </c>
      <c r="AY37" s="26">
        <f>U37+AJ37-AT37</f>
        <v>23.264047117350003</v>
      </c>
      <c r="AZ37" s="26">
        <f>V37+AK37-AU37</f>
        <v>29.911622277375002</v>
      </c>
      <c r="BA37" s="40">
        <f>W37+AL37-AV37</f>
        <v>5.9823244554750001</v>
      </c>
      <c r="BB37" s="37">
        <f>N37+AH37</f>
        <v>201.23910000000001</v>
      </c>
      <c r="BC37" s="28">
        <f>O37+AI37</f>
        <v>368.93835000000001</v>
      </c>
      <c r="BD37" s="28">
        <f>P37+AJ37</f>
        <v>234.77895000000004</v>
      </c>
      <c r="BE37" s="29">
        <f>Q37+AK37</f>
        <v>33.539850000000001</v>
      </c>
      <c r="BF37" s="29">
        <f>R37+AL37</f>
        <v>6.7079699999999995</v>
      </c>
      <c r="BG37" s="28">
        <f>AC37+AW37</f>
        <v>21.580858713150004</v>
      </c>
      <c r="BH37" s="28">
        <f>AD37+AX37</f>
        <v>94.541613927749992</v>
      </c>
      <c r="BI37" s="28">
        <f>AE37+AY37</f>
        <v>25.205250524849998</v>
      </c>
      <c r="BJ37" s="29">
        <f>AF37+AZ37</f>
        <v>30.216336413625001</v>
      </c>
      <c r="BK37" s="29">
        <f>AG37+BA37</f>
        <v>6.043267282725</v>
      </c>
      <c r="BL37" s="28">
        <f>X37+AR37</f>
        <v>179.65824128685</v>
      </c>
      <c r="BM37" s="28">
        <f>Y37+AS37</f>
        <v>274.39673607225001</v>
      </c>
      <c r="BN37" s="28">
        <f>Z37+AT37</f>
        <v>209.57369947515002</v>
      </c>
      <c r="BO37" s="29">
        <f>AA37+AU37</f>
        <v>3.3235135863750003</v>
      </c>
      <c r="BP37" s="30">
        <f>AB37+AV37</f>
        <v>0.66470271727499997</v>
      </c>
      <c r="BQ37" s="10">
        <v>0</v>
      </c>
      <c r="BR37" s="6">
        <v>0</v>
      </c>
      <c r="BS37" t="s">
        <v>3</v>
      </c>
    </row>
    <row r="38" spans="1:71" x14ac:dyDescent="0.25">
      <c r="A38" s="18"/>
      <c r="B38" s="18">
        <v>29</v>
      </c>
      <c r="C38" s="19" t="s">
        <v>68</v>
      </c>
      <c r="D38" s="60">
        <v>7589</v>
      </c>
      <c r="E38" s="47" t="s">
        <v>1</v>
      </c>
      <c r="F38" s="13" t="s">
        <v>208</v>
      </c>
      <c r="G38" s="53">
        <v>8538</v>
      </c>
      <c r="H38" s="53">
        <v>2270</v>
      </c>
      <c r="I38" s="50">
        <f>G38+H38</f>
        <v>10808</v>
      </c>
      <c r="J38" s="45">
        <v>0.91</v>
      </c>
      <c r="K38" s="65">
        <f>ROUND(G38*J38,2)</f>
        <v>7769.58</v>
      </c>
      <c r="L38" s="66">
        <f>1-J38</f>
        <v>8.9999999999999969E-2</v>
      </c>
      <c r="M38" s="67">
        <f>G38-K38</f>
        <v>768.42000000000007</v>
      </c>
      <c r="N38" s="43">
        <f>M38*60*365/1000000</f>
        <v>16.828398</v>
      </c>
      <c r="O38" s="92">
        <f>M38*110*365/1000000</f>
        <v>30.852063000000005</v>
      </c>
      <c r="P38" s="72">
        <f>M38*70*365/1000000</f>
        <v>19.633131000000002</v>
      </c>
      <c r="Q38" s="72">
        <f>M38*10*365/1000000</f>
        <v>2.8047330000000006</v>
      </c>
      <c r="R38" s="25">
        <f>M38*2*365/1000000</f>
        <v>0.56094660000000007</v>
      </c>
      <c r="S38" s="72">
        <f>M38*13*365/1000000*0.33</f>
        <v>1.2032304570000003</v>
      </c>
      <c r="T38" s="72">
        <f>M38*18*365/1000000*0.33</f>
        <v>1.6660114020000001</v>
      </c>
      <c r="U38" s="72">
        <f>M38*17*365/1000000*0.33</f>
        <v>1.5734552130000001</v>
      </c>
      <c r="V38" s="72">
        <f>M38*2.5*365/1000000*0.33</f>
        <v>0.23139047250000006</v>
      </c>
      <c r="W38" s="72">
        <f>M38*0.5*365/1000000*0.33</f>
        <v>4.6278094500000005E-2</v>
      </c>
      <c r="X38" s="72">
        <f>M38*19*365/1000000*0.33</f>
        <v>1.7585675910000003</v>
      </c>
      <c r="Y38" s="72">
        <f>M38*26*365/1000000*0.33</f>
        <v>2.4064609140000006</v>
      </c>
      <c r="Z38" s="72">
        <f>M38*18*365/1000000*0.33</f>
        <v>1.6660114020000001</v>
      </c>
      <c r="AA38" s="72">
        <f>M38*0*365/1000000*0.33</f>
        <v>0</v>
      </c>
      <c r="AB38" s="72">
        <f>M38*0*365/1000000*0.33</f>
        <v>0</v>
      </c>
      <c r="AC38" s="91">
        <f>N38-S38-X38</f>
        <v>13.866599952</v>
      </c>
      <c r="AD38" s="91">
        <f>O38-T38-Y38</f>
        <v>26.779590684000006</v>
      </c>
      <c r="AE38" s="91">
        <f>P38-U38-Z38</f>
        <v>16.393664385000005</v>
      </c>
      <c r="AF38" s="91">
        <f>Q38-V38-AA38</f>
        <v>2.5733425275000004</v>
      </c>
      <c r="AG38" s="91">
        <f>R38-W38-AB38</f>
        <v>0.5146685055000001</v>
      </c>
      <c r="AH38" s="39">
        <f>(K38+H38)*60*365/1000000</f>
        <v>219.86680200000004</v>
      </c>
      <c r="AI38" s="77">
        <f>($K38+$H38)*110*365/1000000</f>
        <v>403.08913699999999</v>
      </c>
      <c r="AJ38" s="77">
        <f>($K38+$H38)*70*365/1000000</f>
        <v>256.51126900000003</v>
      </c>
      <c r="AK38" s="77">
        <f>($K38+$H38)*10*365/1000000</f>
        <v>36.644466999999999</v>
      </c>
      <c r="AL38" s="26">
        <f>($K38+$H38)*2*365/1000000</f>
        <v>7.3288934000000001</v>
      </c>
      <c r="AM38" s="27">
        <v>0.9</v>
      </c>
      <c r="AN38" s="27">
        <v>0.75</v>
      </c>
      <c r="AO38" s="27">
        <v>0.9</v>
      </c>
      <c r="AP38" s="27">
        <v>0.08</v>
      </c>
      <c r="AQ38" s="27">
        <v>0.8</v>
      </c>
      <c r="AR38" s="26">
        <f>(S38+AH38)*AM38</f>
        <v>198.96302921130004</v>
      </c>
      <c r="AS38" s="26">
        <f>(T38+AI38)*AN38</f>
        <v>303.56636130149997</v>
      </c>
      <c r="AT38" s="26">
        <f>(U38+AJ38)*AO38</f>
        <v>232.27625179170002</v>
      </c>
      <c r="AU38" s="26">
        <f>(V38+AK38)*AP38</f>
        <v>2.9500685978000001</v>
      </c>
      <c r="AV38" s="26">
        <f>(W38+AL38)*AQ38</f>
        <v>5.9001371956000002</v>
      </c>
      <c r="AW38" s="26">
        <f>S38+AH38-AR38</f>
        <v>22.107003245699985</v>
      </c>
      <c r="AX38" s="26">
        <f>T38+AI38-AS38</f>
        <v>101.18878710050001</v>
      </c>
      <c r="AY38" s="26">
        <f>U38+AJ38-AT38</f>
        <v>25.808472421299996</v>
      </c>
      <c r="AZ38" s="26">
        <f>V38+AK38-AU38</f>
        <v>33.925788874700004</v>
      </c>
      <c r="BA38" s="40">
        <f>W38+AL38-AV38</f>
        <v>1.4750342988999998</v>
      </c>
      <c r="BB38" s="37">
        <f>N38+AH38</f>
        <v>236.69520000000003</v>
      </c>
      <c r="BC38" s="28">
        <f>O38+AI38</f>
        <v>433.94119999999998</v>
      </c>
      <c r="BD38" s="28">
        <f>P38+AJ38</f>
        <v>276.14440000000002</v>
      </c>
      <c r="BE38" s="29">
        <f>Q38+AK38</f>
        <v>39.449199999999998</v>
      </c>
      <c r="BF38" s="29">
        <f>R38+AL38</f>
        <v>7.8898400000000004</v>
      </c>
      <c r="BG38" s="28">
        <f>AC38+AW38</f>
        <v>35.973603197699987</v>
      </c>
      <c r="BH38" s="28">
        <f>AD38+AX38</f>
        <v>127.96837778450001</v>
      </c>
      <c r="BI38" s="28">
        <f>AE38+AY38</f>
        <v>42.202136806300004</v>
      </c>
      <c r="BJ38" s="29">
        <f>AF38+AZ38</f>
        <v>36.499131402200007</v>
      </c>
      <c r="BK38" s="29">
        <f>AG38+BA38</f>
        <v>1.9897028043999998</v>
      </c>
      <c r="BL38" s="28">
        <f>X38+AR38</f>
        <v>200.72159680230004</v>
      </c>
      <c r="BM38" s="28">
        <f>Y38+AS38</f>
        <v>305.97282221549995</v>
      </c>
      <c r="BN38" s="28">
        <f>Z38+AT38</f>
        <v>233.94226319370003</v>
      </c>
      <c r="BO38" s="29">
        <f>AA38+AU38</f>
        <v>2.9500685978000001</v>
      </c>
      <c r="BP38" s="30">
        <f>AB38+AV38</f>
        <v>5.9001371956000002</v>
      </c>
      <c r="BQ38" s="10">
        <v>0</v>
      </c>
      <c r="BR38" s="6">
        <f>323320+61950+3040+15340+44840</f>
        <v>448490</v>
      </c>
      <c r="BS38" t="s">
        <v>128</v>
      </c>
    </row>
    <row r="39" spans="1:71" x14ac:dyDescent="0.25">
      <c r="A39" s="18"/>
      <c r="B39" s="18">
        <v>30</v>
      </c>
      <c r="C39" s="19" t="s">
        <v>69</v>
      </c>
      <c r="D39" s="60">
        <v>7079</v>
      </c>
      <c r="E39" s="47" t="s">
        <v>141</v>
      </c>
      <c r="F39" s="13" t="s">
        <v>206</v>
      </c>
      <c r="G39" s="53">
        <v>8872</v>
      </c>
      <c r="H39" s="53">
        <v>7775</v>
      </c>
      <c r="I39" s="50">
        <f>G39+H39</f>
        <v>16647</v>
      </c>
      <c r="J39" s="45">
        <v>0.89</v>
      </c>
      <c r="K39" s="65">
        <f>ROUND(G39*J39,2)</f>
        <v>7896.08</v>
      </c>
      <c r="L39" s="66">
        <f>1-J39</f>
        <v>0.10999999999999999</v>
      </c>
      <c r="M39" s="67">
        <f>G39-K39</f>
        <v>975.92000000000007</v>
      </c>
      <c r="N39" s="43">
        <f>M39*60*365/1000000</f>
        <v>21.372648000000002</v>
      </c>
      <c r="O39" s="92">
        <f>M39*110*365/1000000</f>
        <v>39.183188000000008</v>
      </c>
      <c r="P39" s="72">
        <f>M39*70*365/1000000</f>
        <v>24.934756000000004</v>
      </c>
      <c r="Q39" s="72">
        <f>M39*10*365/1000000</f>
        <v>3.5621080000000003</v>
      </c>
      <c r="R39" s="25">
        <f>M39*2*365/1000000</f>
        <v>0.7124216000000001</v>
      </c>
      <c r="S39" s="72">
        <f>M39*13*365/1000000*0.33</f>
        <v>1.5281443320000003</v>
      </c>
      <c r="T39" s="72">
        <f>M39*18*365/1000000*0.33</f>
        <v>2.1158921520000002</v>
      </c>
      <c r="U39" s="72">
        <f>M39*17*365/1000000*0.33</f>
        <v>1.9983425879999999</v>
      </c>
      <c r="V39" s="72">
        <f>M39*2.5*365/1000000*0.33</f>
        <v>0.29387391000000002</v>
      </c>
      <c r="W39" s="72">
        <f>M39*0.5*365/1000000*0.33</f>
        <v>5.8774782000000012E-2</v>
      </c>
      <c r="X39" s="72">
        <f>M39*19*365/1000000*0.33</f>
        <v>2.2334417160000006</v>
      </c>
      <c r="Y39" s="72">
        <f>M39*26*365/1000000*0.33</f>
        <v>3.0562886640000007</v>
      </c>
      <c r="Z39" s="72">
        <f>M39*18*365/1000000*0.33</f>
        <v>2.1158921520000002</v>
      </c>
      <c r="AA39" s="72">
        <f>M39*0*365/1000000*0.33</f>
        <v>0</v>
      </c>
      <c r="AB39" s="72">
        <f>M39*0*365/1000000*0.33</f>
        <v>0</v>
      </c>
      <c r="AC39" s="91">
        <f>N39-S39-X39</f>
        <v>17.611061952</v>
      </c>
      <c r="AD39" s="91">
        <f>O39-T39-Y39</f>
        <v>34.011007184000007</v>
      </c>
      <c r="AE39" s="91">
        <f>P39-U39-Z39</f>
        <v>20.820521260000003</v>
      </c>
      <c r="AF39" s="91">
        <f>Q39-V39-AA39</f>
        <v>3.2682340900000004</v>
      </c>
      <c r="AG39" s="91">
        <f>R39-W39-AB39</f>
        <v>0.65364681800000013</v>
      </c>
      <c r="AH39" s="39">
        <f>(K39+H39)*60*365/1000000</f>
        <v>343.19665199999997</v>
      </c>
      <c r="AI39" s="77">
        <f>($K39+$H39)*110*365/1000000</f>
        <v>629.19386199999997</v>
      </c>
      <c r="AJ39" s="77">
        <f>($K39+$H39)*70*365/1000000</f>
        <v>400.39609400000006</v>
      </c>
      <c r="AK39" s="77">
        <f>($K39+$H39)*10*365/1000000</f>
        <v>57.199441999999991</v>
      </c>
      <c r="AL39" s="26">
        <f>($K39+$H39)*2*365/1000000</f>
        <v>11.439888400000001</v>
      </c>
      <c r="AM39" s="27">
        <v>0.9</v>
      </c>
      <c r="AN39" s="27">
        <v>0.75</v>
      </c>
      <c r="AO39" s="27">
        <v>0.9</v>
      </c>
      <c r="AP39" s="27">
        <v>0.1</v>
      </c>
      <c r="AQ39" s="27">
        <v>0.1</v>
      </c>
      <c r="AR39" s="26">
        <f>(S39+AH39)*AM39</f>
        <v>310.25231669879997</v>
      </c>
      <c r="AS39" s="26">
        <f>(T39+AI39)*AN39</f>
        <v>473.48231561399996</v>
      </c>
      <c r="AT39" s="26">
        <f>(U39+AJ39)*AO39</f>
        <v>362.15499292920009</v>
      </c>
      <c r="AU39" s="26">
        <f>(V39+AK39)*AP39</f>
        <v>5.7493315909999998</v>
      </c>
      <c r="AV39" s="26">
        <f>(W39+AL39)*AQ39</f>
        <v>1.1498663182000002</v>
      </c>
      <c r="AW39" s="26">
        <f>S39+AH39-AR39</f>
        <v>34.47247963320001</v>
      </c>
      <c r="AX39" s="26">
        <f>T39+AI39-AS39</f>
        <v>157.82743853800002</v>
      </c>
      <c r="AY39" s="26">
        <f>U39+AJ39-AT39</f>
        <v>40.239443658799985</v>
      </c>
      <c r="AZ39" s="26">
        <f>V39+AK39-AU39</f>
        <v>51.743984318999992</v>
      </c>
      <c r="BA39" s="40">
        <f>W39+AL39-AV39</f>
        <v>10.348796863800001</v>
      </c>
      <c r="BB39" s="37">
        <f>N39+AH39</f>
        <v>364.5693</v>
      </c>
      <c r="BC39" s="28">
        <f>O39+AI39</f>
        <v>668.37704999999994</v>
      </c>
      <c r="BD39" s="28">
        <f>P39+AJ39</f>
        <v>425.33085000000005</v>
      </c>
      <c r="BE39" s="29">
        <f>Q39+AK39</f>
        <v>60.761549999999993</v>
      </c>
      <c r="BF39" s="29">
        <f>R39+AL39</f>
        <v>12.152310000000002</v>
      </c>
      <c r="BG39" s="28">
        <f>AC39+AW39</f>
        <v>52.08354158520001</v>
      </c>
      <c r="BH39" s="28">
        <f>AD39+AX39</f>
        <v>191.83844572200002</v>
      </c>
      <c r="BI39" s="28">
        <f>AE39+AY39</f>
        <v>61.059964918799992</v>
      </c>
      <c r="BJ39" s="29">
        <f>AF39+AZ39</f>
        <v>55.012218408999992</v>
      </c>
      <c r="BK39" s="29">
        <f>AG39+BA39</f>
        <v>11.002443681800001</v>
      </c>
      <c r="BL39" s="28">
        <f>X39+AR39</f>
        <v>312.48575841479999</v>
      </c>
      <c r="BM39" s="28">
        <f>Y39+AS39</f>
        <v>476.53860427799998</v>
      </c>
      <c r="BN39" s="28">
        <f>Z39+AT39</f>
        <v>364.27088508120011</v>
      </c>
      <c r="BO39" s="29">
        <f>AA39+AU39</f>
        <v>5.7493315909999998</v>
      </c>
      <c r="BP39" s="30">
        <f>AB39+AV39</f>
        <v>1.1498663182000002</v>
      </c>
      <c r="BQ39" s="10">
        <v>0</v>
      </c>
      <c r="BR39" s="6">
        <v>0</v>
      </c>
      <c r="BS39" t="s">
        <v>3</v>
      </c>
    </row>
    <row r="40" spans="1:71" x14ac:dyDescent="0.25">
      <c r="A40" s="18"/>
      <c r="B40" s="18">
        <v>31</v>
      </c>
      <c r="C40" s="19" t="s">
        <v>71</v>
      </c>
      <c r="D40" s="60">
        <v>6979</v>
      </c>
      <c r="E40" s="47" t="s">
        <v>142</v>
      </c>
      <c r="F40" s="13" t="s">
        <v>206</v>
      </c>
      <c r="G40" s="53">
        <v>8806</v>
      </c>
      <c r="H40" s="53">
        <v>0</v>
      </c>
      <c r="I40" s="50">
        <f>G40+H40</f>
        <v>8806</v>
      </c>
      <c r="J40" s="45">
        <v>0.83</v>
      </c>
      <c r="K40" s="65">
        <f>ROUND(G40*J40,2)</f>
        <v>7308.98</v>
      </c>
      <c r="L40" s="66">
        <f>1-J40</f>
        <v>0.17000000000000004</v>
      </c>
      <c r="M40" s="67">
        <f>G40-K40</f>
        <v>1497.0200000000004</v>
      </c>
      <c r="N40" s="43">
        <f>M40*60*365/1000000</f>
        <v>32.784738000000011</v>
      </c>
      <c r="O40" s="92">
        <f>M40*110*365/1000000</f>
        <v>60.105353000000015</v>
      </c>
      <c r="P40" s="72">
        <f>M40*70*365/1000000</f>
        <v>38.248861000000005</v>
      </c>
      <c r="Q40" s="72">
        <f>M40*10*365/1000000</f>
        <v>5.4641230000000016</v>
      </c>
      <c r="R40" s="25">
        <f>M40*2*365/1000000</f>
        <v>1.0928246000000004</v>
      </c>
      <c r="S40" s="72">
        <f>M40*13*365/1000000*0.33</f>
        <v>2.3441087670000007</v>
      </c>
      <c r="T40" s="72">
        <f>M40*18*365/1000000*0.33</f>
        <v>3.2456890620000012</v>
      </c>
      <c r="U40" s="72">
        <f>M40*17*365/1000000*0.33</f>
        <v>3.0653730030000013</v>
      </c>
      <c r="V40" s="72">
        <f>M40*2.5*365/1000000*0.33</f>
        <v>0.45079014750000018</v>
      </c>
      <c r="W40" s="72">
        <f>M40*0.5*365/1000000*0.33</f>
        <v>9.0158029500000028E-2</v>
      </c>
      <c r="X40" s="72">
        <f>M40*19*365/1000000*0.33</f>
        <v>3.4260051210000011</v>
      </c>
      <c r="Y40" s="72">
        <f>M40*26*365/1000000*0.33</f>
        <v>4.6882175340000014</v>
      </c>
      <c r="Z40" s="72">
        <f>M40*18*365/1000000*0.33</f>
        <v>3.2456890620000012</v>
      </c>
      <c r="AA40" s="72">
        <f>M40*0*365/1000000*0.33</f>
        <v>0</v>
      </c>
      <c r="AB40" s="72">
        <f>M40*0*365/1000000*0.33</f>
        <v>0</v>
      </c>
      <c r="AC40" s="91">
        <f>N40-S40-X40</f>
        <v>27.014624112000007</v>
      </c>
      <c r="AD40" s="91">
        <f>O40-T40-Y40</f>
        <v>52.171446404000008</v>
      </c>
      <c r="AE40" s="91">
        <f>P40-U40-Z40</f>
        <v>31.937798935</v>
      </c>
      <c r="AF40" s="91">
        <f>Q40-V40-AA40</f>
        <v>5.0133328525000014</v>
      </c>
      <c r="AG40" s="91">
        <f>R40-W40-AB40</f>
        <v>1.0026665705000004</v>
      </c>
      <c r="AH40" s="39">
        <f>(K40+H40)*60*365/1000000</f>
        <v>160.06666200000001</v>
      </c>
      <c r="AI40" s="77">
        <f>($K40+$H40)*110*365/1000000</f>
        <v>293.45554700000002</v>
      </c>
      <c r="AJ40" s="77">
        <f>($K40+$H40)*70*365/1000000</f>
        <v>186.744439</v>
      </c>
      <c r="AK40" s="77">
        <f>($K40+$H40)*10*365/1000000</f>
        <v>26.677776999999995</v>
      </c>
      <c r="AL40" s="26">
        <f>($K40+$H40)*2*365/1000000</f>
        <v>5.3355553999999996</v>
      </c>
      <c r="AM40" s="27">
        <v>0.9</v>
      </c>
      <c r="AN40" s="27">
        <v>0.75</v>
      </c>
      <c r="AO40" s="27">
        <v>0.9</v>
      </c>
      <c r="AP40" s="27">
        <v>0.1</v>
      </c>
      <c r="AQ40" s="27">
        <v>0.1</v>
      </c>
      <c r="AR40" s="26">
        <f>(S40+AH40)*AM40</f>
        <v>146.16969369029999</v>
      </c>
      <c r="AS40" s="26">
        <f>(T40+AI40)*AN40</f>
        <v>222.52592704650002</v>
      </c>
      <c r="AT40" s="26">
        <f>(U40+AJ40)*AO40</f>
        <v>170.8288308027</v>
      </c>
      <c r="AU40" s="26">
        <f>(V40+AK40)*AP40</f>
        <v>2.71285671475</v>
      </c>
      <c r="AV40" s="26">
        <f>(W40+AL40)*AQ40</f>
        <v>0.54257134294999998</v>
      </c>
      <c r="AW40" s="26">
        <f>S40+AH40-AR40</f>
        <v>16.241077076700009</v>
      </c>
      <c r="AX40" s="26">
        <f>T40+AI40-AS40</f>
        <v>74.175309015500005</v>
      </c>
      <c r="AY40" s="26">
        <f>U40+AJ40-AT40</f>
        <v>18.980981200299993</v>
      </c>
      <c r="AZ40" s="26">
        <f>V40+AK40-AU40</f>
        <v>24.415710432749997</v>
      </c>
      <c r="BA40" s="40">
        <f>W40+AL40-AV40</f>
        <v>4.8831420865500004</v>
      </c>
      <c r="BB40" s="37">
        <f>N40+AH40</f>
        <v>192.85140000000001</v>
      </c>
      <c r="BC40" s="28">
        <f>O40+AI40</f>
        <v>353.56090000000006</v>
      </c>
      <c r="BD40" s="28">
        <f>P40+AJ40</f>
        <v>224.9933</v>
      </c>
      <c r="BE40" s="29">
        <f>Q40+AK40</f>
        <v>32.1419</v>
      </c>
      <c r="BF40" s="29">
        <f>R40+AL40</f>
        <v>6.4283799999999998</v>
      </c>
      <c r="BG40" s="28">
        <f>AC40+AW40</f>
        <v>43.255701188700016</v>
      </c>
      <c r="BH40" s="28">
        <f>AD40+AX40</f>
        <v>126.34675541950001</v>
      </c>
      <c r="BI40" s="28">
        <f>AE40+AY40</f>
        <v>50.918780135299997</v>
      </c>
      <c r="BJ40" s="29">
        <f>AF40+AZ40</f>
        <v>29.429043285249996</v>
      </c>
      <c r="BK40" s="29">
        <f>AG40+BA40</f>
        <v>5.885808657050001</v>
      </c>
      <c r="BL40" s="28">
        <f>X40+AR40</f>
        <v>149.5956988113</v>
      </c>
      <c r="BM40" s="28">
        <f>Y40+AS40</f>
        <v>227.2141445805</v>
      </c>
      <c r="BN40" s="28">
        <f>Z40+AT40</f>
        <v>174.07451986469999</v>
      </c>
      <c r="BO40" s="29">
        <f>AA40+AU40</f>
        <v>2.71285671475</v>
      </c>
      <c r="BP40" s="30">
        <f>AB40+AV40</f>
        <v>0.54257134294999998</v>
      </c>
      <c r="BQ40" s="10">
        <f>661100*0.6+26400+33000</f>
        <v>456060</v>
      </c>
      <c r="BR40" s="6" t="s">
        <v>6</v>
      </c>
      <c r="BS40" t="s">
        <v>132</v>
      </c>
    </row>
    <row r="41" spans="1:71" x14ac:dyDescent="0.25">
      <c r="A41" s="18"/>
      <c r="B41" s="18">
        <v>32</v>
      </c>
      <c r="C41" s="19" t="s">
        <v>72</v>
      </c>
      <c r="D41" s="60">
        <v>6110</v>
      </c>
      <c r="E41" s="47" t="s">
        <v>143</v>
      </c>
      <c r="F41" s="13" t="s">
        <v>206</v>
      </c>
      <c r="G41" s="53">
        <v>4970</v>
      </c>
      <c r="H41" s="53">
        <v>2421</v>
      </c>
      <c r="I41" s="50">
        <f>G41+H41</f>
        <v>7391</v>
      </c>
      <c r="J41" s="45">
        <v>0.7</v>
      </c>
      <c r="K41" s="65">
        <f>ROUND(G41*J41,2)</f>
        <v>3479</v>
      </c>
      <c r="L41" s="66">
        <f>1-J41</f>
        <v>0.30000000000000004</v>
      </c>
      <c r="M41" s="67">
        <f>G41-K41</f>
        <v>1491</v>
      </c>
      <c r="N41" s="43">
        <f>M41*60*365/1000000</f>
        <v>32.652900000000002</v>
      </c>
      <c r="O41" s="92">
        <f>M41*110*365/1000000</f>
        <v>59.86365</v>
      </c>
      <c r="P41" s="72">
        <f>M41*70*365/1000000</f>
        <v>38.095050000000001</v>
      </c>
      <c r="Q41" s="72">
        <f>M41*10*365/1000000</f>
        <v>5.4421499999999998</v>
      </c>
      <c r="R41" s="25">
        <f>M41*2*365/1000000</f>
        <v>1.08843</v>
      </c>
      <c r="S41" s="72">
        <f>M41*13*365/1000000*0.33</f>
        <v>2.33468235</v>
      </c>
      <c r="T41" s="72">
        <f>M41*18*365/1000000*0.33</f>
        <v>3.2326371000000003</v>
      </c>
      <c r="U41" s="72">
        <f>M41*17*365/1000000*0.33</f>
        <v>3.0530461500000001</v>
      </c>
      <c r="V41" s="72">
        <f>M41*2.5*365/1000000*0.33</f>
        <v>0.44897737500000001</v>
      </c>
      <c r="W41" s="72">
        <f>M41*0.5*365/1000000*0.33</f>
        <v>8.9795475E-2</v>
      </c>
      <c r="X41" s="72">
        <f>M41*19*365/1000000*0.33</f>
        <v>3.4122280500000004</v>
      </c>
      <c r="Y41" s="72">
        <f>M41*26*365/1000000*0.33</f>
        <v>4.6693647</v>
      </c>
      <c r="Z41" s="72">
        <f>M41*18*365/1000000*0.33</f>
        <v>3.2326371000000003</v>
      </c>
      <c r="AA41" s="72">
        <f>M41*0*365/1000000*0.33</f>
        <v>0</v>
      </c>
      <c r="AB41" s="72">
        <f>M41*0*365/1000000*0.33</f>
        <v>0</v>
      </c>
      <c r="AC41" s="91">
        <f>N41-S41-X41</f>
        <v>26.905989600000002</v>
      </c>
      <c r="AD41" s="91">
        <f>O41-T41-Y41</f>
        <v>51.961648199999999</v>
      </c>
      <c r="AE41" s="91">
        <f>P41-U41-Z41</f>
        <v>31.809366749999999</v>
      </c>
      <c r="AF41" s="91">
        <f>Q41-V41-AA41</f>
        <v>4.9931726249999997</v>
      </c>
      <c r="AG41" s="91">
        <f>R41-W41-AB41</f>
        <v>0.99863452500000005</v>
      </c>
      <c r="AH41" s="39">
        <f>(K41+H41)*60*365/1000000</f>
        <v>129.21</v>
      </c>
      <c r="AI41" s="77">
        <f>($K41+$H41)*110*365/1000000</f>
        <v>236.88499999999999</v>
      </c>
      <c r="AJ41" s="77">
        <f>($K41+$H41)*70*365/1000000</f>
        <v>150.745</v>
      </c>
      <c r="AK41" s="77">
        <f>($K41+$H41)*10*365/1000000</f>
        <v>21.535</v>
      </c>
      <c r="AL41" s="26">
        <f>($K41+$H41)*2*365/1000000</f>
        <v>4.3070000000000004</v>
      </c>
      <c r="AM41" s="27">
        <v>0.9</v>
      </c>
      <c r="AN41" s="27">
        <v>0.75</v>
      </c>
      <c r="AO41" s="27">
        <v>0.9</v>
      </c>
      <c r="AP41" s="27">
        <v>0.1</v>
      </c>
      <c r="AQ41" s="27">
        <v>0.1</v>
      </c>
      <c r="AR41" s="26">
        <f>(S41+AH41)*AM41</f>
        <v>118.39021411500002</v>
      </c>
      <c r="AS41" s="26">
        <f>(T41+AI41)*AN41</f>
        <v>180.08822782499999</v>
      </c>
      <c r="AT41" s="26">
        <f>(U41+AJ41)*AO41</f>
        <v>138.41824153500002</v>
      </c>
      <c r="AU41" s="26">
        <f>(V41+AK41)*AP41</f>
        <v>2.1983977375000001</v>
      </c>
      <c r="AV41" s="26">
        <f>(W41+AL41)*AQ41</f>
        <v>0.43967954750000005</v>
      </c>
      <c r="AW41" s="26">
        <f>S41+AH41-AR41</f>
        <v>13.154468234999996</v>
      </c>
      <c r="AX41" s="26">
        <f>T41+AI41-AS41</f>
        <v>60.029409275000006</v>
      </c>
      <c r="AY41" s="26">
        <f>U41+AJ41-AT41</f>
        <v>15.379804614999983</v>
      </c>
      <c r="AZ41" s="26">
        <f>V41+AK41-AU41</f>
        <v>19.7855796375</v>
      </c>
      <c r="BA41" s="40">
        <f>W41+AL41-AV41</f>
        <v>3.9571159275000003</v>
      </c>
      <c r="BB41" s="37">
        <f>N41+AH41</f>
        <v>161.86290000000002</v>
      </c>
      <c r="BC41" s="28">
        <f>O41+AI41</f>
        <v>296.74865</v>
      </c>
      <c r="BD41" s="28">
        <f>P41+AJ41</f>
        <v>188.84005000000002</v>
      </c>
      <c r="BE41" s="29">
        <f>Q41+AK41</f>
        <v>26.977150000000002</v>
      </c>
      <c r="BF41" s="29">
        <f>R41+AL41</f>
        <v>5.3954300000000002</v>
      </c>
      <c r="BG41" s="28">
        <f>AC41+AW41</f>
        <v>40.060457834999994</v>
      </c>
      <c r="BH41" s="28">
        <f>AD41+AX41</f>
        <v>111.99105747500001</v>
      </c>
      <c r="BI41" s="28">
        <f>AE41+AY41</f>
        <v>47.189171364999979</v>
      </c>
      <c r="BJ41" s="29">
        <f>AF41+AZ41</f>
        <v>24.778752262499999</v>
      </c>
      <c r="BK41" s="29">
        <f>AG41+BA41</f>
        <v>4.9557504525000002</v>
      </c>
      <c r="BL41" s="28">
        <f>X41+AR41</f>
        <v>121.80244216500002</v>
      </c>
      <c r="BM41" s="28">
        <f>Y41+AS41</f>
        <v>184.75759252499998</v>
      </c>
      <c r="BN41" s="28">
        <f>Z41+AT41</f>
        <v>141.65087863500003</v>
      </c>
      <c r="BO41" s="29">
        <f>AA41+AU41</f>
        <v>2.1983977375000001</v>
      </c>
      <c r="BP41" s="30">
        <f>AB41+AV41</f>
        <v>0.43967954750000005</v>
      </c>
      <c r="BQ41" s="10">
        <f>199232+189399</f>
        <v>388631</v>
      </c>
      <c r="BR41" s="6">
        <v>0</v>
      </c>
      <c r="BS41" t="s">
        <v>128</v>
      </c>
    </row>
    <row r="42" spans="1:71" x14ac:dyDescent="0.25">
      <c r="A42" s="18"/>
      <c r="B42" s="18">
        <v>33</v>
      </c>
      <c r="C42" s="19" t="s">
        <v>73</v>
      </c>
      <c r="D42" s="60">
        <v>6024</v>
      </c>
      <c r="E42" s="47" t="s">
        <v>73</v>
      </c>
      <c r="F42" s="13" t="s">
        <v>207</v>
      </c>
      <c r="G42" s="53">
        <v>4753</v>
      </c>
      <c r="H42" s="53">
        <v>296</v>
      </c>
      <c r="I42" s="50">
        <f>G42+H42</f>
        <v>5049</v>
      </c>
      <c r="J42" s="45">
        <v>0.76</v>
      </c>
      <c r="K42" s="65">
        <f>ROUND(G42*J42,2)</f>
        <v>3612.28</v>
      </c>
      <c r="L42" s="66">
        <f>1-J42</f>
        <v>0.24</v>
      </c>
      <c r="M42" s="67">
        <f>G42-K42</f>
        <v>1140.7199999999998</v>
      </c>
      <c r="N42" s="43">
        <f>M42*60*365/1000000</f>
        <v>24.981767999999992</v>
      </c>
      <c r="O42" s="92">
        <f>M42*110*365/1000000</f>
        <v>45.799907999999995</v>
      </c>
      <c r="P42" s="72">
        <f>M42*70*365/1000000</f>
        <v>29.145395999999991</v>
      </c>
      <c r="Q42" s="72">
        <f>M42*10*365/1000000</f>
        <v>4.1636279999999992</v>
      </c>
      <c r="R42" s="25">
        <f>M42*2*365/1000000</f>
        <v>0.83272559999999984</v>
      </c>
      <c r="S42" s="72">
        <f>M42*13*365/1000000*0.33</f>
        <v>1.7861964119999993</v>
      </c>
      <c r="T42" s="72">
        <f>M42*18*365/1000000*0.33</f>
        <v>2.4731950319999996</v>
      </c>
      <c r="U42" s="72">
        <f>M42*17*365/1000000*0.33</f>
        <v>2.3357953079999998</v>
      </c>
      <c r="V42" s="72">
        <f>M42*2.5*365/1000000*0.33</f>
        <v>0.34349930999999995</v>
      </c>
      <c r="W42" s="72">
        <f>M42*0.5*365/1000000*0.33</f>
        <v>6.8699861999999987E-2</v>
      </c>
      <c r="X42" s="72">
        <f>M42*19*365/1000000*0.33</f>
        <v>2.6105947559999998</v>
      </c>
      <c r="Y42" s="72">
        <f>M42*26*365/1000000*0.33</f>
        <v>3.5723928239999987</v>
      </c>
      <c r="Z42" s="72">
        <f>M42*18*365/1000000*0.33</f>
        <v>2.4731950319999996</v>
      </c>
      <c r="AA42" s="72">
        <f>M42*0*365/1000000*0.33</f>
        <v>0</v>
      </c>
      <c r="AB42" s="72">
        <f>M42*0*365/1000000*0.33</f>
        <v>0</v>
      </c>
      <c r="AC42" s="91">
        <f>N42-S42-X42</f>
        <v>20.584976831999992</v>
      </c>
      <c r="AD42" s="91">
        <f>O42-T42-Y42</f>
        <v>39.754320143999998</v>
      </c>
      <c r="AE42" s="91">
        <f>P42-U42-Z42</f>
        <v>24.33640565999999</v>
      </c>
      <c r="AF42" s="91">
        <f>Q42-V42-AA42</f>
        <v>3.8201286899999993</v>
      </c>
      <c r="AG42" s="91">
        <f>R42-W42-AB42</f>
        <v>0.76402573799999984</v>
      </c>
      <c r="AH42" s="39">
        <f>(K42+H42)*60*365/1000000</f>
        <v>85.591331999999994</v>
      </c>
      <c r="AI42" s="77">
        <f>($K42+$H42)*110*365/1000000</f>
        <v>156.91744200000002</v>
      </c>
      <c r="AJ42" s="77">
        <f>($K42+$H42)*70*365/1000000</f>
        <v>99.856554000000017</v>
      </c>
      <c r="AK42" s="77">
        <f>($K42+$H42)*10*365/1000000</f>
        <v>14.265222000000001</v>
      </c>
      <c r="AL42" s="26">
        <f>($K42+$H42)*2*365/1000000</f>
        <v>2.8530444000000004</v>
      </c>
      <c r="AM42" s="27">
        <v>0.9</v>
      </c>
      <c r="AN42" s="27">
        <v>0.75</v>
      </c>
      <c r="AO42" s="27">
        <v>0.9</v>
      </c>
      <c r="AP42" s="27">
        <v>0.1</v>
      </c>
      <c r="AQ42" s="27">
        <v>0.1</v>
      </c>
      <c r="AR42" s="26">
        <f>(S42+AH42)*AM42</f>
        <v>78.639775570799998</v>
      </c>
      <c r="AS42" s="26">
        <f>(T42+AI42)*AN42</f>
        <v>119.54297777400002</v>
      </c>
      <c r="AT42" s="26">
        <f>(U42+AJ42)*AO42</f>
        <v>91.973114377200019</v>
      </c>
      <c r="AU42" s="26">
        <f>(V42+AK42)*AP42</f>
        <v>1.4608721310000004</v>
      </c>
      <c r="AV42" s="26">
        <f>(W42+AL42)*AQ42</f>
        <v>0.29217442620000006</v>
      </c>
      <c r="AW42" s="26">
        <f>S42+AH42-AR42</f>
        <v>8.7377528411999918</v>
      </c>
      <c r="AX42" s="26">
        <f>T42+AI42-AS42</f>
        <v>39.847659258000007</v>
      </c>
      <c r="AY42" s="26">
        <f>U42+AJ42-AT42</f>
        <v>10.219234930799999</v>
      </c>
      <c r="AZ42" s="26">
        <f>V42+AK42-AU42</f>
        <v>13.147849179000001</v>
      </c>
      <c r="BA42" s="40">
        <f>W42+AL42-AV42</f>
        <v>2.6295698358000004</v>
      </c>
      <c r="BB42" s="37">
        <f>N42+AH42</f>
        <v>110.57309999999998</v>
      </c>
      <c r="BC42" s="28">
        <f>O42+AI42</f>
        <v>202.71735000000001</v>
      </c>
      <c r="BD42" s="28">
        <f>P42+AJ42</f>
        <v>129.00195000000002</v>
      </c>
      <c r="BE42" s="29">
        <f>Q42+AK42</f>
        <v>18.428850000000001</v>
      </c>
      <c r="BF42" s="29">
        <f>R42+AL42</f>
        <v>3.6857700000000002</v>
      </c>
      <c r="BG42" s="28">
        <f>AC42+AW42</f>
        <v>29.322729673199984</v>
      </c>
      <c r="BH42" s="28">
        <f>AD42+AX42</f>
        <v>79.601979402000012</v>
      </c>
      <c r="BI42" s="28">
        <f>AE42+AY42</f>
        <v>34.555640590799989</v>
      </c>
      <c r="BJ42" s="29">
        <f>AF42+AZ42</f>
        <v>16.967977869000002</v>
      </c>
      <c r="BK42" s="29">
        <f>AG42+BA42</f>
        <v>3.3935955738000003</v>
      </c>
      <c r="BL42" s="28">
        <f>X42+AR42</f>
        <v>81.250370326799995</v>
      </c>
      <c r="BM42" s="28">
        <f>Y42+AS42</f>
        <v>123.11537059800003</v>
      </c>
      <c r="BN42" s="28">
        <f>Z42+AT42</f>
        <v>94.446309409200012</v>
      </c>
      <c r="BO42" s="29">
        <f>AA42+AU42</f>
        <v>1.4608721310000004</v>
      </c>
      <c r="BP42" s="30">
        <f>AB42+AV42</f>
        <v>0.29217442620000006</v>
      </c>
      <c r="BQ42" s="10">
        <f>1185300+92700*0.6</f>
        <v>1240920</v>
      </c>
      <c r="BR42" s="6">
        <v>120000</v>
      </c>
      <c r="BS42" t="s">
        <v>144</v>
      </c>
    </row>
    <row r="43" spans="1:71" ht="45" x14ac:dyDescent="0.25">
      <c r="A43" s="18"/>
      <c r="B43" s="18">
        <v>34</v>
      </c>
      <c r="C43" s="19" t="s">
        <v>76</v>
      </c>
      <c r="D43" s="60">
        <v>5990</v>
      </c>
      <c r="E43" s="57" t="s">
        <v>177</v>
      </c>
      <c r="F43" s="14" t="s">
        <v>206</v>
      </c>
      <c r="G43" s="53">
        <v>4382</v>
      </c>
      <c r="H43" s="53">
        <v>0</v>
      </c>
      <c r="I43" s="50">
        <f>G43+H43</f>
        <v>4382</v>
      </c>
      <c r="J43" s="45">
        <v>0.77</v>
      </c>
      <c r="K43" s="65">
        <f>ROUND(G43*J43,2)</f>
        <v>3374.14</v>
      </c>
      <c r="L43" s="66">
        <f>1-J43</f>
        <v>0.22999999999999998</v>
      </c>
      <c r="M43" s="67">
        <f>G43-K43</f>
        <v>1007.8600000000001</v>
      </c>
      <c r="N43" s="43">
        <f>M43*60*365/1000000</f>
        <v>22.072134000000005</v>
      </c>
      <c r="O43" s="92">
        <f>M43*110*365/1000000</f>
        <v>40.465579000000005</v>
      </c>
      <c r="P43" s="72">
        <f>M43*70*365/1000000</f>
        <v>25.750823000000004</v>
      </c>
      <c r="Q43" s="72">
        <f>M43*10*365/1000000</f>
        <v>3.6786890000000008</v>
      </c>
      <c r="R43" s="25">
        <f>M43*2*365/1000000</f>
        <v>0.7357378</v>
      </c>
      <c r="S43" s="72">
        <f>M43*13*365/1000000*0.33</f>
        <v>1.5781575810000006</v>
      </c>
      <c r="T43" s="72">
        <f>M43*18*365/1000000*0.33</f>
        <v>2.1851412660000005</v>
      </c>
      <c r="U43" s="72">
        <f>M43*17*365/1000000*0.33</f>
        <v>2.063744529</v>
      </c>
      <c r="V43" s="72">
        <f>M43*2.5*365/1000000*0.33</f>
        <v>0.30349184250000005</v>
      </c>
      <c r="W43" s="72">
        <f>M43*0.5*365/1000000*0.33</f>
        <v>6.0698368500000002E-2</v>
      </c>
      <c r="X43" s="72">
        <f>M43*19*365/1000000*0.33</f>
        <v>2.3065380030000004</v>
      </c>
      <c r="Y43" s="72">
        <f>M43*26*365/1000000*0.33</f>
        <v>3.1563151620000012</v>
      </c>
      <c r="Z43" s="72">
        <f>M43*18*365/1000000*0.33</f>
        <v>2.1851412660000005</v>
      </c>
      <c r="AA43" s="72">
        <f>M43*0*365/1000000*0.33</f>
        <v>0</v>
      </c>
      <c r="AB43" s="72">
        <f>M43*0*365/1000000*0.33</f>
        <v>0</v>
      </c>
      <c r="AC43" s="91">
        <f>N43-S43-X43</f>
        <v>18.187438416000006</v>
      </c>
      <c r="AD43" s="91">
        <f>O43-T43-Y43</f>
        <v>35.124122572000005</v>
      </c>
      <c r="AE43" s="91">
        <f>P43-U43-Z43</f>
        <v>21.501937205000004</v>
      </c>
      <c r="AF43" s="91">
        <f>Q43-V43-AA43</f>
        <v>3.3751971575000006</v>
      </c>
      <c r="AG43" s="91">
        <f>R43-W43-AB43</f>
        <v>0.67503943150000001</v>
      </c>
      <c r="AH43" s="39">
        <f>(K43+H43)*60*365/1000000</f>
        <v>73.893665999999996</v>
      </c>
      <c r="AI43" s="77">
        <f>($K43+$H43)*110*365/1000000</f>
        <v>135.471721</v>
      </c>
      <c r="AJ43" s="77">
        <f>($K43+$H43)*70*365/1000000</f>
        <v>86.209277</v>
      </c>
      <c r="AK43" s="77">
        <f>($K43+$H43)*10*365/1000000</f>
        <v>12.315611000000001</v>
      </c>
      <c r="AL43" s="26">
        <f>($K43+$H43)*2*365/1000000</f>
        <v>2.4631221999999999</v>
      </c>
      <c r="AM43" s="27">
        <v>0.9</v>
      </c>
      <c r="AN43" s="27">
        <v>0.75</v>
      </c>
      <c r="AO43" s="27">
        <v>0.9</v>
      </c>
      <c r="AP43" s="27">
        <v>0.1</v>
      </c>
      <c r="AQ43" s="27">
        <v>0.1</v>
      </c>
      <c r="AR43" s="26">
        <f>(S43+AH43)*AM43</f>
        <v>67.924641222899993</v>
      </c>
      <c r="AS43" s="26">
        <f>(T43+AI43)*AN43</f>
        <v>103.2426466995</v>
      </c>
      <c r="AT43" s="26">
        <f>(U43+AJ43)*AO43</f>
        <v>79.445719376100001</v>
      </c>
      <c r="AU43" s="26">
        <f>(V43+AK43)*AP43</f>
        <v>1.2619102842500001</v>
      </c>
      <c r="AV43" s="26">
        <f>(W43+AL43)*AQ43</f>
        <v>0.25238205685000004</v>
      </c>
      <c r="AW43" s="26">
        <f>S43+AH43-AR43</f>
        <v>7.5471823581000024</v>
      </c>
      <c r="AX43" s="26">
        <f>T43+AI43-AS43</f>
        <v>34.41421556649999</v>
      </c>
      <c r="AY43" s="26">
        <f>U43+AJ43-AT43</f>
        <v>8.8273021529000033</v>
      </c>
      <c r="AZ43" s="26">
        <f>V43+AK43-AU43</f>
        <v>11.35719255825</v>
      </c>
      <c r="BA43" s="40">
        <f>W43+AL43-AV43</f>
        <v>2.27143851165</v>
      </c>
      <c r="BB43" s="37">
        <f>N43+AH43</f>
        <v>95.965800000000002</v>
      </c>
      <c r="BC43" s="28">
        <f>O43+AI43</f>
        <v>175.93729999999999</v>
      </c>
      <c r="BD43" s="28">
        <f>P43+AJ43</f>
        <v>111.96010000000001</v>
      </c>
      <c r="BE43" s="29">
        <f>Q43+AK43</f>
        <v>15.994300000000001</v>
      </c>
      <c r="BF43" s="29">
        <f>R43+AL43</f>
        <v>3.1988599999999998</v>
      </c>
      <c r="BG43" s="28">
        <f>AC43+AW43</f>
        <v>25.734620774100009</v>
      </c>
      <c r="BH43" s="28">
        <f>AD43+AX43</f>
        <v>69.538338138499995</v>
      </c>
      <c r="BI43" s="28">
        <f>AE43+AY43</f>
        <v>30.329239357900008</v>
      </c>
      <c r="BJ43" s="29">
        <f>AF43+AZ43</f>
        <v>14.732389715750001</v>
      </c>
      <c r="BK43" s="29">
        <f>AG43+BA43</f>
        <v>2.9464779431500001</v>
      </c>
      <c r="BL43" s="28">
        <f>X43+AR43</f>
        <v>70.231179225899993</v>
      </c>
      <c r="BM43" s="28">
        <f>Y43+AS43</f>
        <v>106.3989618615</v>
      </c>
      <c r="BN43" s="28">
        <f>Z43+AT43</f>
        <v>81.630860642100004</v>
      </c>
      <c r="BO43" s="29">
        <f>AA43+AU43</f>
        <v>1.2619102842500001</v>
      </c>
      <c r="BP43" s="30">
        <f>AB43+AV43</f>
        <v>0.25238205685000004</v>
      </c>
      <c r="BQ43" s="10">
        <v>0</v>
      </c>
      <c r="BR43" s="6">
        <v>913100</v>
      </c>
      <c r="BS43" t="s">
        <v>128</v>
      </c>
    </row>
    <row r="44" spans="1:71" ht="30" x14ac:dyDescent="0.25">
      <c r="A44" s="18"/>
      <c r="B44" s="18">
        <v>35</v>
      </c>
      <c r="C44" s="19" t="s">
        <v>74</v>
      </c>
      <c r="D44" s="60">
        <v>5920</v>
      </c>
      <c r="E44" s="57" t="s">
        <v>178</v>
      </c>
      <c r="F44" s="14" t="s">
        <v>205</v>
      </c>
      <c r="G44" s="53">
        <v>10100</v>
      </c>
      <c r="H44" s="53">
        <v>5023</v>
      </c>
      <c r="I44" s="50">
        <f>G44+H44</f>
        <v>15123</v>
      </c>
      <c r="J44" s="45">
        <v>0.85</v>
      </c>
      <c r="K44" s="65">
        <f>ROUND(G44*J44,2)</f>
        <v>8585</v>
      </c>
      <c r="L44" s="66">
        <f>1-J44</f>
        <v>0.15000000000000002</v>
      </c>
      <c r="M44" s="67">
        <f>G44-K44</f>
        <v>1515</v>
      </c>
      <c r="N44" s="43">
        <f>M44*60*365/1000000</f>
        <v>33.1785</v>
      </c>
      <c r="O44" s="92">
        <f>M44*110*365/1000000</f>
        <v>60.827249999999999</v>
      </c>
      <c r="P44" s="72">
        <f>M44*70*365/1000000</f>
        <v>38.70825</v>
      </c>
      <c r="Q44" s="72">
        <f>M44*10*365/1000000</f>
        <v>5.5297499999999999</v>
      </c>
      <c r="R44" s="25">
        <f>M44*2*365/1000000</f>
        <v>1.10595</v>
      </c>
      <c r="S44" s="72">
        <f>M44*13*365/1000000*0.33</f>
        <v>2.37226275</v>
      </c>
      <c r="T44" s="72">
        <f>M44*18*365/1000000*0.33</f>
        <v>3.2846715</v>
      </c>
      <c r="U44" s="72">
        <f>M44*17*365/1000000*0.33</f>
        <v>3.10218975</v>
      </c>
      <c r="V44" s="72">
        <f>M44*2.5*365/1000000*0.33</f>
        <v>0.456204375</v>
      </c>
      <c r="W44" s="72">
        <f>M44*0.5*365/1000000*0.33</f>
        <v>9.1240874999999999E-2</v>
      </c>
      <c r="X44" s="72">
        <f>M44*19*365/1000000*0.33</f>
        <v>3.46715325</v>
      </c>
      <c r="Y44" s="72">
        <f>M44*26*365/1000000*0.33</f>
        <v>4.7445255</v>
      </c>
      <c r="Z44" s="72">
        <f>M44*18*365/1000000*0.33</f>
        <v>3.2846715</v>
      </c>
      <c r="AA44" s="72">
        <f>M44*0*365/1000000*0.33</f>
        <v>0</v>
      </c>
      <c r="AB44" s="72">
        <f>M44*0*365/1000000*0.33</f>
        <v>0</v>
      </c>
      <c r="AC44" s="91">
        <f>N44-S44-X44</f>
        <v>27.339084</v>
      </c>
      <c r="AD44" s="91">
        <f>O44-T44-Y44</f>
        <v>52.798052999999996</v>
      </c>
      <c r="AE44" s="91">
        <f>P44-U44-Z44</f>
        <v>32.321388749999997</v>
      </c>
      <c r="AF44" s="91">
        <f>Q44-V44-AA44</f>
        <v>5.0735456249999995</v>
      </c>
      <c r="AG44" s="91">
        <f>R44-W44-AB44</f>
        <v>1.014709125</v>
      </c>
      <c r="AH44" s="39">
        <f>(K44+H44)*60*365/1000000</f>
        <v>298.01519999999999</v>
      </c>
      <c r="AI44" s="77">
        <f>($K44+$H44)*110*365/1000000</f>
        <v>546.36120000000005</v>
      </c>
      <c r="AJ44" s="77">
        <f>($K44+$H44)*70*365/1000000</f>
        <v>347.68439999999998</v>
      </c>
      <c r="AK44" s="77">
        <f>($K44+$H44)*10*365/1000000</f>
        <v>49.669199999999996</v>
      </c>
      <c r="AL44" s="26">
        <f>($K44+$H44)*2*365/1000000</f>
        <v>9.93384</v>
      </c>
      <c r="AM44" s="27">
        <v>0.9</v>
      </c>
      <c r="AN44" s="27">
        <v>0.75</v>
      </c>
      <c r="AO44" s="27">
        <v>0.9</v>
      </c>
      <c r="AP44" s="27">
        <v>0.8</v>
      </c>
      <c r="AQ44" s="27">
        <v>0.8</v>
      </c>
      <c r="AR44" s="26">
        <f>(S44+AH44)*AM44</f>
        <v>270.348716475</v>
      </c>
      <c r="AS44" s="26">
        <f>(T44+AI44)*AN44</f>
        <v>412.23440362500003</v>
      </c>
      <c r="AT44" s="26">
        <f>(U44+AJ44)*AO44</f>
        <v>315.70793077499997</v>
      </c>
      <c r="AU44" s="26">
        <f>(V44+AK44)*AP44</f>
        <v>40.100323500000002</v>
      </c>
      <c r="AV44" s="26">
        <f>(W44+AL44)*AQ44</f>
        <v>8.0200647000000007</v>
      </c>
      <c r="AW44" s="26">
        <f>S44+AH44-AR44</f>
        <v>30.038746274999994</v>
      </c>
      <c r="AX44" s="26">
        <f>T44+AI44-AS44</f>
        <v>137.41146787499997</v>
      </c>
      <c r="AY44" s="26">
        <f>U44+AJ44-AT44</f>
        <v>35.078658974999996</v>
      </c>
      <c r="AZ44" s="26">
        <f>V44+AK44-AU44</f>
        <v>10.025080874999993</v>
      </c>
      <c r="BA44" s="40">
        <f>W44+AL44-AV44</f>
        <v>2.0050161749999997</v>
      </c>
      <c r="BB44" s="37">
        <f>N44+AH44</f>
        <v>331.19369999999998</v>
      </c>
      <c r="BC44" s="28">
        <f>O44+AI44</f>
        <v>607.1884500000001</v>
      </c>
      <c r="BD44" s="28">
        <f>P44+AJ44</f>
        <v>386.39265</v>
      </c>
      <c r="BE44" s="29">
        <f>Q44+AK44</f>
        <v>55.198949999999996</v>
      </c>
      <c r="BF44" s="29">
        <f>R44+AL44</f>
        <v>11.03979</v>
      </c>
      <c r="BG44" s="28">
        <f>AC44+AW44</f>
        <v>57.377830274999994</v>
      </c>
      <c r="BH44" s="28">
        <f>AD44+AX44</f>
        <v>190.20952087499995</v>
      </c>
      <c r="BI44" s="28">
        <f>AE44+AY44</f>
        <v>67.400047724999993</v>
      </c>
      <c r="BJ44" s="29">
        <f>AF44+AZ44</f>
        <v>15.098626499999993</v>
      </c>
      <c r="BK44" s="29">
        <f>AG44+BA44</f>
        <v>3.0197252999999997</v>
      </c>
      <c r="BL44" s="28">
        <f>X44+AR44</f>
        <v>273.81586972500003</v>
      </c>
      <c r="BM44" s="28">
        <f>Y44+AS44</f>
        <v>416.97892912500004</v>
      </c>
      <c r="BN44" s="28">
        <f>Z44+AT44</f>
        <v>318.99260227499997</v>
      </c>
      <c r="BO44" s="29">
        <f>AA44+AU44</f>
        <v>40.100323500000002</v>
      </c>
      <c r="BP44" s="30">
        <f>AB44+AV44</f>
        <v>8.0200647000000007</v>
      </c>
      <c r="BQ44" s="10">
        <v>1932201</v>
      </c>
      <c r="BR44" s="6">
        <v>0</v>
      </c>
      <c r="BS44" t="s">
        <v>128</v>
      </c>
    </row>
    <row r="45" spans="1:71" x14ac:dyDescent="0.25">
      <c r="A45" s="111"/>
      <c r="B45" s="18">
        <v>36</v>
      </c>
      <c r="C45" s="19" t="s">
        <v>75</v>
      </c>
      <c r="D45" s="60">
        <v>5706</v>
      </c>
      <c r="E45" s="47" t="s">
        <v>2</v>
      </c>
      <c r="F45" s="13" t="s">
        <v>208</v>
      </c>
      <c r="G45" s="122">
        <v>5500</v>
      </c>
      <c r="H45" s="122">
        <v>4200</v>
      </c>
      <c r="I45" s="125">
        <f>G45+H45</f>
        <v>9700</v>
      </c>
      <c r="J45" s="126">
        <v>0.5</v>
      </c>
      <c r="K45" s="129">
        <f>ROUND(G45*J45,2)</f>
        <v>2750</v>
      </c>
      <c r="L45" s="130">
        <f>1-J45</f>
        <v>0.5</v>
      </c>
      <c r="M45" s="131">
        <f>G45-K45</f>
        <v>2750</v>
      </c>
      <c r="N45" s="132">
        <f>M45*60*365/1000000</f>
        <v>60.225000000000001</v>
      </c>
      <c r="O45" s="135">
        <f>M45*110*365/1000000</f>
        <v>110.41249999999999</v>
      </c>
      <c r="P45" s="136">
        <f>M45*70*365/1000000</f>
        <v>70.262500000000003</v>
      </c>
      <c r="Q45" s="136">
        <f>M45*10*365/1000000</f>
        <v>10.0375</v>
      </c>
      <c r="R45" s="137">
        <f>M45*2*365/1000000</f>
        <v>2.0074999999999998</v>
      </c>
      <c r="S45" s="136">
        <f>M45*13*365/1000000*0.33</f>
        <v>4.3060875000000003</v>
      </c>
      <c r="T45" s="136">
        <f>M45*18*365/1000000*0.33</f>
        <v>5.962275</v>
      </c>
      <c r="U45" s="136">
        <f>M45*17*365/1000000*0.33</f>
        <v>5.6310374999999997</v>
      </c>
      <c r="V45" s="136">
        <f>M45*2.5*365/1000000*0.33</f>
        <v>0.82809374999999996</v>
      </c>
      <c r="W45" s="136">
        <f>M45*0.5*365/1000000*0.33</f>
        <v>0.16561874999999998</v>
      </c>
      <c r="X45" s="136">
        <f>M45*19*365/1000000*0.33</f>
        <v>6.2935125000000003</v>
      </c>
      <c r="Y45" s="136">
        <f>M45*26*365/1000000*0.33</f>
        <v>8.6121750000000006</v>
      </c>
      <c r="Z45" s="136">
        <f>M45*18*365/1000000*0.33</f>
        <v>5.962275</v>
      </c>
      <c r="AA45" s="136">
        <f>M45*0*365/1000000*0.33</f>
        <v>0</v>
      </c>
      <c r="AB45" s="136">
        <f>M45*0*365/1000000*0.33</f>
        <v>0</v>
      </c>
      <c r="AC45" s="138">
        <f>N45-S45-X45</f>
        <v>49.625400000000006</v>
      </c>
      <c r="AD45" s="138">
        <f>O45-T45-Y45</f>
        <v>95.838049999999981</v>
      </c>
      <c r="AE45" s="138">
        <f>P45-U45-Z45</f>
        <v>58.6691875</v>
      </c>
      <c r="AF45" s="138">
        <f>Q45-V45-AA45</f>
        <v>9.2094062499999989</v>
      </c>
      <c r="AG45" s="138">
        <f>R45-W45-AB45</f>
        <v>1.8418812499999999</v>
      </c>
      <c r="AH45" s="139">
        <f>(K45+H45)*60*365/1000000</f>
        <v>152.20500000000001</v>
      </c>
      <c r="AI45" s="141">
        <f>($K45+$H45)*110*365/1000000</f>
        <v>279.04250000000002</v>
      </c>
      <c r="AJ45" s="141">
        <f>($K45+$H45)*70*365/1000000</f>
        <v>177.57249999999999</v>
      </c>
      <c r="AK45" s="141">
        <f>($K45+$H45)*10*365/1000000</f>
        <v>25.3675</v>
      </c>
      <c r="AL45" s="142">
        <f>($K45+$H45)*2*365/1000000</f>
        <v>5.0735000000000001</v>
      </c>
      <c r="AM45" s="143">
        <v>0.9</v>
      </c>
      <c r="AN45" s="143">
        <v>0.75</v>
      </c>
      <c r="AO45" s="143">
        <v>0.9</v>
      </c>
      <c r="AP45" s="143">
        <v>0.1</v>
      </c>
      <c r="AQ45" s="143">
        <v>0.1</v>
      </c>
      <c r="AR45" s="142">
        <f>(S45+AH45)*AM45</f>
        <v>140.85997875000001</v>
      </c>
      <c r="AS45" s="142">
        <f>(T45+AI45)*AN45</f>
        <v>213.75358125</v>
      </c>
      <c r="AT45" s="142">
        <f>(U45+AJ45)*AO45</f>
        <v>164.88318375</v>
      </c>
      <c r="AU45" s="142">
        <f>(V45+AK45)*AP45</f>
        <v>2.6195593750000001</v>
      </c>
      <c r="AV45" s="142">
        <f>(W45+AL45)*AQ45</f>
        <v>0.52391187500000003</v>
      </c>
      <c r="AW45" s="142">
        <f>S45+AH45-AR45</f>
        <v>15.651108749999992</v>
      </c>
      <c r="AX45" s="142">
        <f>T45+AI45-AS45</f>
        <v>71.251193749999999</v>
      </c>
      <c r="AY45" s="142">
        <f>U45+AJ45-AT45</f>
        <v>18.320353749999981</v>
      </c>
      <c r="AZ45" s="142">
        <f>V45+AK45-AU45</f>
        <v>23.576034374999999</v>
      </c>
      <c r="BA45" s="145">
        <f>W45+AL45-AV45</f>
        <v>4.7152068749999998</v>
      </c>
      <c r="BB45" s="147">
        <f>N45+AH45</f>
        <v>212.43</v>
      </c>
      <c r="BC45" s="150">
        <f>O45+AI45</f>
        <v>389.45500000000004</v>
      </c>
      <c r="BD45" s="150">
        <f>P45+AJ45</f>
        <v>247.83499999999998</v>
      </c>
      <c r="BE45" s="151">
        <f>Q45+AK45</f>
        <v>35.405000000000001</v>
      </c>
      <c r="BF45" s="151">
        <f>R45+AL45</f>
        <v>7.0809999999999995</v>
      </c>
      <c r="BG45" s="150">
        <f>AC45+AW45</f>
        <v>65.276508750000005</v>
      </c>
      <c r="BH45" s="150">
        <f>AD45+AX45</f>
        <v>167.08924374999998</v>
      </c>
      <c r="BI45" s="150">
        <f>AE45+AY45</f>
        <v>76.989541249999974</v>
      </c>
      <c r="BJ45" s="151">
        <f>AF45+AZ45</f>
        <v>32.785440625</v>
      </c>
      <c r="BK45" s="151">
        <f>AG45+BA45</f>
        <v>6.5570881249999999</v>
      </c>
      <c r="BL45" s="150">
        <f>X45+AR45</f>
        <v>147.15349125</v>
      </c>
      <c r="BM45" s="150">
        <f>Y45+AS45</f>
        <v>222.36575625</v>
      </c>
      <c r="BN45" s="150">
        <f>Z45+AT45</f>
        <v>170.84545875000001</v>
      </c>
      <c r="BO45" s="151">
        <f>AA45+AU45</f>
        <v>2.6195593750000001</v>
      </c>
      <c r="BP45" s="152">
        <f>AB45+AV45</f>
        <v>0.52391187500000003</v>
      </c>
      <c r="BQ45" s="10">
        <v>488005</v>
      </c>
      <c r="BR45" s="6">
        <v>22000</v>
      </c>
      <c r="BS45" t="s">
        <v>128</v>
      </c>
    </row>
    <row r="46" spans="1:71" x14ac:dyDescent="0.25">
      <c r="A46" s="18"/>
      <c r="B46" s="18">
        <v>37</v>
      </c>
      <c r="C46" s="19" t="s">
        <v>78</v>
      </c>
      <c r="D46" s="60">
        <v>5390</v>
      </c>
      <c r="E46" s="47" t="s">
        <v>12</v>
      </c>
      <c r="F46" s="13" t="s">
        <v>208</v>
      </c>
      <c r="G46" s="53">
        <v>6180</v>
      </c>
      <c r="H46" s="54">
        <v>1000</v>
      </c>
      <c r="I46" s="50">
        <f>G46+H46</f>
        <v>7180</v>
      </c>
      <c r="J46" s="45">
        <v>0.85</v>
      </c>
      <c r="K46" s="65">
        <f>ROUND(G46*J46,2)</f>
        <v>5253</v>
      </c>
      <c r="L46" s="66">
        <f>1-J46</f>
        <v>0.15000000000000002</v>
      </c>
      <c r="M46" s="67">
        <f>G46-K46</f>
        <v>927</v>
      </c>
      <c r="N46" s="43">
        <f>M46*60*365/1000000</f>
        <v>20.301300000000001</v>
      </c>
      <c r="O46" s="92">
        <f>M46*110*365/1000000</f>
        <v>37.219050000000003</v>
      </c>
      <c r="P46" s="72">
        <f>M46*70*365/1000000</f>
        <v>23.684850000000001</v>
      </c>
      <c r="Q46" s="72">
        <f>M46*10*365/1000000</f>
        <v>3.3835500000000001</v>
      </c>
      <c r="R46" s="25">
        <f>M46*2*365/1000000</f>
        <v>0.67671000000000003</v>
      </c>
      <c r="S46" s="72">
        <f>M46*13*365/1000000*0.33</f>
        <v>1.4515429500000001</v>
      </c>
      <c r="T46" s="72">
        <f>M46*18*365/1000000*0.33</f>
        <v>2.0098287000000004</v>
      </c>
      <c r="U46" s="72">
        <f>M46*17*365/1000000*0.33</f>
        <v>1.8981715500000003</v>
      </c>
      <c r="V46" s="72">
        <f>M46*2.5*365/1000000*0.33</f>
        <v>0.27914287500000001</v>
      </c>
      <c r="W46" s="72">
        <f>M46*0.5*365/1000000*0.33</f>
        <v>5.5828575000000005E-2</v>
      </c>
      <c r="X46" s="72">
        <f>M46*19*365/1000000*0.33</f>
        <v>2.12148585</v>
      </c>
      <c r="Y46" s="72">
        <f>M46*26*365/1000000*0.33</f>
        <v>2.9030859000000002</v>
      </c>
      <c r="Z46" s="72">
        <f>M46*18*365/1000000*0.33</f>
        <v>2.0098287000000004</v>
      </c>
      <c r="AA46" s="72">
        <f>M46*0*365/1000000*0.33</f>
        <v>0</v>
      </c>
      <c r="AB46" s="72">
        <f>M46*0*365/1000000*0.33</f>
        <v>0</v>
      </c>
      <c r="AC46" s="91">
        <f>N46-S46-X46</f>
        <v>16.728271200000002</v>
      </c>
      <c r="AD46" s="91">
        <f>O46-T46-Y46</f>
        <v>32.306135400000002</v>
      </c>
      <c r="AE46" s="91">
        <f>P46-U46-Z46</f>
        <v>19.77684975</v>
      </c>
      <c r="AF46" s="91">
        <f>Q46-V46-AA46</f>
        <v>3.1044071249999998</v>
      </c>
      <c r="AG46" s="91">
        <f>R46-W46-AB46</f>
        <v>0.62088142499999999</v>
      </c>
      <c r="AH46" s="39">
        <f>(K46+H46)*60*365/1000000</f>
        <v>136.94069999999999</v>
      </c>
      <c r="AI46" s="77">
        <f>($K46+$H46)*110*365/1000000</f>
        <v>251.05795000000001</v>
      </c>
      <c r="AJ46" s="77">
        <f>($K46+$H46)*70*365/1000000</f>
        <v>159.76415</v>
      </c>
      <c r="AK46" s="77">
        <f>($K46+$H46)*10*365/1000000</f>
        <v>22.823450000000001</v>
      </c>
      <c r="AL46" s="26">
        <f>($K46+$H46)*2*365/1000000</f>
        <v>4.5646899999999997</v>
      </c>
      <c r="AM46" s="27">
        <v>0.9</v>
      </c>
      <c r="AN46" s="27">
        <v>0.75</v>
      </c>
      <c r="AO46" s="27">
        <v>0.9</v>
      </c>
      <c r="AP46" s="27">
        <v>0.1</v>
      </c>
      <c r="AQ46" s="27">
        <v>0.1</v>
      </c>
      <c r="AR46" s="26">
        <f>(S46+AH46)*AM46</f>
        <v>124.553018655</v>
      </c>
      <c r="AS46" s="26">
        <f>(T46+AI46)*AN46</f>
        <v>189.80083402500003</v>
      </c>
      <c r="AT46" s="26">
        <f>(U46+AJ46)*AO46</f>
        <v>145.49608939500001</v>
      </c>
      <c r="AU46" s="26">
        <f>(V46+AK46)*AP46</f>
        <v>2.3102592875000005</v>
      </c>
      <c r="AV46" s="26">
        <f>(W46+AL46)*AQ46</f>
        <v>0.46205185749999994</v>
      </c>
      <c r="AW46" s="26">
        <f>S46+AH46-AR46</f>
        <v>13.839224294999994</v>
      </c>
      <c r="AX46" s="26">
        <f>T46+AI46-AS46</f>
        <v>63.266944674999991</v>
      </c>
      <c r="AY46" s="26">
        <f>U46+AJ46-AT46</f>
        <v>16.166232154999989</v>
      </c>
      <c r="AZ46" s="26">
        <f>V46+AK46-AU46</f>
        <v>20.792333587500003</v>
      </c>
      <c r="BA46" s="40">
        <f>W46+AL46-AV46</f>
        <v>4.1584667174999996</v>
      </c>
      <c r="BB46" s="37">
        <f>N46+AH46</f>
        <v>157.24199999999999</v>
      </c>
      <c r="BC46" s="28">
        <f>O46+AI46</f>
        <v>288.27699999999999</v>
      </c>
      <c r="BD46" s="28">
        <f>P46+AJ46</f>
        <v>183.44900000000001</v>
      </c>
      <c r="BE46" s="29">
        <f>Q46+AK46</f>
        <v>26.207000000000001</v>
      </c>
      <c r="BF46" s="29">
        <f>R46+AL46</f>
        <v>5.2413999999999996</v>
      </c>
      <c r="BG46" s="28">
        <f>AC46+AW46</f>
        <v>30.567495494999996</v>
      </c>
      <c r="BH46" s="28">
        <f>AD46+AX46</f>
        <v>95.573080074999993</v>
      </c>
      <c r="BI46" s="28">
        <f>AE46+AY46</f>
        <v>35.943081904999985</v>
      </c>
      <c r="BJ46" s="29">
        <f>AF46+AZ46</f>
        <v>23.896740712500005</v>
      </c>
      <c r="BK46" s="29">
        <f>AG46+BA46</f>
        <v>4.7793481425</v>
      </c>
      <c r="BL46" s="28">
        <f>X46+AR46</f>
        <v>126.674504505</v>
      </c>
      <c r="BM46" s="28">
        <f>Y46+AS46</f>
        <v>192.70391992500004</v>
      </c>
      <c r="BN46" s="28">
        <f>Z46+AT46</f>
        <v>147.50591809500003</v>
      </c>
      <c r="BO46" s="29">
        <f>AA46+AU46</f>
        <v>2.3102592875000005</v>
      </c>
      <c r="BP46" s="30">
        <f>AB46+AV46</f>
        <v>0.46205185749999994</v>
      </c>
      <c r="BQ46" s="10">
        <f>95840+16560+48800+58640+91600+94000+91200+31800</f>
        <v>528440</v>
      </c>
      <c r="BR46" s="6">
        <f>28000+223200+22000+112000+22000</f>
        <v>407200</v>
      </c>
      <c r="BS46" t="s">
        <v>128</v>
      </c>
    </row>
    <row r="47" spans="1:71" x14ac:dyDescent="0.25">
      <c r="A47" s="18"/>
      <c r="B47" s="18">
        <v>38</v>
      </c>
      <c r="C47" s="19" t="s">
        <v>79</v>
      </c>
      <c r="D47" s="60">
        <v>5335</v>
      </c>
      <c r="E47" s="47" t="s">
        <v>145</v>
      </c>
      <c r="F47" s="13" t="s">
        <v>208</v>
      </c>
      <c r="G47" s="53">
        <v>6522</v>
      </c>
      <c r="H47" s="54">
        <v>110</v>
      </c>
      <c r="I47" s="50">
        <f>G47+H47</f>
        <v>6632</v>
      </c>
      <c r="J47" s="45">
        <v>0.86</v>
      </c>
      <c r="K47" s="65">
        <f>ROUND(G47*J47,2)</f>
        <v>5608.92</v>
      </c>
      <c r="L47" s="66">
        <f>1-J47</f>
        <v>0.14000000000000001</v>
      </c>
      <c r="M47" s="67">
        <f>G47-K47</f>
        <v>913.07999999999993</v>
      </c>
      <c r="N47" s="43">
        <f>M47*60*365/1000000</f>
        <v>19.996452000000001</v>
      </c>
      <c r="O47" s="92">
        <f>M47*110*365/1000000</f>
        <v>36.660161999999993</v>
      </c>
      <c r="P47" s="72">
        <f>M47*70*365/1000000</f>
        <v>23.329193999999998</v>
      </c>
      <c r="Q47" s="72">
        <f>M47*10*365/1000000</f>
        <v>3.3327419999999996</v>
      </c>
      <c r="R47" s="25">
        <f>M47*2*365/1000000</f>
        <v>0.66654839999999993</v>
      </c>
      <c r="S47" s="72">
        <f>M47*13*365/1000000*0.33</f>
        <v>1.4297463179999998</v>
      </c>
      <c r="T47" s="72">
        <f>M47*18*365/1000000*0.33</f>
        <v>1.9796487479999998</v>
      </c>
      <c r="U47" s="72">
        <f>M47*17*365/1000000*0.33</f>
        <v>1.8696682619999998</v>
      </c>
      <c r="V47" s="72">
        <f>M47*2.5*365/1000000*0.33</f>
        <v>0.27495121499999997</v>
      </c>
      <c r="W47" s="72">
        <f>M47*0.5*365/1000000*0.33</f>
        <v>5.4990242999999994E-2</v>
      </c>
      <c r="X47" s="72">
        <f>M47*19*365/1000000*0.33</f>
        <v>2.0896292339999998</v>
      </c>
      <c r="Y47" s="72">
        <f>M47*26*365/1000000*0.33</f>
        <v>2.8594926359999997</v>
      </c>
      <c r="Z47" s="72">
        <f>M47*18*365/1000000*0.33</f>
        <v>1.9796487479999998</v>
      </c>
      <c r="AA47" s="72">
        <f>M47*0*365/1000000*0.33</f>
        <v>0</v>
      </c>
      <c r="AB47" s="72">
        <f>M47*0*365/1000000*0.33</f>
        <v>0</v>
      </c>
      <c r="AC47" s="91">
        <f>N47-S47-X47</f>
        <v>16.477076448000002</v>
      </c>
      <c r="AD47" s="91">
        <f>O47-T47-Y47</f>
        <v>31.821020615999991</v>
      </c>
      <c r="AE47" s="91">
        <f>P47-U47-Z47</f>
        <v>19.479876989999998</v>
      </c>
      <c r="AF47" s="91">
        <f>Q47-V47-AA47</f>
        <v>3.0577907849999999</v>
      </c>
      <c r="AG47" s="91">
        <f>R47-W47-AB47</f>
        <v>0.61155815699999994</v>
      </c>
      <c r="AH47" s="39">
        <f>(K47+H47)*60*365/1000000</f>
        <v>125.244348</v>
      </c>
      <c r="AI47" s="77">
        <f>($K47+$H47)*110*365/1000000</f>
        <v>229.61463799999996</v>
      </c>
      <c r="AJ47" s="77">
        <f>($K47+$H47)*70*365/1000000</f>
        <v>146.11840599999999</v>
      </c>
      <c r="AK47" s="77">
        <f>($K47+$H47)*10*365/1000000</f>
        <v>20.874058000000002</v>
      </c>
      <c r="AL47" s="26">
        <f>($K47+$H47)*2*365/1000000</f>
        <v>4.1748116</v>
      </c>
      <c r="AM47" s="27">
        <v>0.9</v>
      </c>
      <c r="AN47" s="27">
        <v>0.75</v>
      </c>
      <c r="AO47" s="27">
        <v>0.9</v>
      </c>
      <c r="AP47" s="27">
        <v>0.1</v>
      </c>
      <c r="AQ47" s="27">
        <v>0.1</v>
      </c>
      <c r="AR47" s="26">
        <f>(S47+AH47)*AM47</f>
        <v>114.00668488620001</v>
      </c>
      <c r="AS47" s="26">
        <f>(T47+AI47)*AN47</f>
        <v>173.69571506099996</v>
      </c>
      <c r="AT47" s="26">
        <f>(U47+AJ47)*AO47</f>
        <v>133.1892668358</v>
      </c>
      <c r="AU47" s="26">
        <f>(V47+AK47)*AP47</f>
        <v>2.1149009215000003</v>
      </c>
      <c r="AV47" s="26">
        <f>(W47+AL47)*AQ47</f>
        <v>0.42298018430000001</v>
      </c>
      <c r="AW47" s="26">
        <f>S47+AH47-AR47</f>
        <v>12.667409431799996</v>
      </c>
      <c r="AX47" s="26">
        <f>T47+AI47-AS47</f>
        <v>57.898571686999986</v>
      </c>
      <c r="AY47" s="26">
        <f>U47+AJ47-AT47</f>
        <v>14.7988074262</v>
      </c>
      <c r="AZ47" s="26">
        <f>V47+AK47-AU47</f>
        <v>19.034108293500005</v>
      </c>
      <c r="BA47" s="40">
        <f>W47+AL47-AV47</f>
        <v>3.8068216586999997</v>
      </c>
      <c r="BB47" s="37">
        <f>N47+AH47</f>
        <v>145.24080000000001</v>
      </c>
      <c r="BC47" s="28">
        <f>O47+AI47</f>
        <v>266.27479999999997</v>
      </c>
      <c r="BD47" s="28">
        <f>P47+AJ47</f>
        <v>169.44759999999999</v>
      </c>
      <c r="BE47" s="29">
        <f>Q47+AK47</f>
        <v>24.206800000000001</v>
      </c>
      <c r="BF47" s="29">
        <f>R47+AL47</f>
        <v>4.8413599999999999</v>
      </c>
      <c r="BG47" s="28">
        <f>AC47+AW47</f>
        <v>29.144485879799998</v>
      </c>
      <c r="BH47" s="28">
        <f>AD47+AX47</f>
        <v>89.719592302999985</v>
      </c>
      <c r="BI47" s="28">
        <f>AE47+AY47</f>
        <v>34.278684416199994</v>
      </c>
      <c r="BJ47" s="29">
        <f>AF47+AZ47</f>
        <v>22.091899078500006</v>
      </c>
      <c r="BK47" s="29">
        <f>AG47+BA47</f>
        <v>4.4183798156999998</v>
      </c>
      <c r="BL47" s="28">
        <f>X47+AR47</f>
        <v>116.09631412020001</v>
      </c>
      <c r="BM47" s="28">
        <f>Y47+AS47</f>
        <v>176.55520769699996</v>
      </c>
      <c r="BN47" s="28">
        <f>Z47+AT47</f>
        <v>135.16891558379999</v>
      </c>
      <c r="BO47" s="29">
        <f>AA47+AU47</f>
        <v>2.1149009215000003</v>
      </c>
      <c r="BP47" s="30">
        <f>AB47+AV47</f>
        <v>0.42298018430000001</v>
      </c>
      <c r="BQ47" s="10">
        <f>180600+231000+233400+207000</f>
        <v>852000</v>
      </c>
      <c r="BR47" s="6">
        <f>435200+36000</f>
        <v>471200</v>
      </c>
      <c r="BS47" t="s">
        <v>132</v>
      </c>
    </row>
    <row r="48" spans="1:71" x14ac:dyDescent="0.25">
      <c r="A48" s="18"/>
      <c r="B48" s="18">
        <v>39</v>
      </c>
      <c r="C48" s="19" t="s">
        <v>81</v>
      </c>
      <c r="D48" s="60">
        <v>4447</v>
      </c>
      <c r="E48" s="47" t="s">
        <v>182</v>
      </c>
      <c r="F48" s="13" t="s">
        <v>209</v>
      </c>
      <c r="G48" s="53">
        <v>5516</v>
      </c>
      <c r="H48" s="53">
        <v>1433</v>
      </c>
      <c r="I48" s="50">
        <f>G48+H48</f>
        <v>6949</v>
      </c>
      <c r="J48" s="45">
        <v>0.86</v>
      </c>
      <c r="K48" s="65">
        <f>ROUND(G48*J48,2)</f>
        <v>4743.76</v>
      </c>
      <c r="L48" s="66">
        <f>1-J48</f>
        <v>0.14000000000000001</v>
      </c>
      <c r="M48" s="67">
        <f>G48-K48</f>
        <v>772.23999999999978</v>
      </c>
      <c r="N48" s="43">
        <f>M48*60*365/1000000</f>
        <v>16.912055999999996</v>
      </c>
      <c r="O48" s="92">
        <f>M48*110*365/1000000</f>
        <v>31.005435999999992</v>
      </c>
      <c r="P48" s="72">
        <f>M48*70*365/1000000</f>
        <v>19.730731999999996</v>
      </c>
      <c r="Q48" s="72">
        <f>M48*10*365/1000000</f>
        <v>2.8186759999999991</v>
      </c>
      <c r="R48" s="25">
        <f>M48*2*365/1000000</f>
        <v>0.56373519999999988</v>
      </c>
      <c r="S48" s="72">
        <f>M48*13*365/1000000*0.33</f>
        <v>1.2092120039999998</v>
      </c>
      <c r="T48" s="72">
        <f>M48*18*365/1000000*0.33</f>
        <v>1.6742935439999997</v>
      </c>
      <c r="U48" s="72">
        <f>M48*17*365/1000000*0.33</f>
        <v>1.5812772359999994</v>
      </c>
      <c r="V48" s="72">
        <f>M48*2.5*365/1000000*0.33</f>
        <v>0.23254076999999992</v>
      </c>
      <c r="W48" s="72">
        <f>M48*0.5*365/1000000*0.33</f>
        <v>4.6508153999999989E-2</v>
      </c>
      <c r="X48" s="72">
        <f>M48*19*365/1000000*0.33</f>
        <v>1.7673098519999995</v>
      </c>
      <c r="Y48" s="72">
        <f>M48*26*365/1000000*0.33</f>
        <v>2.4184240079999997</v>
      </c>
      <c r="Z48" s="72">
        <f>M48*18*365/1000000*0.33</f>
        <v>1.6742935439999997</v>
      </c>
      <c r="AA48" s="72">
        <f>M48*0*365/1000000*0.33</f>
        <v>0</v>
      </c>
      <c r="AB48" s="72">
        <f>M48*0*365/1000000*0.33</f>
        <v>0</v>
      </c>
      <c r="AC48" s="91">
        <f>N48-S48-X48</f>
        <v>13.935534143999998</v>
      </c>
      <c r="AD48" s="91">
        <f>O48-T48-Y48</f>
        <v>26.912718447999993</v>
      </c>
      <c r="AE48" s="91">
        <f>P48-U48-Z48</f>
        <v>16.475161219999997</v>
      </c>
      <c r="AF48" s="91">
        <f>Q48-V48-AA48</f>
        <v>2.5861352299999991</v>
      </c>
      <c r="AG48" s="91">
        <f>R48-W48-AB48</f>
        <v>0.51722704599999991</v>
      </c>
      <c r="AH48" s="39">
        <f>(K48+H48)*60*365/1000000</f>
        <v>135.27104399999999</v>
      </c>
      <c r="AI48" s="77">
        <f>($K48+$H48)*110*365/1000000</f>
        <v>247.996914</v>
      </c>
      <c r="AJ48" s="77">
        <f>($K48+$H48)*70*365/1000000</f>
        <v>157.81621799999999</v>
      </c>
      <c r="AK48" s="77">
        <f>($K48+$H48)*10*365/1000000</f>
        <v>22.545174000000003</v>
      </c>
      <c r="AL48" s="26">
        <f>($K48+$H48)*2*365/1000000</f>
        <v>4.5090348000000002</v>
      </c>
      <c r="AM48" s="27">
        <v>0.9</v>
      </c>
      <c r="AN48" s="27">
        <v>0.75</v>
      </c>
      <c r="AO48" s="27">
        <v>0.9</v>
      </c>
      <c r="AP48" s="27">
        <v>0.1</v>
      </c>
      <c r="AQ48" s="27">
        <v>0.1</v>
      </c>
      <c r="AR48" s="26">
        <f>(S48+AH48)*AM48</f>
        <v>122.83223040359999</v>
      </c>
      <c r="AS48" s="26">
        <f>(T48+AI48)*AN48</f>
        <v>187.25340565799999</v>
      </c>
      <c r="AT48" s="26">
        <f>(U48+AJ48)*AO48</f>
        <v>143.4577457124</v>
      </c>
      <c r="AU48" s="26">
        <f>(V48+AK48)*AP48</f>
        <v>2.2777714770000004</v>
      </c>
      <c r="AV48" s="26">
        <f>(W48+AL48)*AQ48</f>
        <v>0.45555429540000003</v>
      </c>
      <c r="AW48" s="26">
        <f>S48+AH48-AR48</f>
        <v>13.64802560039999</v>
      </c>
      <c r="AX48" s="26">
        <f>T48+AI48-AS48</f>
        <v>62.417801886000007</v>
      </c>
      <c r="AY48" s="26">
        <f>U48+AJ48-AT48</f>
        <v>15.9397495236</v>
      </c>
      <c r="AZ48" s="26">
        <f>V48+AK48-AU48</f>
        <v>20.499943293000001</v>
      </c>
      <c r="BA48" s="40">
        <f>W48+AL48-AV48</f>
        <v>4.0999886586000001</v>
      </c>
      <c r="BB48" s="37">
        <f>N48+AH48</f>
        <v>152.1831</v>
      </c>
      <c r="BC48" s="28">
        <f>O48+AI48</f>
        <v>279.00234999999998</v>
      </c>
      <c r="BD48" s="28">
        <f>P48+AJ48</f>
        <v>177.54694999999998</v>
      </c>
      <c r="BE48" s="29">
        <f>Q48+AK48</f>
        <v>25.363850000000003</v>
      </c>
      <c r="BF48" s="29">
        <f>R48+AL48</f>
        <v>5.0727700000000002</v>
      </c>
      <c r="BG48" s="28">
        <f>AC48+AW48</f>
        <v>27.583559744399988</v>
      </c>
      <c r="BH48" s="28">
        <f>AD48+AX48</f>
        <v>89.330520333999999</v>
      </c>
      <c r="BI48" s="28">
        <f>AE48+AY48</f>
        <v>32.414910743599997</v>
      </c>
      <c r="BJ48" s="29">
        <f>AF48+AZ48</f>
        <v>23.086078523000001</v>
      </c>
      <c r="BK48" s="29">
        <f>AG48+BA48</f>
        <v>4.6172157045999995</v>
      </c>
      <c r="BL48" s="28">
        <f>X48+AR48</f>
        <v>124.59954025559999</v>
      </c>
      <c r="BM48" s="28">
        <f>Y48+AS48</f>
        <v>189.67182966599998</v>
      </c>
      <c r="BN48" s="28">
        <f>Z48+AT48</f>
        <v>145.13203925639999</v>
      </c>
      <c r="BO48" s="29">
        <f>AA48+AU48</f>
        <v>2.2777714770000004</v>
      </c>
      <c r="BP48" s="30">
        <f>AB48+AV48</f>
        <v>0.45555429540000003</v>
      </c>
      <c r="BQ48" s="10">
        <v>161035</v>
      </c>
      <c r="BR48" s="6">
        <v>0</v>
      </c>
      <c r="BS48" t="s">
        <v>128</v>
      </c>
    </row>
    <row r="49" spans="1:71" x14ac:dyDescent="0.25">
      <c r="A49" s="18"/>
      <c r="B49" s="18">
        <v>40</v>
      </c>
      <c r="C49" s="19" t="s">
        <v>80</v>
      </c>
      <c r="D49" s="60">
        <v>4009</v>
      </c>
      <c r="E49" s="47" t="s">
        <v>183</v>
      </c>
      <c r="F49" s="13" t="s">
        <v>207</v>
      </c>
      <c r="G49" s="53">
        <v>3283</v>
      </c>
      <c r="H49" s="53">
        <v>0</v>
      </c>
      <c r="I49" s="50">
        <f>G49+H49</f>
        <v>3283</v>
      </c>
      <c r="J49" s="45">
        <v>0.67</v>
      </c>
      <c r="K49" s="65">
        <f>ROUND(G49*J49,2)</f>
        <v>2199.61</v>
      </c>
      <c r="L49" s="66">
        <f>1-J49</f>
        <v>0.32999999999999996</v>
      </c>
      <c r="M49" s="67">
        <f>G49-K49</f>
        <v>1083.3899999999999</v>
      </c>
      <c r="N49" s="43">
        <f>M49*60*365/1000000</f>
        <v>23.726240999999995</v>
      </c>
      <c r="O49" s="92">
        <f>M49*110*365/1000000</f>
        <v>43.498108499999994</v>
      </c>
      <c r="P49" s="72">
        <f>M49*70*365/1000000</f>
        <v>27.680614499999997</v>
      </c>
      <c r="Q49" s="72">
        <f>M49*10*365/1000000</f>
        <v>3.9543734999999991</v>
      </c>
      <c r="R49" s="25">
        <f>M49*2*365/1000000</f>
        <v>0.79087469999999993</v>
      </c>
      <c r="S49" s="72">
        <f>M49*13*365/1000000*0.33</f>
        <v>1.6964262314999996</v>
      </c>
      <c r="T49" s="72">
        <f>M49*18*365/1000000*0.33</f>
        <v>2.348897859</v>
      </c>
      <c r="U49" s="72">
        <f>M49*17*365/1000000*0.33</f>
        <v>2.2184035335000001</v>
      </c>
      <c r="V49" s="72">
        <f>M49*2.5*365/1000000*0.33</f>
        <v>0.32623581374999994</v>
      </c>
      <c r="W49" s="72">
        <f>M49*0.5*365/1000000*0.33</f>
        <v>6.5247162750000004E-2</v>
      </c>
      <c r="X49" s="72">
        <f>M49*19*365/1000000*0.33</f>
        <v>2.4793921844999995</v>
      </c>
      <c r="Y49" s="72">
        <f>M49*26*365/1000000*0.33</f>
        <v>3.3928524629999992</v>
      </c>
      <c r="Z49" s="72">
        <f>M49*18*365/1000000*0.33</f>
        <v>2.348897859</v>
      </c>
      <c r="AA49" s="72">
        <f>M49*0*365/1000000*0.33</f>
        <v>0</v>
      </c>
      <c r="AB49" s="72">
        <f>M49*0*365/1000000*0.33</f>
        <v>0</v>
      </c>
      <c r="AC49" s="91">
        <f>N49-S49-X49</f>
        <v>19.550422583999996</v>
      </c>
      <c r="AD49" s="91">
        <f>O49-T49-Y49</f>
        <v>37.756358177999999</v>
      </c>
      <c r="AE49" s="91">
        <f>P49-U49-Z49</f>
        <v>23.113313107499994</v>
      </c>
      <c r="AF49" s="91">
        <f>Q49-V49-AA49</f>
        <v>3.6281376862499992</v>
      </c>
      <c r="AG49" s="91">
        <f>R49-W49-AB49</f>
        <v>0.72562753724999995</v>
      </c>
      <c r="AH49" s="39">
        <f>(K49+H49)*60*365/1000000</f>
        <v>48.171458999999999</v>
      </c>
      <c r="AI49" s="77">
        <f>($K49+$H49)*110*365/1000000</f>
        <v>88.314341499999998</v>
      </c>
      <c r="AJ49" s="77">
        <f>($K49+$H49)*70*365/1000000</f>
        <v>56.200035500000006</v>
      </c>
      <c r="AK49" s="77">
        <f>($K49+$H49)*10*365/1000000</f>
        <v>8.0285765000000016</v>
      </c>
      <c r="AL49" s="26">
        <f>($K49+$H49)*2*365/1000000</f>
        <v>1.6057153</v>
      </c>
      <c r="AM49" s="27">
        <v>0.9</v>
      </c>
      <c r="AN49" s="27">
        <v>0.75</v>
      </c>
      <c r="AO49" s="27">
        <v>0.9</v>
      </c>
      <c r="AP49" s="27">
        <v>0.1</v>
      </c>
      <c r="AQ49" s="27">
        <v>0.1</v>
      </c>
      <c r="AR49" s="26">
        <f>(S49+AH49)*AM49</f>
        <v>44.88109670835</v>
      </c>
      <c r="AS49" s="26">
        <f>(T49+AI49)*AN49</f>
        <v>67.997429519250005</v>
      </c>
      <c r="AT49" s="26">
        <f>(U49+AJ49)*AO49</f>
        <v>52.576595130150011</v>
      </c>
      <c r="AU49" s="26">
        <f>(V49+AK49)*AP49</f>
        <v>0.83548123137500019</v>
      </c>
      <c r="AV49" s="26">
        <f>(W49+AL49)*AQ49</f>
        <v>0.167096246275</v>
      </c>
      <c r="AW49" s="26">
        <f>S49+AH49-AR49</f>
        <v>4.9867885231499969</v>
      </c>
      <c r="AX49" s="26">
        <f>T49+AI49-AS49</f>
        <v>22.665809839749997</v>
      </c>
      <c r="AY49" s="26">
        <f>U49+AJ49-AT49</f>
        <v>5.8418439033499965</v>
      </c>
      <c r="AZ49" s="26">
        <f>V49+AK49-AU49</f>
        <v>7.5193310823750004</v>
      </c>
      <c r="BA49" s="40">
        <f>W49+AL49-AV49</f>
        <v>1.5038662164749999</v>
      </c>
      <c r="BB49" s="37">
        <f>N49+AH49</f>
        <v>71.897699999999986</v>
      </c>
      <c r="BC49" s="28">
        <f>O49+AI49</f>
        <v>131.81244999999998</v>
      </c>
      <c r="BD49" s="28">
        <f>P49+AJ49</f>
        <v>83.880650000000003</v>
      </c>
      <c r="BE49" s="29">
        <f>Q49+AK49</f>
        <v>11.982950000000001</v>
      </c>
      <c r="BF49" s="29">
        <f>R49+AL49</f>
        <v>2.3965899999999998</v>
      </c>
      <c r="BG49" s="28">
        <f>AC49+AW49</f>
        <v>24.537211107149993</v>
      </c>
      <c r="BH49" s="28">
        <f>AD49+AX49</f>
        <v>60.422168017749996</v>
      </c>
      <c r="BI49" s="28">
        <f>AE49+AY49</f>
        <v>28.955157010849991</v>
      </c>
      <c r="BJ49" s="29">
        <f>AF49+AZ49</f>
        <v>11.147468768625</v>
      </c>
      <c r="BK49" s="29">
        <f>AG49+BA49</f>
        <v>2.2294937537249999</v>
      </c>
      <c r="BL49" s="28">
        <f>X49+AR49</f>
        <v>47.36048889285</v>
      </c>
      <c r="BM49" s="28">
        <f>Y49+AS49</f>
        <v>71.390281982250002</v>
      </c>
      <c r="BN49" s="28">
        <f>Z49+AT49</f>
        <v>54.925492989150008</v>
      </c>
      <c r="BO49" s="29">
        <f>AA49+AU49</f>
        <v>0.83548123137500019</v>
      </c>
      <c r="BP49" s="30">
        <f>AB49+AV49</f>
        <v>0.167096246275</v>
      </c>
      <c r="BQ49" s="10">
        <v>872050</v>
      </c>
      <c r="BR49" s="6">
        <v>0</v>
      </c>
      <c r="BS49" t="s">
        <v>128</v>
      </c>
    </row>
    <row r="50" spans="1:71" x14ac:dyDescent="0.25">
      <c r="A50" s="18"/>
      <c r="B50" s="18">
        <v>41</v>
      </c>
      <c r="C50" s="19" t="s">
        <v>82</v>
      </c>
      <c r="D50" s="60">
        <v>3942</v>
      </c>
      <c r="E50" s="47" t="s">
        <v>2</v>
      </c>
      <c r="F50" s="13" t="s">
        <v>208</v>
      </c>
      <c r="G50" s="53">
        <v>3350</v>
      </c>
      <c r="H50" s="53">
        <v>2000</v>
      </c>
      <c r="I50" s="50">
        <f>G50+H50</f>
        <v>5350</v>
      </c>
      <c r="J50" s="45">
        <v>0.73</v>
      </c>
      <c r="K50" s="65">
        <f>ROUND(G50*J50,2)</f>
        <v>2445.5</v>
      </c>
      <c r="L50" s="66">
        <f>1-J50</f>
        <v>0.27</v>
      </c>
      <c r="M50" s="67">
        <f>G50-K50</f>
        <v>904.5</v>
      </c>
      <c r="N50" s="43">
        <f>M50*60*365/1000000</f>
        <v>19.80855</v>
      </c>
      <c r="O50" s="92">
        <f>M50*110*365/1000000</f>
        <v>36.315674999999999</v>
      </c>
      <c r="P50" s="72">
        <f>M50*70*365/1000000</f>
        <v>23.109974999999999</v>
      </c>
      <c r="Q50" s="72">
        <f>M50*10*365/1000000</f>
        <v>3.3014250000000001</v>
      </c>
      <c r="R50" s="25">
        <f>M50*2*365/1000000</f>
        <v>0.66028500000000001</v>
      </c>
      <c r="S50" s="72">
        <f>M50*13*365/1000000*0.33</f>
        <v>1.4163113250000001</v>
      </c>
      <c r="T50" s="72">
        <f>M50*18*365/1000000*0.33</f>
        <v>1.9610464500000002</v>
      </c>
      <c r="U50" s="72">
        <f>M50*17*365/1000000*0.33</f>
        <v>1.852099425</v>
      </c>
      <c r="V50" s="72">
        <f>M50*2.5*365/1000000*0.33</f>
        <v>0.27236756249999999</v>
      </c>
      <c r="W50" s="72">
        <f>M50*0.5*365/1000000*0.33</f>
        <v>5.4473512500000001E-2</v>
      </c>
      <c r="X50" s="72">
        <f>M50*19*365/1000000*0.33</f>
        <v>2.069993475</v>
      </c>
      <c r="Y50" s="72">
        <f>M50*26*365/1000000*0.33</f>
        <v>2.8326226500000002</v>
      </c>
      <c r="Z50" s="72">
        <f>M50*18*365/1000000*0.33</f>
        <v>1.9610464500000002</v>
      </c>
      <c r="AA50" s="72">
        <f>M50*0*365/1000000*0.33</f>
        <v>0</v>
      </c>
      <c r="AB50" s="72">
        <f>M50*0*365/1000000*0.33</f>
        <v>0</v>
      </c>
      <c r="AC50" s="91">
        <f>N50-S50-X50</f>
        <v>16.322245200000001</v>
      </c>
      <c r="AD50" s="91">
        <f>O50-T50-Y50</f>
        <v>31.5220059</v>
      </c>
      <c r="AE50" s="91">
        <f>P50-U50-Z50</f>
        <v>19.296829124999999</v>
      </c>
      <c r="AF50" s="91">
        <f>Q50-V50-AA50</f>
        <v>3.0290574375000001</v>
      </c>
      <c r="AG50" s="91">
        <f>R50-W50-AB50</f>
        <v>0.60581148750000002</v>
      </c>
      <c r="AH50" s="39">
        <f>(K50+H50)*60*365/1000000</f>
        <v>97.356449999999995</v>
      </c>
      <c r="AI50" s="77">
        <f>($K50+$H50)*110*365/1000000</f>
        <v>178.48682500000001</v>
      </c>
      <c r="AJ50" s="77">
        <f>($K50+$H50)*70*365/1000000</f>
        <v>113.582525</v>
      </c>
      <c r="AK50" s="77">
        <f>($K50+$H50)*10*365/1000000</f>
        <v>16.226075000000002</v>
      </c>
      <c r="AL50" s="26">
        <f>($K50+$H50)*2*365/1000000</f>
        <v>3.245215</v>
      </c>
      <c r="AM50" s="27">
        <v>0.9</v>
      </c>
      <c r="AN50" s="27">
        <v>0.75</v>
      </c>
      <c r="AO50" s="27">
        <v>0.9</v>
      </c>
      <c r="AP50" s="27">
        <v>0.1</v>
      </c>
      <c r="AQ50" s="27">
        <v>0.1</v>
      </c>
      <c r="AR50" s="26">
        <f>(S50+AH50)*AM50</f>
        <v>88.89548519249999</v>
      </c>
      <c r="AS50" s="26">
        <f>(T50+AI50)*AN50</f>
        <v>135.33590358750001</v>
      </c>
      <c r="AT50" s="26">
        <f>(U50+AJ50)*AO50</f>
        <v>103.89116198250001</v>
      </c>
      <c r="AU50" s="26">
        <f>(V50+AK50)*AP50</f>
        <v>1.6498442562500004</v>
      </c>
      <c r="AV50" s="26">
        <f>(W50+AL50)*AQ50</f>
        <v>0.32996885125000003</v>
      </c>
      <c r="AW50" s="26">
        <f>S50+AH50-AR50</f>
        <v>9.8772761325000005</v>
      </c>
      <c r="AX50" s="26">
        <f>T50+AI50-AS50</f>
        <v>45.111967862499995</v>
      </c>
      <c r="AY50" s="26">
        <f>U50+AJ50-AT50</f>
        <v>11.543462442500001</v>
      </c>
      <c r="AZ50" s="26">
        <f>V50+AK50-AU50</f>
        <v>14.848598306250002</v>
      </c>
      <c r="BA50" s="40">
        <f>W50+AL50-AV50</f>
        <v>2.9697196612500001</v>
      </c>
      <c r="BB50" s="37">
        <f>N50+AH50</f>
        <v>117.16499999999999</v>
      </c>
      <c r="BC50" s="28">
        <f>O50+AI50</f>
        <v>214.80250000000001</v>
      </c>
      <c r="BD50" s="28">
        <f>P50+AJ50</f>
        <v>136.6925</v>
      </c>
      <c r="BE50" s="29">
        <f>Q50+AK50</f>
        <v>19.527500000000003</v>
      </c>
      <c r="BF50" s="29">
        <f>R50+AL50</f>
        <v>3.9055</v>
      </c>
      <c r="BG50" s="28">
        <f>AC50+AW50</f>
        <v>26.199521332500002</v>
      </c>
      <c r="BH50" s="28">
        <f>AD50+AX50</f>
        <v>76.633973762499991</v>
      </c>
      <c r="BI50" s="28">
        <f>AE50+AY50</f>
        <v>30.8402915675</v>
      </c>
      <c r="BJ50" s="29">
        <f>AF50+AZ50</f>
        <v>17.877655743750001</v>
      </c>
      <c r="BK50" s="29">
        <f>AG50+BA50</f>
        <v>3.5755311487500001</v>
      </c>
      <c r="BL50" s="28">
        <f>X50+AR50</f>
        <v>90.965478667499994</v>
      </c>
      <c r="BM50" s="28">
        <f>Y50+AS50</f>
        <v>138.1685262375</v>
      </c>
      <c r="BN50" s="28">
        <f>Z50+AT50</f>
        <v>105.85220843250001</v>
      </c>
      <c r="BO50" s="29">
        <f>AA50+AU50</f>
        <v>1.6498442562500004</v>
      </c>
      <c r="BP50" s="30">
        <f>AB50+AV50</f>
        <v>0.32996885125000003</v>
      </c>
      <c r="BQ50" s="10">
        <v>0</v>
      </c>
      <c r="BR50" s="6">
        <v>70000</v>
      </c>
      <c r="BS50" t="s">
        <v>128</v>
      </c>
    </row>
    <row r="51" spans="1:71" x14ac:dyDescent="0.25">
      <c r="A51" s="18"/>
      <c r="B51" s="18">
        <v>42</v>
      </c>
      <c r="C51" s="19" t="s">
        <v>83</v>
      </c>
      <c r="D51" s="60">
        <v>3852</v>
      </c>
      <c r="E51" s="47" t="s">
        <v>146</v>
      </c>
      <c r="F51" s="13" t="s">
        <v>209</v>
      </c>
      <c r="G51" s="53">
        <v>4740</v>
      </c>
      <c r="H51" s="54">
        <v>319</v>
      </c>
      <c r="I51" s="50">
        <f>G51+H51</f>
        <v>5059</v>
      </c>
      <c r="J51" s="45">
        <v>0.69</v>
      </c>
      <c r="K51" s="65">
        <f>ROUND(G51*J51,2)</f>
        <v>3270.6</v>
      </c>
      <c r="L51" s="66">
        <f>1-J51</f>
        <v>0.31000000000000005</v>
      </c>
      <c r="M51" s="67">
        <f>G51-K51</f>
        <v>1469.4</v>
      </c>
      <c r="N51" s="43">
        <f>M51*60*365/1000000</f>
        <v>32.179859999999998</v>
      </c>
      <c r="O51" s="92">
        <f>M51*110*365/1000000</f>
        <v>58.996409999999997</v>
      </c>
      <c r="P51" s="72">
        <f>M51*70*365/1000000</f>
        <v>37.543170000000003</v>
      </c>
      <c r="Q51" s="72">
        <f>M51*10*365/1000000</f>
        <v>5.3633100000000002</v>
      </c>
      <c r="R51" s="25">
        <f>M51*2*365/1000000</f>
        <v>1.072662</v>
      </c>
      <c r="S51" s="72">
        <f>M51*13*365/1000000*0.33</f>
        <v>2.3008599900000002</v>
      </c>
      <c r="T51" s="72">
        <f>M51*18*365/1000000*0.33</f>
        <v>3.18580614</v>
      </c>
      <c r="U51" s="72">
        <f>M51*17*365/1000000*0.33</f>
        <v>3.0088169100000011</v>
      </c>
      <c r="V51" s="72">
        <f>M51*2.5*365/1000000*0.33</f>
        <v>0.44247307500000005</v>
      </c>
      <c r="W51" s="72">
        <f>M51*0.5*365/1000000*0.33</f>
        <v>8.8494614999999999E-2</v>
      </c>
      <c r="X51" s="72">
        <f>M51*19*365/1000000*0.33</f>
        <v>3.3627953700000002</v>
      </c>
      <c r="Y51" s="72">
        <f>M51*26*365/1000000*0.33</f>
        <v>4.6017199800000004</v>
      </c>
      <c r="Z51" s="72">
        <f>M51*18*365/1000000*0.33</f>
        <v>3.18580614</v>
      </c>
      <c r="AA51" s="72">
        <f>M51*0*365/1000000*0.33</f>
        <v>0</v>
      </c>
      <c r="AB51" s="72">
        <f>M51*0*365/1000000*0.33</f>
        <v>0</v>
      </c>
      <c r="AC51" s="91">
        <f>N51-S51-X51</f>
        <v>26.516204639999998</v>
      </c>
      <c r="AD51" s="91">
        <f>O51-T51-Y51</f>
        <v>51.208883880000002</v>
      </c>
      <c r="AE51" s="91">
        <f>P51-U51-Z51</f>
        <v>31.348546950000003</v>
      </c>
      <c r="AF51" s="91">
        <f>Q51-V51-AA51</f>
        <v>4.9208369250000006</v>
      </c>
      <c r="AG51" s="91">
        <f>R51-W51-AB51</f>
        <v>0.98416738500000001</v>
      </c>
      <c r="AH51" s="39">
        <f>(K51+H51)*60*365/1000000</f>
        <v>78.61224</v>
      </c>
      <c r="AI51" s="77">
        <f>($K51+$H51)*110*365/1000000</f>
        <v>144.12244000000001</v>
      </c>
      <c r="AJ51" s="77">
        <f>($K51+$H51)*70*365/1000000</f>
        <v>91.714280000000002</v>
      </c>
      <c r="AK51" s="77">
        <f>($K51+$H51)*10*365/1000000</f>
        <v>13.102040000000001</v>
      </c>
      <c r="AL51" s="26">
        <f>($K51+$H51)*2*365/1000000</f>
        <v>2.6204079999999998</v>
      </c>
      <c r="AM51" s="27">
        <v>0.9</v>
      </c>
      <c r="AN51" s="27">
        <v>0.75</v>
      </c>
      <c r="AO51" s="27">
        <v>0.9</v>
      </c>
      <c r="AP51" s="27">
        <v>0.1</v>
      </c>
      <c r="AQ51" s="27">
        <v>0.1</v>
      </c>
      <c r="AR51" s="26">
        <f>(S51+AH51)*AM51</f>
        <v>72.821789991000003</v>
      </c>
      <c r="AS51" s="26">
        <f>(T51+AI51)*AN51</f>
        <v>110.48118460500001</v>
      </c>
      <c r="AT51" s="26">
        <f>(U51+AJ51)*AO51</f>
        <v>85.250787219000017</v>
      </c>
      <c r="AU51" s="26">
        <f>(V51+AK51)*AP51</f>
        <v>1.3544513075000002</v>
      </c>
      <c r="AV51" s="26">
        <f>(W51+AL51)*AQ51</f>
        <v>0.27089026150000001</v>
      </c>
      <c r="AW51" s="26">
        <f>S51+AH51-AR51</f>
        <v>8.0913099990000035</v>
      </c>
      <c r="AX51" s="26">
        <f>T51+AI51-AS51</f>
        <v>36.827061535000013</v>
      </c>
      <c r="AY51" s="26">
        <f>U51+AJ51-AT51</f>
        <v>9.4723096909999924</v>
      </c>
      <c r="AZ51" s="26">
        <f>V51+AK51-AU51</f>
        <v>12.190061767500001</v>
      </c>
      <c r="BA51" s="40">
        <f>W51+AL51-AV51</f>
        <v>2.4380123535</v>
      </c>
      <c r="BB51" s="37">
        <f>N51+AH51</f>
        <v>110.7921</v>
      </c>
      <c r="BC51" s="28">
        <f>O51+AI51</f>
        <v>203.11885000000001</v>
      </c>
      <c r="BD51" s="28">
        <f>P51+AJ51</f>
        <v>129.25745000000001</v>
      </c>
      <c r="BE51" s="29">
        <f>Q51+AK51</f>
        <v>18.465350000000001</v>
      </c>
      <c r="BF51" s="29">
        <f>R51+AL51</f>
        <v>3.6930699999999996</v>
      </c>
      <c r="BG51" s="28">
        <f>AC51+AW51</f>
        <v>34.607514639000001</v>
      </c>
      <c r="BH51" s="28">
        <f>AD51+AX51</f>
        <v>88.035945415000015</v>
      </c>
      <c r="BI51" s="28">
        <f>AE51+AY51</f>
        <v>40.820856640999992</v>
      </c>
      <c r="BJ51" s="29">
        <f>AF51+AZ51</f>
        <v>17.110898692500001</v>
      </c>
      <c r="BK51" s="29">
        <f>AG51+BA51</f>
        <v>3.4221797385000001</v>
      </c>
      <c r="BL51" s="28">
        <f>X51+AR51</f>
        <v>76.184585361000003</v>
      </c>
      <c r="BM51" s="28">
        <f>Y51+AS51</f>
        <v>115.08290458500001</v>
      </c>
      <c r="BN51" s="28">
        <f>Z51+AT51</f>
        <v>88.436593359000014</v>
      </c>
      <c r="BO51" s="29">
        <f>AA51+AU51</f>
        <v>1.3544513075000002</v>
      </c>
      <c r="BP51" s="30">
        <f>AB51+AV51</f>
        <v>0.27089026150000001</v>
      </c>
      <c r="BQ51" s="10">
        <v>0</v>
      </c>
      <c r="BR51" s="6">
        <v>0</v>
      </c>
      <c r="BS51" t="s">
        <v>3</v>
      </c>
    </row>
    <row r="52" spans="1:71" ht="30" x14ac:dyDescent="0.25">
      <c r="A52" s="18"/>
      <c r="B52" s="18">
        <v>43</v>
      </c>
      <c r="C52" s="19" t="s">
        <v>84</v>
      </c>
      <c r="D52" s="60">
        <v>3819</v>
      </c>
      <c r="E52" s="57" t="s">
        <v>147</v>
      </c>
      <c r="F52" s="14" t="s">
        <v>206</v>
      </c>
      <c r="G52" s="53">
        <v>4298</v>
      </c>
      <c r="H52" s="54">
        <v>0</v>
      </c>
      <c r="I52" s="50">
        <f>G52+H52</f>
        <v>4298</v>
      </c>
      <c r="J52" s="45">
        <v>0.4</v>
      </c>
      <c r="K52" s="65">
        <f>ROUND(G52*J52,2)</f>
        <v>1719.2</v>
      </c>
      <c r="L52" s="66">
        <f>1-J52</f>
        <v>0.6</v>
      </c>
      <c r="M52" s="67">
        <f>G52-K52</f>
        <v>2578.8000000000002</v>
      </c>
      <c r="N52" s="43">
        <f>M52*60*365/1000000</f>
        <v>56.475720000000003</v>
      </c>
      <c r="O52" s="92">
        <f>M52*110*365/1000000</f>
        <v>103.53882</v>
      </c>
      <c r="P52" s="72">
        <f>M52*70*365/1000000</f>
        <v>65.888339999999999</v>
      </c>
      <c r="Q52" s="72">
        <f>M52*10*365/1000000</f>
        <v>9.4126200000000004</v>
      </c>
      <c r="R52" s="25">
        <f>M52*2*365/1000000</f>
        <v>1.8825240000000003</v>
      </c>
      <c r="S52" s="72">
        <f>M52*13*365/1000000*0.33</f>
        <v>4.0380139800000006</v>
      </c>
      <c r="T52" s="72">
        <f>M52*18*365/1000000*0.33</f>
        <v>5.5910962800000004</v>
      </c>
      <c r="U52" s="72">
        <f>M52*17*365/1000000*0.33</f>
        <v>5.2804798200000009</v>
      </c>
      <c r="V52" s="72">
        <f>M52*2.5*365/1000000*0.33</f>
        <v>0.77654115000000012</v>
      </c>
      <c r="W52" s="72">
        <f>M52*0.5*365/1000000*0.33</f>
        <v>0.15530823000000002</v>
      </c>
      <c r="X52" s="72">
        <f>M52*19*365/1000000*0.33</f>
        <v>5.9017127399999998</v>
      </c>
      <c r="Y52" s="72">
        <f>M52*26*365/1000000*0.33</f>
        <v>8.0760279600000011</v>
      </c>
      <c r="Z52" s="72">
        <f>M52*18*365/1000000*0.33</f>
        <v>5.5910962800000004</v>
      </c>
      <c r="AA52" s="72">
        <f>M52*0*365/1000000*0.33</f>
        <v>0</v>
      </c>
      <c r="AB52" s="72">
        <f>M52*0*365/1000000*0.33</f>
        <v>0</v>
      </c>
      <c r="AC52" s="91">
        <f>N52-S52-X52</f>
        <v>46.53599328</v>
      </c>
      <c r="AD52" s="91">
        <f>O52-T52-Y52</f>
        <v>89.871695759999994</v>
      </c>
      <c r="AE52" s="91">
        <f>P52-U52-Z52</f>
        <v>55.016763899999994</v>
      </c>
      <c r="AF52" s="91">
        <f>Q52-V52-AA52</f>
        <v>8.6360788500000005</v>
      </c>
      <c r="AG52" s="91">
        <f>R52-W52-AB52</f>
        <v>1.7272157700000004</v>
      </c>
      <c r="AH52" s="39">
        <f>(K52+H52)*60*365/1000000</f>
        <v>37.650480000000002</v>
      </c>
      <c r="AI52" s="77">
        <f>($K52+$H52)*110*365/1000000</f>
        <v>69.025880000000001</v>
      </c>
      <c r="AJ52" s="77">
        <f>($K52+$H52)*70*365/1000000</f>
        <v>43.925559999999997</v>
      </c>
      <c r="AK52" s="77">
        <f>($K52+$H52)*10*365/1000000</f>
        <v>6.27508</v>
      </c>
      <c r="AL52" s="26">
        <f>($K52+$H52)*2*365/1000000</f>
        <v>1.2550159999999999</v>
      </c>
      <c r="AM52" s="27">
        <v>0.9</v>
      </c>
      <c r="AN52" s="27">
        <v>0.75</v>
      </c>
      <c r="AO52" s="27">
        <v>0.9</v>
      </c>
      <c r="AP52" s="27">
        <v>0.1</v>
      </c>
      <c r="AQ52" s="27">
        <v>0.1</v>
      </c>
      <c r="AR52" s="26">
        <f>(S52+AH52)*AM52</f>
        <v>37.519644582000005</v>
      </c>
      <c r="AS52" s="26">
        <f>(T52+AI52)*AN52</f>
        <v>55.962732209999999</v>
      </c>
      <c r="AT52" s="26">
        <f>(U52+AJ52)*AO52</f>
        <v>44.285435838000005</v>
      </c>
      <c r="AU52" s="26">
        <f>(V52+AK52)*AP52</f>
        <v>0.70516211500000003</v>
      </c>
      <c r="AV52" s="26">
        <f>(W52+AL52)*AQ52</f>
        <v>0.14103242299999999</v>
      </c>
      <c r="AW52" s="26">
        <f>S52+AH52-AR52</f>
        <v>4.168849397999999</v>
      </c>
      <c r="AX52" s="26">
        <f>T52+AI52-AS52</f>
        <v>18.654244070000004</v>
      </c>
      <c r="AY52" s="26">
        <f>U52+AJ52-AT52</f>
        <v>4.9206039819999958</v>
      </c>
      <c r="AZ52" s="26">
        <f>V52+AK52-AU52</f>
        <v>6.3464590349999996</v>
      </c>
      <c r="BA52" s="40">
        <f>W52+AL52-AV52</f>
        <v>1.2692918069999999</v>
      </c>
      <c r="BB52" s="37">
        <f>N52+AH52</f>
        <v>94.126200000000011</v>
      </c>
      <c r="BC52" s="28">
        <f>O52+AI52</f>
        <v>172.56470000000002</v>
      </c>
      <c r="BD52" s="28">
        <f>P52+AJ52</f>
        <v>109.81389999999999</v>
      </c>
      <c r="BE52" s="29">
        <f>Q52+AK52</f>
        <v>15.6877</v>
      </c>
      <c r="BF52" s="29">
        <f>R52+AL52</f>
        <v>3.1375400000000004</v>
      </c>
      <c r="BG52" s="28">
        <f>AC52+AW52</f>
        <v>50.704842677999999</v>
      </c>
      <c r="BH52" s="28">
        <f>AD52+AX52</f>
        <v>108.52593983</v>
      </c>
      <c r="BI52" s="28">
        <f>AE52+AY52</f>
        <v>59.93736788199999</v>
      </c>
      <c r="BJ52" s="29">
        <f>AF52+AZ52</f>
        <v>14.982537884999999</v>
      </c>
      <c r="BK52" s="29">
        <f>AG52+BA52</f>
        <v>2.996507577</v>
      </c>
      <c r="BL52" s="28">
        <f>X52+AR52</f>
        <v>43.421357322000006</v>
      </c>
      <c r="BM52" s="28">
        <f>Y52+AS52</f>
        <v>64.038760170000003</v>
      </c>
      <c r="BN52" s="28">
        <f>Z52+AT52</f>
        <v>49.876532118000007</v>
      </c>
      <c r="BO52" s="29">
        <f>AA52+AU52</f>
        <v>0.70516211500000003</v>
      </c>
      <c r="BP52" s="30">
        <f>AB52+AV52</f>
        <v>0.14103242299999999</v>
      </c>
      <c r="BQ52" s="10">
        <v>1273920</v>
      </c>
      <c r="BR52" s="6">
        <v>317000</v>
      </c>
      <c r="BS52" t="s">
        <v>128</v>
      </c>
    </row>
    <row r="53" spans="1:71" x14ac:dyDescent="0.25">
      <c r="A53" s="18"/>
      <c r="B53" s="18">
        <v>44</v>
      </c>
      <c r="C53" s="19" t="s">
        <v>88</v>
      </c>
      <c r="D53" s="60">
        <v>3766</v>
      </c>
      <c r="E53" s="47" t="s">
        <v>181</v>
      </c>
      <c r="F53" s="13" t="s">
        <v>209</v>
      </c>
      <c r="G53" s="53">
        <v>4500</v>
      </c>
      <c r="H53" s="54">
        <v>320</v>
      </c>
      <c r="I53" s="50">
        <f>G53+H53</f>
        <v>4820</v>
      </c>
      <c r="J53" s="45">
        <v>0.78</v>
      </c>
      <c r="K53" s="65">
        <f>ROUND(G53*J53,2)</f>
        <v>3510</v>
      </c>
      <c r="L53" s="66">
        <f>1-J53</f>
        <v>0.21999999999999997</v>
      </c>
      <c r="M53" s="67">
        <f>G53-K53</f>
        <v>990</v>
      </c>
      <c r="N53" s="43">
        <f>M53*60*365/1000000</f>
        <v>21.681000000000001</v>
      </c>
      <c r="O53" s="92">
        <f>M53*110*365/1000000</f>
        <v>39.7485</v>
      </c>
      <c r="P53" s="72">
        <f>M53*70*365/1000000</f>
        <v>25.294499999999999</v>
      </c>
      <c r="Q53" s="72">
        <f>M53*10*365/1000000</f>
        <v>3.6135000000000002</v>
      </c>
      <c r="R53" s="25">
        <f>M53*2*365/1000000</f>
        <v>0.72270000000000001</v>
      </c>
      <c r="S53" s="72">
        <f>M53*13*365/1000000*0.33</f>
        <v>1.5501914999999999</v>
      </c>
      <c r="T53" s="72">
        <f>M53*18*365/1000000*0.33</f>
        <v>2.1464189999999999</v>
      </c>
      <c r="U53" s="72">
        <f>M53*17*365/1000000*0.33</f>
        <v>2.0271735</v>
      </c>
      <c r="V53" s="72">
        <f>M53*2.5*365/1000000*0.33</f>
        <v>0.29811375000000001</v>
      </c>
      <c r="W53" s="72">
        <f>M53*0.5*365/1000000*0.33</f>
        <v>5.9622750000000002E-2</v>
      </c>
      <c r="X53" s="72">
        <f>M53*19*365/1000000*0.33</f>
        <v>2.2656645000000002</v>
      </c>
      <c r="Y53" s="72">
        <f>M53*26*365/1000000*0.33</f>
        <v>3.1003829999999999</v>
      </c>
      <c r="Z53" s="72">
        <f>M53*18*365/1000000*0.33</f>
        <v>2.1464189999999999</v>
      </c>
      <c r="AA53" s="72">
        <f>M53*0*365/1000000*0.33</f>
        <v>0</v>
      </c>
      <c r="AB53" s="72">
        <f>M53*0*365/1000000*0.33</f>
        <v>0</v>
      </c>
      <c r="AC53" s="91">
        <f>N53-S53-X53</f>
        <v>17.865144000000001</v>
      </c>
      <c r="AD53" s="91">
        <f>O53-T53-Y53</f>
        <v>34.501697999999998</v>
      </c>
      <c r="AE53" s="91">
        <f>P53-U53-Z53</f>
        <v>21.120907500000001</v>
      </c>
      <c r="AF53" s="91">
        <f>Q53-V53-AA53</f>
        <v>3.31538625</v>
      </c>
      <c r="AG53" s="91">
        <f>R53-W53-AB53</f>
        <v>0.66307724999999995</v>
      </c>
      <c r="AH53" s="39">
        <f>(K53+H53)*60*365/1000000</f>
        <v>83.876999999999995</v>
      </c>
      <c r="AI53" s="77">
        <f>($K53+$H53)*110*365/1000000</f>
        <v>153.77449999999999</v>
      </c>
      <c r="AJ53" s="77">
        <f>($K53+$H53)*70*365/1000000</f>
        <v>97.856499999999997</v>
      </c>
      <c r="AK53" s="77">
        <f>($K53+$H53)*10*365/1000000</f>
        <v>13.9795</v>
      </c>
      <c r="AL53" s="26">
        <f>($K53+$H53)*2*365/1000000</f>
        <v>2.7959000000000001</v>
      </c>
      <c r="AM53" s="27">
        <v>0.9</v>
      </c>
      <c r="AN53" s="27">
        <v>0.75</v>
      </c>
      <c r="AO53" s="27">
        <v>0.9</v>
      </c>
      <c r="AP53" s="27">
        <v>0.1</v>
      </c>
      <c r="AQ53" s="27">
        <v>0.1</v>
      </c>
      <c r="AR53" s="26">
        <f>(S53+AH53)*AM53</f>
        <v>76.884472349999996</v>
      </c>
      <c r="AS53" s="26">
        <f>(T53+AI53)*AN53</f>
        <v>116.94068924999999</v>
      </c>
      <c r="AT53" s="26">
        <f>(U53+AJ53)*AO53</f>
        <v>89.895306149999996</v>
      </c>
      <c r="AU53" s="26">
        <f>(V53+AK53)*AP53</f>
        <v>1.4277613750000002</v>
      </c>
      <c r="AV53" s="26">
        <f>(W53+AL53)*AQ53</f>
        <v>0.28555227500000002</v>
      </c>
      <c r="AW53" s="26">
        <f>S53+AH53-AR53</f>
        <v>8.5427191499999964</v>
      </c>
      <c r="AX53" s="26">
        <f>T53+AI53-AS53</f>
        <v>38.980229750000007</v>
      </c>
      <c r="AY53" s="26">
        <f>U53+AJ53-AT53</f>
        <v>9.9883673500000043</v>
      </c>
      <c r="AZ53" s="26">
        <f>V53+AK53-AU53</f>
        <v>12.849852375000001</v>
      </c>
      <c r="BA53" s="40">
        <f>W53+AL53-AV53</f>
        <v>2.5699704749999999</v>
      </c>
      <c r="BB53" s="37">
        <f>N53+AH53</f>
        <v>105.55799999999999</v>
      </c>
      <c r="BC53" s="28">
        <f>O53+AI53</f>
        <v>193.523</v>
      </c>
      <c r="BD53" s="28">
        <f>P53+AJ53</f>
        <v>123.151</v>
      </c>
      <c r="BE53" s="29">
        <f>Q53+AK53</f>
        <v>17.593</v>
      </c>
      <c r="BF53" s="29">
        <f>R53+AL53</f>
        <v>3.5186000000000002</v>
      </c>
      <c r="BG53" s="28">
        <f>AC53+AW53</f>
        <v>26.407863149999997</v>
      </c>
      <c r="BH53" s="28">
        <f>AD53+AX53</f>
        <v>73.481927750000011</v>
      </c>
      <c r="BI53" s="28">
        <f>AE53+AY53</f>
        <v>31.109274850000006</v>
      </c>
      <c r="BJ53" s="29">
        <f>AF53+AZ53</f>
        <v>16.165238625000001</v>
      </c>
      <c r="BK53" s="29">
        <f>AG53+BA53</f>
        <v>3.2330477249999996</v>
      </c>
      <c r="BL53" s="28">
        <f>X53+AR53</f>
        <v>79.150136849999996</v>
      </c>
      <c r="BM53" s="28">
        <f>Y53+AS53</f>
        <v>120.04107224999998</v>
      </c>
      <c r="BN53" s="28">
        <f>Z53+AT53</f>
        <v>92.041725149999991</v>
      </c>
      <c r="BO53" s="29">
        <f>AA53+AU53</f>
        <v>1.4277613750000002</v>
      </c>
      <c r="BP53" s="30">
        <f>AB53+AV53</f>
        <v>0.28555227500000002</v>
      </c>
      <c r="BQ53" s="10">
        <v>98050</v>
      </c>
      <c r="BR53" s="6">
        <v>257190</v>
      </c>
      <c r="BS53" t="s">
        <v>180</v>
      </c>
    </row>
    <row r="54" spans="1:71" ht="30" x14ac:dyDescent="0.25">
      <c r="A54" s="18"/>
      <c r="B54" s="18">
        <v>45</v>
      </c>
      <c r="C54" s="19" t="s">
        <v>85</v>
      </c>
      <c r="D54" s="60">
        <v>3616</v>
      </c>
      <c r="E54" s="57" t="s">
        <v>147</v>
      </c>
      <c r="F54" s="14" t="s">
        <v>207</v>
      </c>
      <c r="G54" s="53">
        <v>4200</v>
      </c>
      <c r="H54" s="53">
        <v>3562</v>
      </c>
      <c r="I54" s="50">
        <f>G54+H54</f>
        <v>7762</v>
      </c>
      <c r="J54" s="45">
        <v>0.6</v>
      </c>
      <c r="K54" s="65">
        <f>ROUND(G54*J54,2)</f>
        <v>2520</v>
      </c>
      <c r="L54" s="66">
        <f>1-J54</f>
        <v>0.4</v>
      </c>
      <c r="M54" s="67">
        <f>G54-K54</f>
        <v>1680</v>
      </c>
      <c r="N54" s="43">
        <f>M54*60*365/1000000</f>
        <v>36.792000000000002</v>
      </c>
      <c r="O54" s="92">
        <f>M54*110*365/1000000</f>
        <v>67.451999999999998</v>
      </c>
      <c r="P54" s="72">
        <f>M54*70*365/1000000</f>
        <v>42.923999999999999</v>
      </c>
      <c r="Q54" s="72">
        <f>M54*10*365/1000000</f>
        <v>6.1319999999999997</v>
      </c>
      <c r="R54" s="25">
        <f>M54*2*365/1000000</f>
        <v>1.2263999999999999</v>
      </c>
      <c r="S54" s="72">
        <f>M54*13*365/1000000*0.33</f>
        <v>2.6306280000000002</v>
      </c>
      <c r="T54" s="72">
        <f>M54*18*365/1000000*0.33</f>
        <v>3.6424080000000001</v>
      </c>
      <c r="U54" s="72">
        <f>M54*17*365/1000000*0.33</f>
        <v>3.4400520000000001</v>
      </c>
      <c r="V54" s="72">
        <f>M54*2.5*365/1000000*0.33</f>
        <v>0.50588999999999995</v>
      </c>
      <c r="W54" s="72">
        <f>M54*0.5*365/1000000*0.33</f>
        <v>0.101178</v>
      </c>
      <c r="X54" s="72">
        <f>M54*19*365/1000000*0.33</f>
        <v>3.8447640000000001</v>
      </c>
      <c r="Y54" s="72">
        <f>M54*26*365/1000000*0.33</f>
        <v>5.2612560000000004</v>
      </c>
      <c r="Z54" s="72">
        <f>M54*18*365/1000000*0.33</f>
        <v>3.6424080000000001</v>
      </c>
      <c r="AA54" s="72">
        <f>M54*0*365/1000000*0.33</f>
        <v>0</v>
      </c>
      <c r="AB54" s="72">
        <f>M54*0*365/1000000*0.33</f>
        <v>0</v>
      </c>
      <c r="AC54" s="91">
        <f>N54-S54-X54</f>
        <v>30.316607999999999</v>
      </c>
      <c r="AD54" s="91">
        <f>O54-T54-Y54</f>
        <v>58.548335999999992</v>
      </c>
      <c r="AE54" s="91">
        <f>P54-U54-Z54</f>
        <v>35.841539999999995</v>
      </c>
      <c r="AF54" s="91">
        <f>Q54-V54-AA54</f>
        <v>5.6261099999999997</v>
      </c>
      <c r="AG54" s="91">
        <f>R54-W54-AB54</f>
        <v>1.1252219999999999</v>
      </c>
      <c r="AH54" s="39">
        <f>(K54+H54)*60*365/1000000</f>
        <v>133.19579999999999</v>
      </c>
      <c r="AI54" s="77">
        <f>($K54+$H54)*110*365/1000000</f>
        <v>244.19229999999999</v>
      </c>
      <c r="AJ54" s="77">
        <f>($K54+$H54)*70*365/1000000</f>
        <v>155.39510000000001</v>
      </c>
      <c r="AK54" s="77">
        <f>($K54+$H54)*10*365/1000000</f>
        <v>22.199300000000001</v>
      </c>
      <c r="AL54" s="26">
        <f>($K54+$H54)*2*365/1000000</f>
        <v>4.4398600000000004</v>
      </c>
      <c r="AM54" s="27">
        <v>0.9</v>
      </c>
      <c r="AN54" s="27">
        <v>0.75</v>
      </c>
      <c r="AO54" s="27">
        <v>0.9</v>
      </c>
      <c r="AP54" s="27">
        <v>0.1</v>
      </c>
      <c r="AQ54" s="27">
        <v>0.1</v>
      </c>
      <c r="AR54" s="26">
        <f>(S54+AH54)*AM54</f>
        <v>122.24378519999999</v>
      </c>
      <c r="AS54" s="26">
        <f>(T54+AI54)*AN54</f>
        <v>185.87603099999998</v>
      </c>
      <c r="AT54" s="26">
        <f>(U54+AJ54)*AO54</f>
        <v>142.95163680000002</v>
      </c>
      <c r="AU54" s="26">
        <f>(V54+AK54)*AP54</f>
        <v>2.2705190000000002</v>
      </c>
      <c r="AV54" s="26">
        <f>(W54+AL54)*AQ54</f>
        <v>0.45410380000000006</v>
      </c>
      <c r="AW54" s="26">
        <f>S54+AH54-AR54</f>
        <v>13.582642800000002</v>
      </c>
      <c r="AX54" s="26">
        <f>T54+AI54-AS54</f>
        <v>61.958676999999994</v>
      </c>
      <c r="AY54" s="26">
        <f>U54+AJ54-AT54</f>
        <v>15.883515200000005</v>
      </c>
      <c r="AZ54" s="26">
        <f>V54+AK54-AU54</f>
        <v>20.434671000000002</v>
      </c>
      <c r="BA54" s="40">
        <f>W54+AL54-AV54</f>
        <v>4.0869342</v>
      </c>
      <c r="BB54" s="37">
        <f>N54+AH54</f>
        <v>169.98779999999999</v>
      </c>
      <c r="BC54" s="28">
        <f>O54+AI54</f>
        <v>311.64429999999999</v>
      </c>
      <c r="BD54" s="28">
        <f>P54+AJ54</f>
        <v>198.31910000000002</v>
      </c>
      <c r="BE54" s="29">
        <f>Q54+AK54</f>
        <v>28.331299999999999</v>
      </c>
      <c r="BF54" s="29">
        <f>R54+AL54</f>
        <v>5.6662600000000003</v>
      </c>
      <c r="BG54" s="28">
        <f>AC54+AW54</f>
        <v>43.899250800000004</v>
      </c>
      <c r="BH54" s="28">
        <f>AD54+AX54</f>
        <v>120.50701299999999</v>
      </c>
      <c r="BI54" s="28">
        <f>AE54+AY54</f>
        <v>51.7250552</v>
      </c>
      <c r="BJ54" s="29">
        <f>AF54+AZ54</f>
        <v>26.060781000000002</v>
      </c>
      <c r="BK54" s="29">
        <f>AG54+BA54</f>
        <v>5.2121561999999999</v>
      </c>
      <c r="BL54" s="28">
        <f>X54+AR54</f>
        <v>126.08854919999999</v>
      </c>
      <c r="BM54" s="28">
        <f>Y54+AS54</f>
        <v>191.13728699999999</v>
      </c>
      <c r="BN54" s="28">
        <f>Z54+AT54</f>
        <v>146.59404480000001</v>
      </c>
      <c r="BO54" s="29">
        <f>AA54+AU54</f>
        <v>2.2705190000000002</v>
      </c>
      <c r="BP54" s="30">
        <f>AB54+AV54</f>
        <v>0.45410380000000006</v>
      </c>
      <c r="BQ54" s="10">
        <v>0</v>
      </c>
      <c r="BR54" s="6">
        <v>210000</v>
      </c>
      <c r="BS54" t="s">
        <v>128</v>
      </c>
    </row>
    <row r="55" spans="1:71" x14ac:dyDescent="0.25">
      <c r="A55" s="18"/>
      <c r="B55" s="18">
        <v>46</v>
      </c>
      <c r="C55" s="19" t="s">
        <v>90</v>
      </c>
      <c r="D55" s="60">
        <v>3534</v>
      </c>
      <c r="E55" s="47" t="s">
        <v>148</v>
      </c>
      <c r="F55" s="13" t="s">
        <v>208</v>
      </c>
      <c r="G55" s="53">
        <v>4156</v>
      </c>
      <c r="H55" s="54">
        <v>307</v>
      </c>
      <c r="I55" s="50">
        <f>G55+H55</f>
        <v>4463</v>
      </c>
      <c r="J55" s="45">
        <v>0.96</v>
      </c>
      <c r="K55" s="65">
        <f>ROUND(G55*J55,2)</f>
        <v>3989.76</v>
      </c>
      <c r="L55" s="66">
        <f>1-J55</f>
        <v>4.0000000000000036E-2</v>
      </c>
      <c r="M55" s="67">
        <f>G55-K55</f>
        <v>166.23999999999978</v>
      </c>
      <c r="N55" s="43">
        <f>M55*60*365/1000000</f>
        <v>3.6406559999999955</v>
      </c>
      <c r="O55" s="92">
        <f>M55*110*365/1000000</f>
        <v>6.6745359999999918</v>
      </c>
      <c r="P55" s="72">
        <f>M55*70*365/1000000</f>
        <v>4.2474319999999945</v>
      </c>
      <c r="Q55" s="72">
        <f>M55*10*365/1000000</f>
        <v>0.6067759999999992</v>
      </c>
      <c r="R55" s="25">
        <f>M55*2*365/1000000</f>
        <v>0.12135519999999984</v>
      </c>
      <c r="S55" s="72">
        <f>M55*13*365/1000000*0.33</f>
        <v>0.26030690399999967</v>
      </c>
      <c r="T55" s="72">
        <f>M55*18*365/1000000*0.33</f>
        <v>0.36042494399999958</v>
      </c>
      <c r="U55" s="72">
        <f>M55*17*365/1000000*0.33</f>
        <v>0.34040133599999955</v>
      </c>
      <c r="V55" s="72">
        <f>M55*2.5*365/1000000*0.33</f>
        <v>5.005901999999994E-2</v>
      </c>
      <c r="W55" s="72">
        <f>M55*0.5*365/1000000*0.33</f>
        <v>1.0011803999999987E-2</v>
      </c>
      <c r="X55" s="72">
        <f>M55*19*365/1000000*0.33</f>
        <v>0.3804485519999995</v>
      </c>
      <c r="Y55" s="72">
        <f>M55*26*365/1000000*0.33</f>
        <v>0.52061380799999935</v>
      </c>
      <c r="Z55" s="72">
        <f>M55*18*365/1000000*0.33</f>
        <v>0.36042494399999958</v>
      </c>
      <c r="AA55" s="72">
        <f>M55*0*365/1000000*0.33</f>
        <v>0</v>
      </c>
      <c r="AB55" s="72">
        <f>M55*0*365/1000000*0.33</f>
        <v>0</v>
      </c>
      <c r="AC55" s="91">
        <f>N55-S55-X55</f>
        <v>2.9999005439999964</v>
      </c>
      <c r="AD55" s="91">
        <f>O55-T55-Y55</f>
        <v>5.7934972479999933</v>
      </c>
      <c r="AE55" s="91">
        <f>P55-U55-Z55</f>
        <v>3.5466057199999956</v>
      </c>
      <c r="AF55" s="91">
        <f>Q55-V55-AA55</f>
        <v>0.55671697999999925</v>
      </c>
      <c r="AG55" s="91">
        <f>R55-W55-AB55</f>
        <v>0.11134339599999986</v>
      </c>
      <c r="AH55" s="39">
        <f>(K55+H55)*60*365/1000000</f>
        <v>94.099044000000006</v>
      </c>
      <c r="AI55" s="77">
        <f>($K55+$H55)*110*365/1000000</f>
        <v>172.514914</v>
      </c>
      <c r="AJ55" s="77">
        <f>($K55+$H55)*70*365/1000000</f>
        <v>109.782218</v>
      </c>
      <c r="AK55" s="77">
        <f>($K55+$H55)*10*365/1000000</f>
        <v>15.683174000000001</v>
      </c>
      <c r="AL55" s="26">
        <f>($K55+$H55)*2*365/1000000</f>
        <v>3.1366348000000004</v>
      </c>
      <c r="AM55" s="27">
        <v>0.9</v>
      </c>
      <c r="AN55" s="27">
        <v>0.75</v>
      </c>
      <c r="AO55" s="27">
        <v>0.9</v>
      </c>
      <c r="AP55" s="27">
        <v>0.1</v>
      </c>
      <c r="AQ55" s="27">
        <v>0.1</v>
      </c>
      <c r="AR55" s="26">
        <f>(S55+AH55)*AM55</f>
        <v>84.923415813600016</v>
      </c>
      <c r="AS55" s="26">
        <f>(T55+AI55)*AN55</f>
        <v>129.656504208</v>
      </c>
      <c r="AT55" s="26">
        <f>(U55+AJ55)*AO55</f>
        <v>99.110357402399998</v>
      </c>
      <c r="AU55" s="26">
        <f>(V55+AK55)*AP55</f>
        <v>1.5733233020000001</v>
      </c>
      <c r="AV55" s="26">
        <f>(W55+AL55)*AQ55</f>
        <v>0.31466466040000007</v>
      </c>
      <c r="AW55" s="26">
        <f>S55+AH55-AR55</f>
        <v>9.4359350903999939</v>
      </c>
      <c r="AX55" s="26">
        <f>T55+AI55-AS55</f>
        <v>43.218834735999991</v>
      </c>
      <c r="AY55" s="26">
        <f>U55+AJ55-AT55</f>
        <v>11.012261933600001</v>
      </c>
      <c r="AZ55" s="26">
        <f>V55+AK55-AU55</f>
        <v>14.159909718</v>
      </c>
      <c r="BA55" s="40">
        <f>W55+AL55-AV55</f>
        <v>2.8319819436000002</v>
      </c>
      <c r="BB55" s="37">
        <f>N55+AH55</f>
        <v>97.739699999999999</v>
      </c>
      <c r="BC55" s="28">
        <f>O55+AI55</f>
        <v>179.18944999999999</v>
      </c>
      <c r="BD55" s="28">
        <f>P55+AJ55</f>
        <v>114.02964999999999</v>
      </c>
      <c r="BE55" s="29">
        <f>Q55+AK55</f>
        <v>16.289950000000001</v>
      </c>
      <c r="BF55" s="29">
        <f>R55+AL55</f>
        <v>3.2579900000000004</v>
      </c>
      <c r="BG55" s="28">
        <f>AC55+AW55</f>
        <v>12.435835634399989</v>
      </c>
      <c r="BH55" s="28">
        <f>AD55+AX55</f>
        <v>49.012331983999985</v>
      </c>
      <c r="BI55" s="28">
        <f>AE55+AY55</f>
        <v>14.558867653599997</v>
      </c>
      <c r="BJ55" s="29">
        <f>AF55+AZ55</f>
        <v>14.716626697999999</v>
      </c>
      <c r="BK55" s="29">
        <f>AG55+BA55</f>
        <v>2.9433253395999999</v>
      </c>
      <c r="BL55" s="28">
        <f>X55+AR55</f>
        <v>85.30386436560002</v>
      </c>
      <c r="BM55" s="28">
        <f>Y55+AS55</f>
        <v>130.17711801600001</v>
      </c>
      <c r="BN55" s="28">
        <f>Z55+AT55</f>
        <v>99.4707823464</v>
      </c>
      <c r="BO55" s="29">
        <f>AA55+AU55</f>
        <v>1.5733233020000001</v>
      </c>
      <c r="BP55" s="30">
        <f>AB55+AV55</f>
        <v>0.31466466040000007</v>
      </c>
      <c r="BQ55" s="10">
        <v>0</v>
      </c>
      <c r="BR55" s="6">
        <v>0</v>
      </c>
      <c r="BS55" t="s">
        <v>3</v>
      </c>
    </row>
    <row r="56" spans="1:71" x14ac:dyDescent="0.25">
      <c r="A56" s="18"/>
      <c r="B56" s="18">
        <v>47</v>
      </c>
      <c r="C56" s="19" t="s">
        <v>91</v>
      </c>
      <c r="D56" s="60">
        <v>3343</v>
      </c>
      <c r="E56" s="57" t="s">
        <v>11</v>
      </c>
      <c r="F56" s="14" t="s">
        <v>206</v>
      </c>
      <c r="G56" s="53">
        <v>3978</v>
      </c>
      <c r="H56" s="54">
        <v>81</v>
      </c>
      <c r="I56" s="50">
        <f>G56+H56</f>
        <v>4059</v>
      </c>
      <c r="J56" s="45">
        <v>0.44</v>
      </c>
      <c r="K56" s="65">
        <f>ROUND(G56*J56,2)</f>
        <v>1750.32</v>
      </c>
      <c r="L56" s="66">
        <f>1-J56</f>
        <v>0.56000000000000005</v>
      </c>
      <c r="M56" s="67">
        <f>G56-K56</f>
        <v>2227.6800000000003</v>
      </c>
      <c r="N56" s="43">
        <f>M56*60*365/1000000</f>
        <v>48.786192000000007</v>
      </c>
      <c r="O56" s="92">
        <f>M56*110*365/1000000</f>
        <v>89.441352000000009</v>
      </c>
      <c r="P56" s="72">
        <f>M56*70*365/1000000</f>
        <v>56.917224000000012</v>
      </c>
      <c r="Q56" s="72">
        <f>M56*10*365/1000000</f>
        <v>8.1310320000000011</v>
      </c>
      <c r="R56" s="25">
        <f>M56*2*365/1000000</f>
        <v>1.6262064000000001</v>
      </c>
      <c r="S56" s="72">
        <f>M56*13*365/1000000*0.33</f>
        <v>3.4882127280000006</v>
      </c>
      <c r="T56" s="72">
        <f>M56*18*365/1000000*0.33</f>
        <v>4.8298330080000005</v>
      </c>
      <c r="U56" s="72">
        <f>M56*17*365/1000000*0.33</f>
        <v>4.5615089520000014</v>
      </c>
      <c r="V56" s="72">
        <f>M56*2.5*365/1000000*0.33</f>
        <v>0.67081014000000017</v>
      </c>
      <c r="W56" s="72">
        <f>M56*0.5*365/1000000*0.33</f>
        <v>0.13416202800000002</v>
      </c>
      <c r="X56" s="72">
        <f>M56*19*365/1000000*0.33</f>
        <v>5.0981570640000005</v>
      </c>
      <c r="Y56" s="72">
        <f>M56*26*365/1000000*0.33</f>
        <v>6.9764254560000012</v>
      </c>
      <c r="Z56" s="72">
        <f>M56*18*365/1000000*0.33</f>
        <v>4.8298330080000005</v>
      </c>
      <c r="AA56" s="72">
        <f>M56*0*365/1000000*0.33</f>
        <v>0</v>
      </c>
      <c r="AB56" s="72">
        <f>M56*0*365/1000000*0.33</f>
        <v>0</v>
      </c>
      <c r="AC56" s="91">
        <f>N56-S56-X56</f>
        <v>40.199822208000008</v>
      </c>
      <c r="AD56" s="91">
        <f>O56-T56-Y56</f>
        <v>77.635093536000014</v>
      </c>
      <c r="AE56" s="91">
        <f>P56-U56-Z56</f>
        <v>47.525882040000006</v>
      </c>
      <c r="AF56" s="91">
        <f>Q56-V56-AA56</f>
        <v>7.4602218600000008</v>
      </c>
      <c r="AG56" s="91">
        <f>R56-W56-AB56</f>
        <v>1.4920443720000001</v>
      </c>
      <c r="AH56" s="39">
        <f>(K56+H56)*60*365/1000000</f>
        <v>40.105907999999999</v>
      </c>
      <c r="AI56" s="77">
        <f>($K56+$H56)*110*365/1000000</f>
        <v>73.527497999999994</v>
      </c>
      <c r="AJ56" s="77">
        <f>($K56+$H56)*70*365/1000000</f>
        <v>46.790225999999997</v>
      </c>
      <c r="AK56" s="77">
        <f>($K56+$H56)*10*365/1000000</f>
        <v>6.6843180000000002</v>
      </c>
      <c r="AL56" s="26">
        <f>($K56+$H56)*2*365/1000000</f>
        <v>1.3368635999999998</v>
      </c>
      <c r="AM56" s="27">
        <v>0.9</v>
      </c>
      <c r="AN56" s="27">
        <v>0.75</v>
      </c>
      <c r="AO56" s="27">
        <v>0.9</v>
      </c>
      <c r="AP56" s="27">
        <v>0.1</v>
      </c>
      <c r="AQ56" s="27">
        <v>0.1</v>
      </c>
      <c r="AR56" s="26">
        <f>(S56+AH56)*AM56</f>
        <v>39.234708655200002</v>
      </c>
      <c r="AS56" s="26">
        <f>(T56+AI56)*AN56</f>
        <v>58.767998255999991</v>
      </c>
      <c r="AT56" s="26">
        <f>(U56+AJ56)*AO56</f>
        <v>46.216561456800001</v>
      </c>
      <c r="AU56" s="26">
        <f>(V56+AK56)*AP56</f>
        <v>0.73551281400000013</v>
      </c>
      <c r="AV56" s="26">
        <f>(W56+AL56)*AQ56</f>
        <v>0.14710256279999998</v>
      </c>
      <c r="AW56" s="26">
        <f>S56+AH56-AR56</f>
        <v>4.3594120727999979</v>
      </c>
      <c r="AX56" s="26">
        <f>T56+AI56-AS56</f>
        <v>19.589332751999997</v>
      </c>
      <c r="AY56" s="26">
        <f>U56+AJ56-AT56</f>
        <v>5.1351734952000001</v>
      </c>
      <c r="AZ56" s="26">
        <f>V56+AK56-AU56</f>
        <v>6.6196153260000008</v>
      </c>
      <c r="BA56" s="40">
        <f>W56+AL56-AV56</f>
        <v>1.3239230651999998</v>
      </c>
      <c r="BB56" s="37">
        <f>N56+AH56</f>
        <v>88.892099999999999</v>
      </c>
      <c r="BC56" s="28">
        <f>O56+AI56</f>
        <v>162.96885</v>
      </c>
      <c r="BD56" s="28">
        <f>P56+AJ56</f>
        <v>103.70745000000001</v>
      </c>
      <c r="BE56" s="29">
        <f>Q56+AK56</f>
        <v>14.815350000000002</v>
      </c>
      <c r="BF56" s="29">
        <f>R56+AL56</f>
        <v>2.9630700000000001</v>
      </c>
      <c r="BG56" s="28">
        <f>AC56+AW56</f>
        <v>44.559234280800005</v>
      </c>
      <c r="BH56" s="28">
        <f>AD56+AX56</f>
        <v>97.224426288000018</v>
      </c>
      <c r="BI56" s="28">
        <f>AE56+AY56</f>
        <v>52.661055535200006</v>
      </c>
      <c r="BJ56" s="29">
        <f>AF56+AZ56</f>
        <v>14.079837186000002</v>
      </c>
      <c r="BK56" s="29">
        <f>AG56+BA56</f>
        <v>2.8159674371999999</v>
      </c>
      <c r="BL56" s="28">
        <f>X56+AR56</f>
        <v>44.332865719200001</v>
      </c>
      <c r="BM56" s="28">
        <f>Y56+AS56</f>
        <v>65.744423711999985</v>
      </c>
      <c r="BN56" s="28">
        <f>Z56+AT56</f>
        <v>51.046394464800002</v>
      </c>
      <c r="BO56" s="29">
        <f>AA56+AU56</f>
        <v>0.73551281400000013</v>
      </c>
      <c r="BP56" s="30">
        <f>AB56+AV56</f>
        <v>0.14710256279999998</v>
      </c>
      <c r="BQ56" s="10">
        <v>763250</v>
      </c>
      <c r="BR56" s="6">
        <v>74000</v>
      </c>
      <c r="BS56" t="s">
        <v>128</v>
      </c>
    </row>
    <row r="57" spans="1:71" x14ac:dyDescent="0.25">
      <c r="A57" s="18"/>
      <c r="B57" s="18">
        <v>48</v>
      </c>
      <c r="C57" s="19" t="s">
        <v>89</v>
      </c>
      <c r="D57" s="60">
        <v>3201</v>
      </c>
      <c r="E57" s="47" t="s">
        <v>179</v>
      </c>
      <c r="F57" s="13" t="s">
        <v>207</v>
      </c>
      <c r="G57" s="53">
        <v>2959</v>
      </c>
      <c r="H57" s="54">
        <v>0</v>
      </c>
      <c r="I57" s="50">
        <f>G57+H57</f>
        <v>2959</v>
      </c>
      <c r="J57" s="45">
        <v>0.81</v>
      </c>
      <c r="K57" s="65">
        <f>ROUND(G57*J57,2)</f>
        <v>2396.79</v>
      </c>
      <c r="L57" s="66">
        <f>1-J57</f>
        <v>0.18999999999999995</v>
      </c>
      <c r="M57" s="67">
        <f>G57-K57</f>
        <v>562.21</v>
      </c>
      <c r="N57" s="43">
        <f>M57*60*365/1000000</f>
        <v>12.312399000000001</v>
      </c>
      <c r="O57" s="92">
        <f>M57*110*365/1000000</f>
        <v>22.572731500000003</v>
      </c>
      <c r="P57" s="72">
        <f>M57*70*365/1000000</f>
        <v>14.364465500000001</v>
      </c>
      <c r="Q57" s="72">
        <f>M57*10*365/1000000</f>
        <v>2.0520665</v>
      </c>
      <c r="R57" s="25">
        <f>M57*2*365/1000000</f>
        <v>0.41041330000000004</v>
      </c>
      <c r="S57" s="72">
        <f>M57*13*365/1000000*0.33</f>
        <v>0.8803365285000001</v>
      </c>
      <c r="T57" s="72">
        <f>M57*18*365/1000000*0.33</f>
        <v>1.2189275010000002</v>
      </c>
      <c r="U57" s="72">
        <f>M57*17*365/1000000*0.33</f>
        <v>1.1512093065</v>
      </c>
      <c r="V57" s="72">
        <f>M57*2.5*365/1000000*0.33</f>
        <v>0.16929548625000002</v>
      </c>
      <c r="W57" s="72">
        <f>M57*0.5*365/1000000*0.33</f>
        <v>3.3859097250000005E-2</v>
      </c>
      <c r="X57" s="72">
        <f>M57*19*365/1000000*0.33</f>
        <v>1.2866456955000003</v>
      </c>
      <c r="Y57" s="72">
        <f>M57*26*365/1000000*0.33</f>
        <v>1.7606730570000002</v>
      </c>
      <c r="Z57" s="72">
        <f>M57*18*365/1000000*0.33</f>
        <v>1.2189275010000002</v>
      </c>
      <c r="AA57" s="72">
        <f>M57*0*365/1000000*0.33</f>
        <v>0</v>
      </c>
      <c r="AB57" s="72">
        <f>M57*0*365/1000000*0.33</f>
        <v>0</v>
      </c>
      <c r="AC57" s="91">
        <f>N57-S57-X57</f>
        <v>10.145416775999999</v>
      </c>
      <c r="AD57" s="91">
        <f>O57-T57-Y57</f>
        <v>19.593130942000002</v>
      </c>
      <c r="AE57" s="91">
        <f>P57-U57-Z57</f>
        <v>11.994328692500002</v>
      </c>
      <c r="AF57" s="91">
        <f>Q57-V57-AA57</f>
        <v>1.88277101375</v>
      </c>
      <c r="AG57" s="91">
        <f>R57-W57-AB57</f>
        <v>0.37655420275000001</v>
      </c>
      <c r="AH57" s="39">
        <f>(K57+H57)*60*365/1000000</f>
        <v>52.489700999999997</v>
      </c>
      <c r="AI57" s="77">
        <f>($K57+$H57)*110*365/1000000</f>
        <v>96.231118500000008</v>
      </c>
      <c r="AJ57" s="77">
        <f>($K57+$H57)*70*365/1000000</f>
        <v>61.237984499999996</v>
      </c>
      <c r="AK57" s="77">
        <f>($K57+$H57)*10*365/1000000</f>
        <v>8.7482834999999994</v>
      </c>
      <c r="AL57" s="26">
        <f>($K57+$H57)*2*365/1000000</f>
        <v>1.7496566999999998</v>
      </c>
      <c r="AM57" s="27">
        <v>0.9</v>
      </c>
      <c r="AN57" s="27">
        <v>0.75</v>
      </c>
      <c r="AO57" s="27">
        <v>0.9</v>
      </c>
      <c r="AP57" s="27">
        <v>0.1</v>
      </c>
      <c r="AQ57" s="27">
        <v>0.1</v>
      </c>
      <c r="AR57" s="26">
        <f>(S57+AH57)*AM57</f>
        <v>48.033033775649997</v>
      </c>
      <c r="AS57" s="26">
        <f>(T57+AI57)*AN57</f>
        <v>73.087534500749996</v>
      </c>
      <c r="AT57" s="26">
        <f>(U57+AJ57)*AO57</f>
        <v>56.15027442585</v>
      </c>
      <c r="AU57" s="26">
        <f>(V57+AK57)*AP57</f>
        <v>0.89175789862499999</v>
      </c>
      <c r="AV57" s="26">
        <f>(W57+AL57)*AQ57</f>
        <v>0.17835157972499999</v>
      </c>
      <c r="AW57" s="26">
        <f>S57+AH57-AR57</f>
        <v>5.3370037528500021</v>
      </c>
      <c r="AX57" s="26">
        <f>T57+AI57-AS57</f>
        <v>24.362511500250008</v>
      </c>
      <c r="AY57" s="26">
        <f>U57+AJ57-AT57</f>
        <v>6.2389193806499961</v>
      </c>
      <c r="AZ57" s="26">
        <f>V57+AK57-AU57</f>
        <v>8.0258210876249994</v>
      </c>
      <c r="BA57" s="40">
        <f>W57+AL57-AV57</f>
        <v>1.6051642175249998</v>
      </c>
      <c r="BB57" s="37">
        <f>N57+AH57</f>
        <v>64.802099999999996</v>
      </c>
      <c r="BC57" s="28">
        <f>O57+AI57</f>
        <v>118.80385000000001</v>
      </c>
      <c r="BD57" s="28">
        <f>P57+AJ57</f>
        <v>75.602450000000005</v>
      </c>
      <c r="BE57" s="29">
        <f>Q57+AK57</f>
        <v>10.80035</v>
      </c>
      <c r="BF57" s="29">
        <f>R57+AL57</f>
        <v>2.1600699999999997</v>
      </c>
      <c r="BG57" s="28">
        <f>AC57+AW57</f>
        <v>15.482420528850001</v>
      </c>
      <c r="BH57" s="28">
        <f>AD57+AX57</f>
        <v>43.95564244225001</v>
      </c>
      <c r="BI57" s="28">
        <f>AE57+AY57</f>
        <v>18.233248073149998</v>
      </c>
      <c r="BJ57" s="29">
        <f>AF57+AZ57</f>
        <v>9.9085921013749996</v>
      </c>
      <c r="BK57" s="29">
        <f>AG57+BA57</f>
        <v>1.9817184202749998</v>
      </c>
      <c r="BL57" s="28">
        <f>X57+AR57</f>
        <v>49.319679471149996</v>
      </c>
      <c r="BM57" s="28">
        <f>Y57+AS57</f>
        <v>74.848207557750001</v>
      </c>
      <c r="BN57" s="28">
        <f>Z57+AT57</f>
        <v>57.369201926850003</v>
      </c>
      <c r="BO57" s="29">
        <f>AA57+AU57</f>
        <v>0.89175789862499999</v>
      </c>
      <c r="BP57" s="30">
        <f>AB57+AV57</f>
        <v>0.17835157972499999</v>
      </c>
      <c r="BQ57" s="10">
        <v>0</v>
      </c>
      <c r="BR57" s="6">
        <v>0</v>
      </c>
      <c r="BS57" t="s">
        <v>132</v>
      </c>
    </row>
    <row r="58" spans="1:71" ht="30" x14ac:dyDescent="0.25">
      <c r="A58" s="18"/>
      <c r="B58" s="18">
        <v>49</v>
      </c>
      <c r="C58" s="19" t="s">
        <v>86</v>
      </c>
      <c r="D58" s="60">
        <v>3184</v>
      </c>
      <c r="E58" s="57" t="s">
        <v>178</v>
      </c>
      <c r="F58" s="14" t="s">
        <v>205</v>
      </c>
      <c r="G58" s="53">
        <v>2500</v>
      </c>
      <c r="H58" s="53">
        <v>4027</v>
      </c>
      <c r="I58" s="50">
        <f>G58+H58</f>
        <v>6527</v>
      </c>
      <c r="J58" s="45">
        <v>0.12</v>
      </c>
      <c r="K58" s="65">
        <f>ROUND(G58*J58,2)</f>
        <v>300</v>
      </c>
      <c r="L58" s="66">
        <f>1-J58</f>
        <v>0.88</v>
      </c>
      <c r="M58" s="67">
        <f>G58-K58</f>
        <v>2200</v>
      </c>
      <c r="N58" s="43">
        <f>M58*60*365/1000000</f>
        <v>48.18</v>
      </c>
      <c r="O58" s="92">
        <f>M58*110*365/1000000</f>
        <v>88.33</v>
      </c>
      <c r="P58" s="72">
        <f>M58*70*365/1000000</f>
        <v>56.21</v>
      </c>
      <c r="Q58" s="72">
        <f>M58*10*365/1000000</f>
        <v>8.0299999999999994</v>
      </c>
      <c r="R58" s="25">
        <f>M58*2*365/1000000</f>
        <v>1.6060000000000001</v>
      </c>
      <c r="S58" s="72">
        <f>M58*13*365/1000000*0.33</f>
        <v>3.4448700000000003</v>
      </c>
      <c r="T58" s="72">
        <f>M58*18*365/1000000*0.33</f>
        <v>4.7698200000000002</v>
      </c>
      <c r="U58" s="72">
        <f>M58*17*365/1000000*0.33</f>
        <v>4.5048300000000001</v>
      </c>
      <c r="V58" s="72">
        <f>M58*2.5*365/1000000*0.33</f>
        <v>0.66247499999999993</v>
      </c>
      <c r="W58" s="72">
        <f>M58*0.5*365/1000000*0.33</f>
        <v>0.132495</v>
      </c>
      <c r="X58" s="72">
        <f>M58*19*365/1000000*0.33</f>
        <v>5.0348100000000002</v>
      </c>
      <c r="Y58" s="72">
        <f>M58*26*365/1000000*0.33</f>
        <v>6.8897400000000006</v>
      </c>
      <c r="Z58" s="72">
        <f>M58*18*365/1000000*0.33</f>
        <v>4.7698200000000002</v>
      </c>
      <c r="AA58" s="72">
        <f>M58*0*365/1000000*0.33</f>
        <v>0</v>
      </c>
      <c r="AB58" s="72">
        <f>M58*0*365/1000000*0.33</f>
        <v>0</v>
      </c>
      <c r="AC58" s="91">
        <f>N58-S58-X58</f>
        <v>39.700319999999998</v>
      </c>
      <c r="AD58" s="91">
        <f>O58-T58-Y58</f>
        <v>76.670439999999999</v>
      </c>
      <c r="AE58" s="91">
        <f>P58-U58-Z58</f>
        <v>46.93535</v>
      </c>
      <c r="AF58" s="91">
        <f>Q58-V58-AA58</f>
        <v>7.3675249999999997</v>
      </c>
      <c r="AG58" s="91">
        <f>R58-W58-AB58</f>
        <v>1.4735050000000001</v>
      </c>
      <c r="AH58" s="39">
        <f>(K58+H58)*60*365/1000000</f>
        <v>94.761300000000006</v>
      </c>
      <c r="AI58" s="77">
        <f>($K58+$H58)*110*365/1000000</f>
        <v>173.72905</v>
      </c>
      <c r="AJ58" s="77">
        <f>($K58+$H58)*70*365/1000000</f>
        <v>110.55485</v>
      </c>
      <c r="AK58" s="77">
        <f>($K58+$H58)*10*365/1000000</f>
        <v>15.79355</v>
      </c>
      <c r="AL58" s="26">
        <f>($K58+$H58)*2*365/1000000</f>
        <v>3.1587100000000001</v>
      </c>
      <c r="AM58" s="27">
        <v>0.9</v>
      </c>
      <c r="AN58" s="27">
        <v>0.75</v>
      </c>
      <c r="AO58" s="27">
        <v>0.9</v>
      </c>
      <c r="AP58" s="27">
        <v>0.1</v>
      </c>
      <c r="AQ58" s="27">
        <v>0.1</v>
      </c>
      <c r="AR58" s="26">
        <f>(S58+AH58)*AM58</f>
        <v>88.385553000000002</v>
      </c>
      <c r="AS58" s="26">
        <f>(T58+AI58)*AN58</f>
        <v>133.87415250000001</v>
      </c>
      <c r="AT58" s="26">
        <f>(U58+AJ58)*AO58</f>
        <v>103.553712</v>
      </c>
      <c r="AU58" s="26">
        <f>(V58+AK58)*AP58</f>
        <v>1.6456025000000001</v>
      </c>
      <c r="AV58" s="26">
        <f>(W58+AL58)*AQ58</f>
        <v>0.32912050000000004</v>
      </c>
      <c r="AW58" s="26">
        <f>S58+AH58-AR58</f>
        <v>9.8206169999999986</v>
      </c>
      <c r="AX58" s="26">
        <f>T58+AI58-AS58</f>
        <v>44.624717500000003</v>
      </c>
      <c r="AY58" s="26">
        <f>U58+AJ58-AT58</f>
        <v>11.505967999999996</v>
      </c>
      <c r="AZ58" s="26">
        <f>V58+AK58-AU58</f>
        <v>14.8104225</v>
      </c>
      <c r="BA58" s="40">
        <f>W58+AL58-AV58</f>
        <v>2.9620845</v>
      </c>
      <c r="BB58" s="37">
        <f>N58+AH58</f>
        <v>142.94130000000001</v>
      </c>
      <c r="BC58" s="28">
        <f>O58+AI58</f>
        <v>262.05905000000001</v>
      </c>
      <c r="BD58" s="28">
        <f>P58+AJ58</f>
        <v>166.76485</v>
      </c>
      <c r="BE58" s="29">
        <f>Q58+AK58</f>
        <v>23.823549999999997</v>
      </c>
      <c r="BF58" s="29">
        <f>R58+AL58</f>
        <v>4.76471</v>
      </c>
      <c r="BG58" s="28">
        <f>AC58+AW58</f>
        <v>49.520936999999996</v>
      </c>
      <c r="BH58" s="28">
        <f>AD58+AX58</f>
        <v>121.2951575</v>
      </c>
      <c r="BI58" s="28">
        <f>AE58+AY58</f>
        <v>58.441317999999995</v>
      </c>
      <c r="BJ58" s="29">
        <f>AF58+AZ58</f>
        <v>22.177947499999998</v>
      </c>
      <c r="BK58" s="29">
        <f>AG58+BA58</f>
        <v>4.4355894999999999</v>
      </c>
      <c r="BL58" s="28">
        <f>X58+AR58</f>
        <v>93.420363000000009</v>
      </c>
      <c r="BM58" s="28">
        <f>Y58+AS58</f>
        <v>140.7638925</v>
      </c>
      <c r="BN58" s="28">
        <f>Z58+AT58</f>
        <v>108.323532</v>
      </c>
      <c r="BO58" s="29">
        <f>AA58+AU58</f>
        <v>1.6456025000000001</v>
      </c>
      <c r="BP58" s="30">
        <f>AB58+AV58</f>
        <v>0.32912050000000004</v>
      </c>
      <c r="BQ58" s="10">
        <f>256800+775600+111850</f>
        <v>1144250</v>
      </c>
      <c r="BR58" s="6">
        <v>0</v>
      </c>
      <c r="BS58" t="s">
        <v>132</v>
      </c>
    </row>
    <row r="59" spans="1:71" x14ac:dyDescent="0.25">
      <c r="A59" s="18"/>
      <c r="B59" s="18">
        <v>50</v>
      </c>
      <c r="C59" s="19" t="s">
        <v>94</v>
      </c>
      <c r="D59" s="60">
        <v>3106</v>
      </c>
      <c r="E59" s="47" t="s">
        <v>149</v>
      </c>
      <c r="F59" s="13" t="s">
        <v>206</v>
      </c>
      <c r="G59" s="53">
        <v>3732</v>
      </c>
      <c r="H59" s="54">
        <v>429</v>
      </c>
      <c r="I59" s="50">
        <f>G59+H59</f>
        <v>4161</v>
      </c>
      <c r="J59" s="45">
        <v>0.56999999999999995</v>
      </c>
      <c r="K59" s="65">
        <f>ROUND(G59*J59,2)</f>
        <v>2127.2399999999998</v>
      </c>
      <c r="L59" s="66">
        <f>1-J59</f>
        <v>0.43000000000000005</v>
      </c>
      <c r="M59" s="67">
        <f>G59-K59</f>
        <v>1604.7600000000002</v>
      </c>
      <c r="N59" s="43">
        <f>M59*60*365/1000000</f>
        <v>35.144244</v>
      </c>
      <c r="O59" s="92">
        <f>M59*110*365/1000000</f>
        <v>64.431114000000008</v>
      </c>
      <c r="P59" s="72">
        <f>M59*70*365/1000000</f>
        <v>41.001618000000008</v>
      </c>
      <c r="Q59" s="72">
        <f>M59*10*365/1000000</f>
        <v>5.857374000000001</v>
      </c>
      <c r="R59" s="25">
        <f>M59*2*365/1000000</f>
        <v>1.1714748000000001</v>
      </c>
      <c r="S59" s="72">
        <f>M59*13*365/1000000*0.33</f>
        <v>2.5128134460000009</v>
      </c>
      <c r="T59" s="72">
        <f>M59*18*365/1000000*0.33</f>
        <v>3.4792801560000006</v>
      </c>
      <c r="U59" s="72">
        <f>M59*17*365/1000000*0.33</f>
        <v>3.285986814000001</v>
      </c>
      <c r="V59" s="72">
        <f>M59*2.5*365/1000000*0.33</f>
        <v>0.48323335500000009</v>
      </c>
      <c r="W59" s="72">
        <f>M59*0.5*365/1000000*0.33</f>
        <v>9.6646671000000017E-2</v>
      </c>
      <c r="X59" s="72">
        <f>M59*19*365/1000000*0.33</f>
        <v>3.6725734980000007</v>
      </c>
      <c r="Y59" s="72">
        <f>M59*26*365/1000000*0.33</f>
        <v>5.0256268920000018</v>
      </c>
      <c r="Z59" s="72">
        <f>M59*18*365/1000000*0.33</f>
        <v>3.4792801560000006</v>
      </c>
      <c r="AA59" s="72">
        <f>M59*0*365/1000000*0.33</f>
        <v>0</v>
      </c>
      <c r="AB59" s="72">
        <f>M59*0*365/1000000*0.33</f>
        <v>0</v>
      </c>
      <c r="AC59" s="91">
        <f>N59-S59-X59</f>
        <v>28.958857055999996</v>
      </c>
      <c r="AD59" s="91">
        <f>O59-T59-Y59</f>
        <v>55.926206952000001</v>
      </c>
      <c r="AE59" s="91">
        <f>P59-U59-Z59</f>
        <v>34.236351030000009</v>
      </c>
      <c r="AF59" s="91">
        <f>Q59-V59-AA59</f>
        <v>5.3741406450000007</v>
      </c>
      <c r="AG59" s="91">
        <f>R59-W59-AB59</f>
        <v>1.0748281290000001</v>
      </c>
      <c r="AH59" s="39">
        <f>(K59+H59)*60*365/1000000</f>
        <v>55.981656000000001</v>
      </c>
      <c r="AI59" s="77">
        <f>($K59+$H59)*110*365/1000000</f>
        <v>102.63303599999999</v>
      </c>
      <c r="AJ59" s="77">
        <f>($K59+$H59)*70*365/1000000</f>
        <v>65.311931999999999</v>
      </c>
      <c r="AK59" s="77">
        <f>($K59+$H59)*10*365/1000000</f>
        <v>9.3302759999999996</v>
      </c>
      <c r="AL59" s="26">
        <f>($K59+$H59)*2*365/1000000</f>
        <v>1.8660551999999999</v>
      </c>
      <c r="AM59" s="27">
        <v>0.9</v>
      </c>
      <c r="AN59" s="27">
        <v>0.75</v>
      </c>
      <c r="AO59" s="27">
        <v>0.9</v>
      </c>
      <c r="AP59" s="27">
        <v>0.1</v>
      </c>
      <c r="AQ59" s="27">
        <v>0.1</v>
      </c>
      <c r="AR59" s="26">
        <f>(S59+AH59)*AM59</f>
        <v>52.645022501400007</v>
      </c>
      <c r="AS59" s="26">
        <f>(T59+AI59)*AN59</f>
        <v>79.584237116999986</v>
      </c>
      <c r="AT59" s="26">
        <f>(U59+AJ59)*AO59</f>
        <v>61.738126932599997</v>
      </c>
      <c r="AU59" s="26">
        <f>(V59+AK59)*AP59</f>
        <v>0.98135093549999997</v>
      </c>
      <c r="AV59" s="26">
        <f>(W59+AL59)*AQ59</f>
        <v>0.19627018709999999</v>
      </c>
      <c r="AW59" s="26">
        <f>S59+AH59-AR59</f>
        <v>5.8494469445999968</v>
      </c>
      <c r="AX59" s="26">
        <f>T59+AI59-AS59</f>
        <v>26.528079039000005</v>
      </c>
      <c r="AY59" s="26">
        <f>U59+AJ59-AT59</f>
        <v>6.8597918813999996</v>
      </c>
      <c r="AZ59" s="26">
        <f>V59+AK59-AU59</f>
        <v>8.8321584194999989</v>
      </c>
      <c r="BA59" s="40">
        <f>W59+AL59-AV59</f>
        <v>1.7664316839</v>
      </c>
      <c r="BB59" s="37">
        <f>N59+AH59</f>
        <v>91.125900000000001</v>
      </c>
      <c r="BC59" s="28">
        <f>O59+AI59</f>
        <v>167.06414999999998</v>
      </c>
      <c r="BD59" s="28">
        <f>P59+AJ59</f>
        <v>106.31355000000001</v>
      </c>
      <c r="BE59" s="29">
        <f>Q59+AK59</f>
        <v>15.187650000000001</v>
      </c>
      <c r="BF59" s="29">
        <f>R59+AL59</f>
        <v>3.0375300000000003</v>
      </c>
      <c r="BG59" s="28">
        <f>AC59+AW59</f>
        <v>34.808304000599989</v>
      </c>
      <c r="BH59" s="28">
        <f>AD59+AX59</f>
        <v>82.454285991000006</v>
      </c>
      <c r="BI59" s="28">
        <f>AE59+AY59</f>
        <v>41.096142911400008</v>
      </c>
      <c r="BJ59" s="29">
        <f>AF59+AZ59</f>
        <v>14.2062990645</v>
      </c>
      <c r="BK59" s="29">
        <f>AG59+BA59</f>
        <v>2.8412598129000002</v>
      </c>
      <c r="BL59" s="28">
        <f>X59+AR59</f>
        <v>56.317595999400005</v>
      </c>
      <c r="BM59" s="28">
        <f>Y59+AS59</f>
        <v>84.609864008999992</v>
      </c>
      <c r="BN59" s="28">
        <f>Z59+AT59</f>
        <v>65.217407088599998</v>
      </c>
      <c r="BO59" s="29">
        <f>AA59+AU59</f>
        <v>0.98135093549999997</v>
      </c>
      <c r="BP59" s="30">
        <f>AB59+AV59</f>
        <v>0.19627018709999999</v>
      </c>
      <c r="BQ59" s="10">
        <v>996000</v>
      </c>
      <c r="BR59" s="6">
        <v>500000</v>
      </c>
      <c r="BS59" t="s">
        <v>128</v>
      </c>
    </row>
    <row r="60" spans="1:71" x14ac:dyDescent="0.25">
      <c r="A60" s="18"/>
      <c r="B60" s="18">
        <v>51</v>
      </c>
      <c r="C60" s="19" t="s">
        <v>92</v>
      </c>
      <c r="D60" s="60">
        <v>3088</v>
      </c>
      <c r="E60" s="47" t="s">
        <v>150</v>
      </c>
      <c r="F60" s="13" t="s">
        <v>208</v>
      </c>
      <c r="G60" s="53">
        <v>3775</v>
      </c>
      <c r="H60" s="54">
        <v>38</v>
      </c>
      <c r="I60" s="50">
        <f>G60+H60</f>
        <v>3813</v>
      </c>
      <c r="J60" s="45">
        <v>0.33</v>
      </c>
      <c r="K60" s="65">
        <f>ROUND(G60*J60,2)</f>
        <v>1245.75</v>
      </c>
      <c r="L60" s="66">
        <f>1-J60</f>
        <v>0.66999999999999993</v>
      </c>
      <c r="M60" s="67">
        <f>G60-K60</f>
        <v>2529.25</v>
      </c>
      <c r="N60" s="43">
        <f>M60*60*365/1000000</f>
        <v>55.390574999999998</v>
      </c>
      <c r="O60" s="92">
        <f>M60*110*365/1000000</f>
        <v>101.54938749999999</v>
      </c>
      <c r="P60" s="72">
        <f>M60*70*365/1000000</f>
        <v>64.6223375</v>
      </c>
      <c r="Q60" s="72">
        <f>M60*10*365/1000000</f>
        <v>9.2317625000000003</v>
      </c>
      <c r="R60" s="25">
        <f>M60*2*365/1000000</f>
        <v>1.8463525000000001</v>
      </c>
      <c r="S60" s="72">
        <f>M60*13*365/1000000*0.33</f>
        <v>3.9604261125</v>
      </c>
      <c r="T60" s="72">
        <f>M60*18*365/1000000*0.33</f>
        <v>5.4836669249999996</v>
      </c>
      <c r="U60" s="72">
        <f>M60*17*365/1000000*0.33</f>
        <v>5.1790187625000002</v>
      </c>
      <c r="V60" s="72">
        <f>M60*2.5*365/1000000*0.33</f>
        <v>0.76162040625000005</v>
      </c>
      <c r="W60" s="72">
        <f>M60*0.5*365/1000000*0.33</f>
        <v>0.15232408125000002</v>
      </c>
      <c r="X60" s="72">
        <f>M60*19*365/1000000*0.33</f>
        <v>5.7883150875</v>
      </c>
      <c r="Y60" s="72">
        <f>M60*26*365/1000000*0.33</f>
        <v>7.920852225</v>
      </c>
      <c r="Z60" s="72">
        <f>M60*18*365/1000000*0.33</f>
        <v>5.4836669249999996</v>
      </c>
      <c r="AA60" s="72">
        <f>M60*0*365/1000000*0.33</f>
        <v>0</v>
      </c>
      <c r="AB60" s="72">
        <f>M60*0*365/1000000*0.33</f>
        <v>0</v>
      </c>
      <c r="AC60" s="91">
        <f>N60-S60-X60</f>
        <v>45.641833799999993</v>
      </c>
      <c r="AD60" s="91">
        <f>O60-T60-Y60</f>
        <v>88.144868349999996</v>
      </c>
      <c r="AE60" s="91">
        <f>P60-U60-Z60</f>
        <v>53.959651812499999</v>
      </c>
      <c r="AF60" s="91">
        <f>Q60-V60-AA60</f>
        <v>8.4701420937500007</v>
      </c>
      <c r="AG60" s="91">
        <f>R60-W60-AB60</f>
        <v>1.6940284187500001</v>
      </c>
      <c r="AH60" s="39">
        <f>(K60+H60)*60*365/1000000</f>
        <v>28.114125000000001</v>
      </c>
      <c r="AI60" s="77">
        <f>($K60+$H60)*110*365/1000000</f>
        <v>51.542562500000003</v>
      </c>
      <c r="AJ60" s="77">
        <f>($K60+$H60)*70*365/1000000</f>
        <v>32.799812500000002</v>
      </c>
      <c r="AK60" s="77">
        <f>($K60+$H60)*10*365/1000000</f>
        <v>4.6856875000000002</v>
      </c>
      <c r="AL60" s="26">
        <f>($K60+$H60)*2*365/1000000</f>
        <v>0.93713749999999996</v>
      </c>
      <c r="AM60" s="27">
        <v>0.9</v>
      </c>
      <c r="AN60" s="27">
        <v>0.75</v>
      </c>
      <c r="AO60" s="27">
        <v>0.9</v>
      </c>
      <c r="AP60" s="27">
        <v>0.1</v>
      </c>
      <c r="AQ60" s="27">
        <v>0.1</v>
      </c>
      <c r="AR60" s="26">
        <f>(S60+AH60)*AM60</f>
        <v>28.867096001250005</v>
      </c>
      <c r="AS60" s="26">
        <f>(T60+AI60)*AN60</f>
        <v>42.769672068750005</v>
      </c>
      <c r="AT60" s="26">
        <f>(U60+AJ60)*AO60</f>
        <v>34.180948136250002</v>
      </c>
      <c r="AU60" s="26">
        <f>(V60+AK60)*AP60</f>
        <v>0.54473079062499996</v>
      </c>
      <c r="AV60" s="26">
        <f>(W60+AL60)*AQ60</f>
        <v>0.108946158125</v>
      </c>
      <c r="AW60" s="26">
        <f>S60+AH60-AR60</f>
        <v>3.2074551112499989</v>
      </c>
      <c r="AX60" s="26">
        <f>T60+AI60-AS60</f>
        <v>14.256557356249999</v>
      </c>
      <c r="AY60" s="26">
        <f>U60+AJ60-AT60</f>
        <v>3.7978831262499995</v>
      </c>
      <c r="AZ60" s="26">
        <f>V60+AK60-AU60</f>
        <v>4.9025771156250002</v>
      </c>
      <c r="BA60" s="40">
        <f>W60+AL60-AV60</f>
        <v>0.98051542312499995</v>
      </c>
      <c r="BB60" s="37">
        <f>N60+AH60</f>
        <v>83.5047</v>
      </c>
      <c r="BC60" s="28">
        <f>O60+AI60</f>
        <v>153.09195</v>
      </c>
      <c r="BD60" s="28">
        <f>P60+AJ60</f>
        <v>97.422150000000002</v>
      </c>
      <c r="BE60" s="29">
        <f>Q60+AK60</f>
        <v>13.917450000000001</v>
      </c>
      <c r="BF60" s="29">
        <f>R60+AL60</f>
        <v>2.78349</v>
      </c>
      <c r="BG60" s="28">
        <f>AC60+AW60</f>
        <v>48.849288911249992</v>
      </c>
      <c r="BH60" s="28">
        <f>AD60+AX60</f>
        <v>102.40142570625</v>
      </c>
      <c r="BI60" s="28">
        <f>AE60+AY60</f>
        <v>57.757534938749998</v>
      </c>
      <c r="BJ60" s="29">
        <f>AF60+AZ60</f>
        <v>13.372719209375001</v>
      </c>
      <c r="BK60" s="29">
        <f>AG60+BA60</f>
        <v>2.6745438418749998</v>
      </c>
      <c r="BL60" s="28">
        <f>X60+AR60</f>
        <v>34.655411088750007</v>
      </c>
      <c r="BM60" s="28">
        <f>Y60+AS60</f>
        <v>50.690524293750002</v>
      </c>
      <c r="BN60" s="28">
        <f>Z60+AT60</f>
        <v>39.664615061250004</v>
      </c>
      <c r="BO60" s="29">
        <f>AA60+AU60</f>
        <v>0.54473079062499996</v>
      </c>
      <c r="BP60" s="30">
        <f>AB60+AV60</f>
        <v>0.108946158125</v>
      </c>
      <c r="BQ60" s="10">
        <v>1483200</v>
      </c>
      <c r="BR60" s="6">
        <v>56000</v>
      </c>
      <c r="BS60" t="s">
        <v>131</v>
      </c>
    </row>
    <row r="61" spans="1:71" ht="45" x14ac:dyDescent="0.25">
      <c r="A61" s="18"/>
      <c r="B61" s="18">
        <v>52</v>
      </c>
      <c r="C61" s="19" t="s">
        <v>93</v>
      </c>
      <c r="D61" s="60">
        <v>3077</v>
      </c>
      <c r="E61" s="57" t="s">
        <v>151</v>
      </c>
      <c r="F61" s="14" t="s">
        <v>205</v>
      </c>
      <c r="G61" s="53">
        <v>6122</v>
      </c>
      <c r="H61" s="54">
        <v>833</v>
      </c>
      <c r="I61" s="50">
        <f>G61+H61</f>
        <v>6955</v>
      </c>
      <c r="J61" s="45">
        <v>0.22</v>
      </c>
      <c r="K61" s="65">
        <f>ROUND(G61*J61,2)</f>
        <v>1346.84</v>
      </c>
      <c r="L61" s="66">
        <f>1-J61</f>
        <v>0.78</v>
      </c>
      <c r="M61" s="67">
        <f>G61-K61</f>
        <v>4775.16</v>
      </c>
      <c r="N61" s="43">
        <f>M61*60*365/1000000</f>
        <v>104.57600399999998</v>
      </c>
      <c r="O61" s="92">
        <f>M61*110*365/1000000</f>
        <v>191.72267400000001</v>
      </c>
      <c r="P61" s="72">
        <f>M61*70*365/1000000</f>
        <v>122.00533799999999</v>
      </c>
      <c r="Q61" s="72">
        <f>M61*10*365/1000000</f>
        <v>17.429334000000001</v>
      </c>
      <c r="R61" s="25">
        <f>M61*2*365/1000000</f>
        <v>3.4858667999999997</v>
      </c>
      <c r="S61" s="72">
        <f>M61*13*365/1000000*0.33</f>
        <v>7.477184286</v>
      </c>
      <c r="T61" s="72">
        <f>M61*18*365/1000000*0.33</f>
        <v>10.353024396</v>
      </c>
      <c r="U61" s="72">
        <f>M61*17*365/1000000*0.33</f>
        <v>9.7778563740000006</v>
      </c>
      <c r="V61" s="72">
        <f>M61*2.5*365/1000000*0.33</f>
        <v>1.4379200550000002</v>
      </c>
      <c r="W61" s="72">
        <f>M61*0.5*365/1000000*0.33</f>
        <v>0.28758401099999997</v>
      </c>
      <c r="X61" s="72">
        <f>M61*19*365/1000000*0.33</f>
        <v>10.928192418</v>
      </c>
      <c r="Y61" s="72">
        <f>M61*26*365/1000000*0.33</f>
        <v>14.954368572</v>
      </c>
      <c r="Z61" s="72">
        <f>M61*18*365/1000000*0.33</f>
        <v>10.353024396</v>
      </c>
      <c r="AA61" s="72">
        <f>M61*0*365/1000000*0.33</f>
        <v>0</v>
      </c>
      <c r="AB61" s="72">
        <f>M61*0*365/1000000*0.33</f>
        <v>0</v>
      </c>
      <c r="AC61" s="91">
        <f>N61-S61-X61</f>
        <v>86.170627295999992</v>
      </c>
      <c r="AD61" s="91">
        <f>O61-T61-Y61</f>
        <v>166.41528103200002</v>
      </c>
      <c r="AE61" s="91">
        <f>P61-U61-Z61</f>
        <v>101.87445723</v>
      </c>
      <c r="AF61" s="91">
        <f>Q61-V61-AA61</f>
        <v>15.991413945000001</v>
      </c>
      <c r="AG61" s="91">
        <f>R61-W61-AB61</f>
        <v>3.1982827889999998</v>
      </c>
      <c r="AH61" s="39">
        <f>(K61+H61)*60*365/1000000</f>
        <v>47.738495999999998</v>
      </c>
      <c r="AI61" s="77">
        <f>($K61+$H61)*110*365/1000000</f>
        <v>87.52057600000002</v>
      </c>
      <c r="AJ61" s="77">
        <f>($K61+$H61)*70*365/1000000</f>
        <v>55.694912000000009</v>
      </c>
      <c r="AK61" s="77">
        <f>($K61+$H61)*10*365/1000000</f>
        <v>7.9564160000000008</v>
      </c>
      <c r="AL61" s="26">
        <f>($K61+$H61)*2*365/1000000</f>
        <v>1.5912832000000001</v>
      </c>
      <c r="AM61" s="27">
        <v>0.9</v>
      </c>
      <c r="AN61" s="27">
        <v>0.75</v>
      </c>
      <c r="AO61" s="27">
        <v>0.9</v>
      </c>
      <c r="AP61" s="27">
        <v>0.1</v>
      </c>
      <c r="AQ61" s="27">
        <v>0.1</v>
      </c>
      <c r="AR61" s="26">
        <f>(S61+AH61)*AM61</f>
        <v>49.694112257399993</v>
      </c>
      <c r="AS61" s="26">
        <f>(T61+AI61)*AN61</f>
        <v>73.405200297000007</v>
      </c>
      <c r="AT61" s="26">
        <f>(U61+AJ61)*AO61</f>
        <v>58.925491536600013</v>
      </c>
      <c r="AU61" s="26">
        <f>(V61+AK61)*AP61</f>
        <v>0.9394336055000001</v>
      </c>
      <c r="AV61" s="26">
        <f>(W61+AL61)*AQ61</f>
        <v>0.18788672110000004</v>
      </c>
      <c r="AW61" s="26">
        <f>S61+AH61-AR61</f>
        <v>5.5215680286000008</v>
      </c>
      <c r="AX61" s="26">
        <f>T61+AI61-AS61</f>
        <v>24.468400099000007</v>
      </c>
      <c r="AY61" s="26">
        <f>U61+AJ61-AT61</f>
        <v>6.5472768373999983</v>
      </c>
      <c r="AZ61" s="26">
        <f>V61+AK61-AU61</f>
        <v>8.4549024495000005</v>
      </c>
      <c r="BA61" s="40">
        <f>W61+AL61-AV61</f>
        <v>1.6909804899000003</v>
      </c>
      <c r="BB61" s="37">
        <f>N61+AH61</f>
        <v>152.31449999999998</v>
      </c>
      <c r="BC61" s="28">
        <f>O61+AI61</f>
        <v>279.24325000000005</v>
      </c>
      <c r="BD61" s="28">
        <f>P61+AJ61</f>
        <v>177.70025000000001</v>
      </c>
      <c r="BE61" s="29">
        <f>Q61+AK61</f>
        <v>25.385750000000002</v>
      </c>
      <c r="BF61" s="29">
        <f>R61+AL61</f>
        <v>5.0771499999999996</v>
      </c>
      <c r="BG61" s="28">
        <f>AC61+AW61</f>
        <v>91.692195324599993</v>
      </c>
      <c r="BH61" s="28">
        <f>AD61+AX61</f>
        <v>190.88368113100003</v>
      </c>
      <c r="BI61" s="28">
        <f>AE61+AY61</f>
        <v>108.4217340674</v>
      </c>
      <c r="BJ61" s="29">
        <f>AF61+AZ61</f>
        <v>24.446316394500002</v>
      </c>
      <c r="BK61" s="29">
        <f>AG61+BA61</f>
        <v>4.8892632788999997</v>
      </c>
      <c r="BL61" s="28">
        <f>X61+AR61</f>
        <v>60.622304675399995</v>
      </c>
      <c r="BM61" s="28">
        <f>Y61+AS61</f>
        <v>88.359568869000015</v>
      </c>
      <c r="BN61" s="28">
        <f>Z61+AT61</f>
        <v>69.278515932600016</v>
      </c>
      <c r="BO61" s="29">
        <f>AA61+AU61</f>
        <v>0.9394336055000001</v>
      </c>
      <c r="BP61" s="30">
        <f>AB61+AV61</f>
        <v>0.18788672110000004</v>
      </c>
      <c r="BQ61" s="10">
        <v>650460</v>
      </c>
      <c r="BR61" s="6">
        <v>0</v>
      </c>
      <c r="BS61" t="s">
        <v>128</v>
      </c>
    </row>
    <row r="62" spans="1:71" ht="30" x14ac:dyDescent="0.25">
      <c r="A62" s="111"/>
      <c r="B62" s="18">
        <v>53</v>
      </c>
      <c r="C62" s="19" t="s">
        <v>87</v>
      </c>
      <c r="D62" s="60">
        <v>3003</v>
      </c>
      <c r="E62" s="57" t="s">
        <v>152</v>
      </c>
      <c r="F62" s="14" t="s">
        <v>209</v>
      </c>
      <c r="G62" s="122">
        <v>3399</v>
      </c>
      <c r="H62" s="124">
        <v>75</v>
      </c>
      <c r="I62" s="125">
        <f>G62+H62</f>
        <v>3474</v>
      </c>
      <c r="J62" s="126">
        <v>0.93</v>
      </c>
      <c r="K62" s="129">
        <f>ROUND(G62*J62,2)</f>
        <v>3161.07</v>
      </c>
      <c r="L62" s="130">
        <f>1-J62</f>
        <v>6.9999999999999951E-2</v>
      </c>
      <c r="M62" s="131">
        <f>G62-K62</f>
        <v>237.92999999999984</v>
      </c>
      <c r="N62" s="132">
        <f>M62*60*365/1000000</f>
        <v>5.2106669999999964</v>
      </c>
      <c r="O62" s="135">
        <f>M62*110*365/1000000</f>
        <v>9.552889499999992</v>
      </c>
      <c r="P62" s="136">
        <f>M62*70*365/1000000</f>
        <v>6.0791114999999953</v>
      </c>
      <c r="Q62" s="136">
        <f>M62*10*365/1000000</f>
        <v>0.8684444999999994</v>
      </c>
      <c r="R62" s="137">
        <f>M62*2*365/1000000</f>
        <v>0.17368889999999987</v>
      </c>
      <c r="S62" s="136">
        <f>M62*13*365/1000000*0.33</f>
        <v>0.37256269049999974</v>
      </c>
      <c r="T62" s="136">
        <f>M62*18*365/1000000*0.33</f>
        <v>0.5158560329999996</v>
      </c>
      <c r="U62" s="136">
        <f>M62*17*365/1000000*0.33</f>
        <v>0.48719736449999967</v>
      </c>
      <c r="V62" s="136">
        <f>M62*2.5*365/1000000*0.33</f>
        <v>7.164667124999996E-2</v>
      </c>
      <c r="W62" s="136">
        <f>M62*0.5*365/1000000*0.33</f>
        <v>1.432933424999999E-2</v>
      </c>
      <c r="X62" s="136">
        <f>M62*19*365/1000000*0.33</f>
        <v>0.54451470149999959</v>
      </c>
      <c r="Y62" s="136">
        <f>M62*26*365/1000000*0.33</f>
        <v>0.74512538099999948</v>
      </c>
      <c r="Z62" s="136">
        <f>M62*18*365/1000000*0.33</f>
        <v>0.5158560329999996</v>
      </c>
      <c r="AA62" s="136">
        <f>M62*0*365/1000000*0.33</f>
        <v>0</v>
      </c>
      <c r="AB62" s="136">
        <f>M62*0*365/1000000*0.33</f>
        <v>0</v>
      </c>
      <c r="AC62" s="138">
        <f>N62-S62-X62</f>
        <v>4.2935896079999969</v>
      </c>
      <c r="AD62" s="138">
        <f>O62-T62-Y62</f>
        <v>8.2919080859999923</v>
      </c>
      <c r="AE62" s="138">
        <f>P62-U62-Z62</f>
        <v>5.0760581024999958</v>
      </c>
      <c r="AF62" s="138">
        <f>Q62-V62-AA62</f>
        <v>0.79679782874999949</v>
      </c>
      <c r="AG62" s="138">
        <f>R62-W62-AB62</f>
        <v>0.15935956574999988</v>
      </c>
      <c r="AH62" s="139">
        <f>(K62+H62)*60*365/1000000</f>
        <v>70.869933000000003</v>
      </c>
      <c r="AI62" s="141">
        <f>($K62+$H62)*110*365/1000000</f>
        <v>129.92821050000001</v>
      </c>
      <c r="AJ62" s="141">
        <f>($K62+$H62)*70*365/1000000</f>
        <v>82.681588500000018</v>
      </c>
      <c r="AK62" s="141">
        <f>($K62+$H62)*10*365/1000000</f>
        <v>11.811655500000001</v>
      </c>
      <c r="AL62" s="142">
        <f>($K62+$H62)*2*365/1000000</f>
        <v>2.3623311</v>
      </c>
      <c r="AM62" s="143">
        <v>0.9</v>
      </c>
      <c r="AN62" s="143">
        <v>0.75</v>
      </c>
      <c r="AO62" s="143">
        <v>0.9</v>
      </c>
      <c r="AP62" s="143">
        <v>0.1</v>
      </c>
      <c r="AQ62" s="143">
        <v>0.1</v>
      </c>
      <c r="AR62" s="142">
        <f>(S62+AH62)*AM62</f>
        <v>64.118246121450014</v>
      </c>
      <c r="AS62" s="142">
        <f>(T62+AI62)*AN62</f>
        <v>97.833049899750009</v>
      </c>
      <c r="AT62" s="142">
        <f>(U62+AJ62)*AO62</f>
        <v>74.851907278050021</v>
      </c>
      <c r="AU62" s="142">
        <f>(V62+AK62)*AP62</f>
        <v>1.1883302171250001</v>
      </c>
      <c r="AV62" s="142">
        <f>(W62+AL62)*AQ62</f>
        <v>0.23766604342500003</v>
      </c>
      <c r="AW62" s="142">
        <f>S62+AH62-AR62</f>
        <v>7.1242495690499936</v>
      </c>
      <c r="AX62" s="142">
        <f>T62+AI62-AS62</f>
        <v>32.611016633250003</v>
      </c>
      <c r="AY62" s="142">
        <f>U62+AJ62-AT62</f>
        <v>8.3168785864500023</v>
      </c>
      <c r="AZ62" s="142">
        <f>V62+AK62-AU62</f>
        <v>10.694971954125002</v>
      </c>
      <c r="BA62" s="145">
        <f>W62+AL62-AV62</f>
        <v>2.1389943908250002</v>
      </c>
      <c r="BB62" s="147">
        <f>N62+AH62</f>
        <v>76.080600000000004</v>
      </c>
      <c r="BC62" s="150">
        <f>O62+AI62</f>
        <v>139.4811</v>
      </c>
      <c r="BD62" s="150">
        <f>P62+AJ62</f>
        <v>88.760700000000014</v>
      </c>
      <c r="BE62" s="151">
        <f>Q62+AK62</f>
        <v>12.680099999999999</v>
      </c>
      <c r="BF62" s="151">
        <f>R62+AL62</f>
        <v>2.5360199999999997</v>
      </c>
      <c r="BG62" s="150">
        <f>AC62+AW62</f>
        <v>11.417839177049991</v>
      </c>
      <c r="BH62" s="150">
        <f>AD62+AX62</f>
        <v>40.902924719249995</v>
      </c>
      <c r="BI62" s="150">
        <f>AE62+AY62</f>
        <v>13.392936688949998</v>
      </c>
      <c r="BJ62" s="151">
        <f>AF62+AZ62</f>
        <v>11.491769782875002</v>
      </c>
      <c r="BK62" s="151">
        <f>AG62+BA62</f>
        <v>2.2983539565750002</v>
      </c>
      <c r="BL62" s="150">
        <f>X62+AR62</f>
        <v>64.66276082295002</v>
      </c>
      <c r="BM62" s="150">
        <f>Y62+AS62</f>
        <v>98.578175280750003</v>
      </c>
      <c r="BN62" s="150">
        <f>Z62+AT62</f>
        <v>75.367763311050027</v>
      </c>
      <c r="BO62" s="151">
        <f>AA62+AU62</f>
        <v>1.1883302171250001</v>
      </c>
      <c r="BP62" s="152">
        <f>AB62+AV62</f>
        <v>0.23766604342500003</v>
      </c>
      <c r="BQ62" s="10">
        <v>348000</v>
      </c>
      <c r="BR62" s="6">
        <v>267600</v>
      </c>
      <c r="BS62" t="s">
        <v>153</v>
      </c>
    </row>
    <row r="63" spans="1:71" x14ac:dyDescent="0.25">
      <c r="A63" s="18"/>
      <c r="B63" s="18">
        <v>54</v>
      </c>
      <c r="C63" s="19" t="s">
        <v>103</v>
      </c>
      <c r="D63" s="60">
        <v>2898</v>
      </c>
      <c r="E63" s="47" t="s">
        <v>184</v>
      </c>
      <c r="F63" s="13" t="s">
        <v>206</v>
      </c>
      <c r="G63" s="53">
        <v>2502</v>
      </c>
      <c r="H63" s="54">
        <v>401</v>
      </c>
      <c r="I63" s="50">
        <f>G63+H63</f>
        <v>2903</v>
      </c>
      <c r="J63" s="45">
        <v>0.96</v>
      </c>
      <c r="K63" s="65">
        <f>ROUND(G63*J63,2)</f>
        <v>2401.92</v>
      </c>
      <c r="L63" s="66">
        <f>1-J63</f>
        <v>4.0000000000000036E-2</v>
      </c>
      <c r="M63" s="67">
        <f>G63-K63</f>
        <v>100.07999999999993</v>
      </c>
      <c r="N63" s="43">
        <f>M63*60*365/1000000</f>
        <v>2.1917519999999988</v>
      </c>
      <c r="O63" s="92">
        <f>M63*110*365/1000000</f>
        <v>4.0182119999999975</v>
      </c>
      <c r="P63" s="72">
        <f>M63*70*365/1000000</f>
        <v>2.5570439999999981</v>
      </c>
      <c r="Q63" s="72">
        <f>M63*10*365/1000000</f>
        <v>0.36529199999999973</v>
      </c>
      <c r="R63" s="25">
        <f>M63*2*365/1000000</f>
        <v>7.3058399999999954E-2</v>
      </c>
      <c r="S63" s="72">
        <f>M63*13*365/1000000*0.33</f>
        <v>0.15671026799999987</v>
      </c>
      <c r="T63" s="72">
        <f>M63*18*365/1000000*0.33</f>
        <v>0.21698344799999983</v>
      </c>
      <c r="U63" s="72">
        <f>M63*17*365/1000000*0.33</f>
        <v>0.20492881199999988</v>
      </c>
      <c r="V63" s="72">
        <f>M63*2.5*365/1000000*0.33</f>
        <v>3.013658999999998E-2</v>
      </c>
      <c r="W63" s="72">
        <f>M63*0.5*365/1000000*0.33</f>
        <v>6.0273179999999968E-3</v>
      </c>
      <c r="X63" s="72">
        <f>M63*19*365/1000000*0.33</f>
        <v>0.22903808399999981</v>
      </c>
      <c r="Y63" s="72">
        <f>M63*26*365/1000000*0.33</f>
        <v>0.31342053599999975</v>
      </c>
      <c r="Z63" s="72">
        <f>M63*18*365/1000000*0.33</f>
        <v>0.21698344799999983</v>
      </c>
      <c r="AA63" s="72">
        <f>M63*0*365/1000000*0.33</f>
        <v>0</v>
      </c>
      <c r="AB63" s="72">
        <f>M63*0*365/1000000*0.33</f>
        <v>0</v>
      </c>
      <c r="AC63" s="91">
        <f>N63-S63-X63</f>
        <v>1.806003647999999</v>
      </c>
      <c r="AD63" s="91">
        <f>O63-T63-Y63</f>
        <v>3.487808015999998</v>
      </c>
      <c r="AE63" s="91">
        <f>P63-U63-Z63</f>
        <v>2.1351317399999985</v>
      </c>
      <c r="AF63" s="91">
        <f>Q63-V63-AA63</f>
        <v>0.33515540999999976</v>
      </c>
      <c r="AG63" s="91">
        <f>R63-W63-AB63</f>
        <v>6.7031081999999964E-2</v>
      </c>
      <c r="AH63" s="39">
        <f>(K63+H63)*60*365/1000000</f>
        <v>61.383948000000011</v>
      </c>
      <c r="AI63" s="77">
        <f>($K63+$H63)*110*365/1000000</f>
        <v>112.537238</v>
      </c>
      <c r="AJ63" s="77">
        <f>($K63+$H63)*70*365/1000000</f>
        <v>71.614605999999995</v>
      </c>
      <c r="AK63" s="77">
        <f>($K63+$H63)*10*365/1000000</f>
        <v>10.230658</v>
      </c>
      <c r="AL63" s="26">
        <f>($K63+$H63)*2*365/1000000</f>
        <v>2.0461316000000003</v>
      </c>
      <c r="AM63" s="27">
        <v>0.9</v>
      </c>
      <c r="AN63" s="27">
        <v>0.75</v>
      </c>
      <c r="AO63" s="27">
        <v>0.9</v>
      </c>
      <c r="AP63" s="27">
        <v>0.1</v>
      </c>
      <c r="AQ63" s="27">
        <v>0.1</v>
      </c>
      <c r="AR63" s="26">
        <f>(S63+AH63)*AM63</f>
        <v>55.386592441200008</v>
      </c>
      <c r="AS63" s="26">
        <f>(T63+AI63)*AN63</f>
        <v>84.565666085999993</v>
      </c>
      <c r="AT63" s="26">
        <f>(U63+AJ63)*AO63</f>
        <v>64.637581330800003</v>
      </c>
      <c r="AU63" s="26">
        <f>(V63+AK63)*AP63</f>
        <v>1.026079459</v>
      </c>
      <c r="AV63" s="26">
        <f>(W63+AL63)*AQ63</f>
        <v>0.20521589180000005</v>
      </c>
      <c r="AW63" s="26">
        <f>S63+AH63-AR63</f>
        <v>6.1540658268000001</v>
      </c>
      <c r="AX63" s="26">
        <f>T63+AI63-AS63</f>
        <v>28.188555362000002</v>
      </c>
      <c r="AY63" s="26">
        <f>U63+AJ63-AT63</f>
        <v>7.1819534811999972</v>
      </c>
      <c r="AZ63" s="26">
        <f>V63+AK63-AU63</f>
        <v>9.2347151309999997</v>
      </c>
      <c r="BA63" s="40">
        <f>W63+AL63-AV63</f>
        <v>1.8469430262000004</v>
      </c>
      <c r="BB63" s="37">
        <f>N63+AH63</f>
        <v>63.575700000000012</v>
      </c>
      <c r="BC63" s="28">
        <f>O63+AI63</f>
        <v>116.55544999999999</v>
      </c>
      <c r="BD63" s="28">
        <f>P63+AJ63</f>
        <v>74.17165</v>
      </c>
      <c r="BE63" s="29">
        <f>Q63+AK63</f>
        <v>10.59595</v>
      </c>
      <c r="BF63" s="29">
        <f>R63+AL63</f>
        <v>2.1191900000000001</v>
      </c>
      <c r="BG63" s="28">
        <f>AC63+AW63</f>
        <v>7.9600694747999992</v>
      </c>
      <c r="BH63" s="28">
        <f>AD63+AX63</f>
        <v>31.676363378000001</v>
      </c>
      <c r="BI63" s="28">
        <f>AE63+AY63</f>
        <v>9.3170852211999957</v>
      </c>
      <c r="BJ63" s="29">
        <f>AF63+AZ63</f>
        <v>9.5698705410000002</v>
      </c>
      <c r="BK63" s="29">
        <f>AG63+BA63</f>
        <v>1.9139741082000004</v>
      </c>
      <c r="BL63" s="28">
        <f>X63+AR63</f>
        <v>55.615630525200011</v>
      </c>
      <c r="BM63" s="28">
        <f>Y63+AS63</f>
        <v>84.879086621999988</v>
      </c>
      <c r="BN63" s="28">
        <f>Z63+AT63</f>
        <v>64.854564778799997</v>
      </c>
      <c r="BO63" s="29">
        <f>AA63+AU63</f>
        <v>1.026079459</v>
      </c>
      <c r="BP63" s="30">
        <f>AB63+AV63</f>
        <v>0.20521589180000005</v>
      </c>
      <c r="BQ63" s="10">
        <v>0</v>
      </c>
      <c r="BR63" s="6">
        <v>0</v>
      </c>
      <c r="BS63" t="s">
        <v>128</v>
      </c>
    </row>
    <row r="64" spans="1:71" x14ac:dyDescent="0.25">
      <c r="A64" s="18"/>
      <c r="B64" s="18">
        <v>55</v>
      </c>
      <c r="C64" s="19" t="s">
        <v>95</v>
      </c>
      <c r="D64" s="60">
        <v>2873</v>
      </c>
      <c r="E64" s="47" t="s">
        <v>11</v>
      </c>
      <c r="F64" s="13" t="s">
        <v>206</v>
      </c>
      <c r="G64" s="53">
        <v>2895</v>
      </c>
      <c r="H64" s="54">
        <v>200</v>
      </c>
      <c r="I64" s="50">
        <f>G64+H64</f>
        <v>3095</v>
      </c>
      <c r="J64" s="45">
        <v>0.52</v>
      </c>
      <c r="K64" s="65">
        <f>ROUND(G64*J64,2)</f>
        <v>1505.4</v>
      </c>
      <c r="L64" s="66">
        <f>1-J64</f>
        <v>0.48</v>
      </c>
      <c r="M64" s="67">
        <f>G64-K64</f>
        <v>1389.6</v>
      </c>
      <c r="N64" s="43">
        <f>M64*60*365/1000000</f>
        <v>30.43224</v>
      </c>
      <c r="O64" s="92">
        <f>M64*110*365/1000000</f>
        <v>55.792439999999999</v>
      </c>
      <c r="P64" s="72">
        <f>M64*70*365/1000000</f>
        <v>35.504280000000001</v>
      </c>
      <c r="Q64" s="72">
        <f>M64*10*365/1000000</f>
        <v>5.0720400000000003</v>
      </c>
      <c r="R64" s="25">
        <f>M64*2*365/1000000</f>
        <v>1.014408</v>
      </c>
      <c r="S64" s="72">
        <f>M64*13*365/1000000*0.33</f>
        <v>2.1759051600000001</v>
      </c>
      <c r="T64" s="72">
        <f>M64*18*365/1000000*0.33</f>
        <v>3.0127917599999998</v>
      </c>
      <c r="U64" s="72">
        <f>M64*17*365/1000000*0.33</f>
        <v>2.8454144399999994</v>
      </c>
      <c r="V64" s="72">
        <f>M64*2.5*365/1000000*0.33</f>
        <v>0.41844330000000007</v>
      </c>
      <c r="W64" s="72">
        <f>M64*0.5*365/1000000*0.33</f>
        <v>8.3688659999999998E-2</v>
      </c>
      <c r="X64" s="72">
        <f>M64*19*365/1000000*0.33</f>
        <v>3.1801690800000006</v>
      </c>
      <c r="Y64" s="72">
        <f>M64*26*365/1000000*0.33</f>
        <v>4.3518103200000002</v>
      </c>
      <c r="Z64" s="72">
        <f>M64*18*365/1000000*0.33</f>
        <v>3.0127917599999998</v>
      </c>
      <c r="AA64" s="72">
        <f>M64*0*365/1000000*0.33</f>
        <v>0</v>
      </c>
      <c r="AB64" s="72">
        <f>M64*0*365/1000000*0.33</f>
        <v>0</v>
      </c>
      <c r="AC64" s="91">
        <f>N64-S64-X64</f>
        <v>25.076165760000002</v>
      </c>
      <c r="AD64" s="91">
        <f>O64-T64-Y64</f>
        <v>48.427837920000002</v>
      </c>
      <c r="AE64" s="91">
        <f>P64-U64-Z64</f>
        <v>29.646073800000003</v>
      </c>
      <c r="AF64" s="91">
        <f>Q64-V64-AA64</f>
        <v>4.6535967000000005</v>
      </c>
      <c r="AG64" s="91">
        <f>R64-W64-AB64</f>
        <v>0.93071934000000001</v>
      </c>
      <c r="AH64" s="39">
        <f>(K64+H64)*60*365/1000000</f>
        <v>37.348260000000003</v>
      </c>
      <c r="AI64" s="77">
        <f>($K64+$H64)*110*365/1000000</f>
        <v>68.471810000000005</v>
      </c>
      <c r="AJ64" s="77">
        <f>($K64+$H64)*70*365/1000000</f>
        <v>43.572969999999998</v>
      </c>
      <c r="AK64" s="77">
        <f>($K64+$H64)*10*365/1000000</f>
        <v>6.22471</v>
      </c>
      <c r="AL64" s="26">
        <f>($K64+$H64)*2*365/1000000</f>
        <v>1.244942</v>
      </c>
      <c r="AM64" s="27">
        <v>0.9</v>
      </c>
      <c r="AN64" s="27">
        <v>0.75</v>
      </c>
      <c r="AO64" s="27">
        <v>0.9</v>
      </c>
      <c r="AP64" s="27">
        <v>0.1</v>
      </c>
      <c r="AQ64" s="27">
        <v>0.1</v>
      </c>
      <c r="AR64" s="26">
        <f>(S64+AH64)*AM64</f>
        <v>35.571748644000003</v>
      </c>
      <c r="AS64" s="26">
        <f>(T64+AI64)*AN64</f>
        <v>53.613451320000003</v>
      </c>
      <c r="AT64" s="26">
        <f>(U64+AJ64)*AO64</f>
        <v>41.776545995999996</v>
      </c>
      <c r="AU64" s="26">
        <f>(V64+AK64)*AP64</f>
        <v>0.66431532999999998</v>
      </c>
      <c r="AV64" s="26">
        <f>(W64+AL64)*AQ64</f>
        <v>0.132863066</v>
      </c>
      <c r="AW64" s="26">
        <f>S64+AH64-AR64</f>
        <v>3.9524165159999995</v>
      </c>
      <c r="AX64" s="26">
        <f>T64+AI64-AS64</f>
        <v>17.871150440000001</v>
      </c>
      <c r="AY64" s="26">
        <f>U64+AJ64-AT64</f>
        <v>4.6418384440000011</v>
      </c>
      <c r="AZ64" s="26">
        <f>V64+AK64-AU64</f>
        <v>5.9788379699999998</v>
      </c>
      <c r="BA64" s="40">
        <f>W64+AL64-AV64</f>
        <v>1.1957675939999999</v>
      </c>
      <c r="BB64" s="37">
        <f>N64+AH64</f>
        <v>67.780500000000004</v>
      </c>
      <c r="BC64" s="28">
        <f>O64+AI64</f>
        <v>124.26425</v>
      </c>
      <c r="BD64" s="28">
        <f>P64+AJ64</f>
        <v>79.077249999999992</v>
      </c>
      <c r="BE64" s="29">
        <f>Q64+AK64</f>
        <v>11.296749999999999</v>
      </c>
      <c r="BF64" s="29">
        <f>R64+AL64</f>
        <v>2.25935</v>
      </c>
      <c r="BG64" s="28">
        <f>AC64+AW64</f>
        <v>29.028582276000002</v>
      </c>
      <c r="BH64" s="28">
        <f>AD64+AX64</f>
        <v>66.29898836000001</v>
      </c>
      <c r="BI64" s="28">
        <f>AE64+AY64</f>
        <v>34.287912244000005</v>
      </c>
      <c r="BJ64" s="29">
        <f>AF64+AZ64</f>
        <v>10.63243467</v>
      </c>
      <c r="BK64" s="29">
        <f>AG64+BA64</f>
        <v>2.1264869339999999</v>
      </c>
      <c r="BL64" s="28">
        <f>X64+AR64</f>
        <v>38.751917724000002</v>
      </c>
      <c r="BM64" s="28">
        <f>Y64+AS64</f>
        <v>57.965261640000001</v>
      </c>
      <c r="BN64" s="28">
        <f>Z64+AT64</f>
        <v>44.789337755999995</v>
      </c>
      <c r="BO64" s="29">
        <f>AA64+AU64</f>
        <v>0.66431532999999998</v>
      </c>
      <c r="BP64" s="30">
        <f>AB64+AV64</f>
        <v>0.132863066</v>
      </c>
      <c r="BQ64" s="10">
        <v>0</v>
      </c>
      <c r="BR64" s="6">
        <v>246000</v>
      </c>
      <c r="BS64" t="s">
        <v>128</v>
      </c>
    </row>
    <row r="65" spans="1:71" ht="30" x14ac:dyDescent="0.25">
      <c r="A65" s="20"/>
      <c r="B65" s="18">
        <v>56</v>
      </c>
      <c r="C65" s="19" t="s">
        <v>101</v>
      </c>
      <c r="D65" s="60">
        <v>2854</v>
      </c>
      <c r="E65" s="57" t="s">
        <v>154</v>
      </c>
      <c r="F65" s="14" t="s">
        <v>205</v>
      </c>
      <c r="G65" s="53">
        <v>3603</v>
      </c>
      <c r="H65" s="54">
        <v>41000</v>
      </c>
      <c r="I65" s="50">
        <f>G65+H65</f>
        <v>44603</v>
      </c>
      <c r="J65" s="45">
        <v>0.36</v>
      </c>
      <c r="K65" s="65">
        <f>ROUND(G65*J65,2)</f>
        <v>1297.08</v>
      </c>
      <c r="L65" s="66">
        <f>1-J65</f>
        <v>0.64</v>
      </c>
      <c r="M65" s="67">
        <f>G65-K65</f>
        <v>2305.92</v>
      </c>
      <c r="N65" s="43">
        <f>M65*60*365/1000000</f>
        <v>50.499648000000008</v>
      </c>
      <c r="O65" s="92">
        <f>M65*110*365/1000000</f>
        <v>92.582688000000005</v>
      </c>
      <c r="P65" s="72">
        <f>M65*70*365/1000000</f>
        <v>58.916255999999997</v>
      </c>
      <c r="Q65" s="72">
        <f>M65*10*365/1000000</f>
        <v>8.4166080000000001</v>
      </c>
      <c r="R65" s="25">
        <f>M65*2*365/1000000</f>
        <v>1.6833216000000002</v>
      </c>
      <c r="S65" s="72">
        <f>M65*13*365/1000000*0.33</f>
        <v>3.6107248320000003</v>
      </c>
      <c r="T65" s="72">
        <f>M65*18*365/1000000*0.33</f>
        <v>4.999465152</v>
      </c>
      <c r="U65" s="72">
        <f>M65*17*365/1000000*0.33</f>
        <v>4.7217170880000001</v>
      </c>
      <c r="V65" s="72">
        <f>M65*2.5*365/1000000*0.33</f>
        <v>0.69437016000000007</v>
      </c>
      <c r="W65" s="72">
        <f>M65*0.5*365/1000000*0.33</f>
        <v>0.13887403200000004</v>
      </c>
      <c r="X65" s="72">
        <f>M65*19*365/1000000*0.33</f>
        <v>5.2772132160000007</v>
      </c>
      <c r="Y65" s="72">
        <f>M65*26*365/1000000*0.33</f>
        <v>7.2214496640000005</v>
      </c>
      <c r="Z65" s="72">
        <f>M65*18*365/1000000*0.33</f>
        <v>4.999465152</v>
      </c>
      <c r="AA65" s="72">
        <f>M65*0*365/1000000*0.33</f>
        <v>0</v>
      </c>
      <c r="AB65" s="72">
        <f>M65*0*365/1000000*0.33</f>
        <v>0</v>
      </c>
      <c r="AC65" s="91">
        <f>N65-S65-X65</f>
        <v>41.611709952000005</v>
      </c>
      <c r="AD65" s="91">
        <f>O65-T65-Y65</f>
        <v>80.361773184</v>
      </c>
      <c r="AE65" s="91">
        <f>P65-U65-Z65</f>
        <v>49.19507376</v>
      </c>
      <c r="AF65" s="91">
        <f>Q65-V65-AA65</f>
        <v>7.72223784</v>
      </c>
      <c r="AG65" s="91">
        <f>R65-W65-AB65</f>
        <v>1.5444475680000003</v>
      </c>
      <c r="AH65" s="39">
        <f>(K65+H65)*60*365/1000000</f>
        <v>926.30605200000014</v>
      </c>
      <c r="AI65" s="77">
        <f>($K65+$H65)*110*365/1000000</f>
        <v>1698.227762</v>
      </c>
      <c r="AJ65" s="77">
        <f>($K65+$H65)*70*365/1000000</f>
        <v>1080.690394</v>
      </c>
      <c r="AK65" s="77">
        <f>($K65+$H65)*10*365/1000000</f>
        <v>154.38434200000003</v>
      </c>
      <c r="AL65" s="26">
        <f>($K65+$H65)*2*365/1000000</f>
        <v>30.876868400000003</v>
      </c>
      <c r="AM65" s="27">
        <v>0.9</v>
      </c>
      <c r="AN65" s="27">
        <v>0.75</v>
      </c>
      <c r="AO65" s="27">
        <v>0.9</v>
      </c>
      <c r="AP65" s="27">
        <v>0.1</v>
      </c>
      <c r="AQ65" s="27">
        <v>0.1</v>
      </c>
      <c r="AR65" s="26">
        <f>(S65+AH65)*AM65</f>
        <v>836.92509914880009</v>
      </c>
      <c r="AS65" s="26">
        <f>(T65+AI65)*AN65</f>
        <v>1277.4204203640002</v>
      </c>
      <c r="AT65" s="26">
        <f>(U65+AJ65)*AO65</f>
        <v>976.87089997920009</v>
      </c>
      <c r="AU65" s="26">
        <f>(V65+AK65)*AP65</f>
        <v>15.507871216000005</v>
      </c>
      <c r="AV65" s="26">
        <f>(W65+AL65)*AQ65</f>
        <v>3.1015742432000004</v>
      </c>
      <c r="AW65" s="26">
        <f>S65+AH65-AR65</f>
        <v>92.99167768320001</v>
      </c>
      <c r="AX65" s="26">
        <f>T65+AI65-AS65</f>
        <v>425.8068067879999</v>
      </c>
      <c r="AY65" s="26">
        <f>U65+AJ65-AT65</f>
        <v>108.54121110879998</v>
      </c>
      <c r="AZ65" s="26">
        <f>V65+AK65-AU65</f>
        <v>139.57084094400003</v>
      </c>
      <c r="BA65" s="40">
        <f>W65+AL65-AV65</f>
        <v>27.914168188800002</v>
      </c>
      <c r="BB65" s="37">
        <f>N65+AH65</f>
        <v>976.80570000000012</v>
      </c>
      <c r="BC65" s="28">
        <f>O65+AI65</f>
        <v>1790.8104499999999</v>
      </c>
      <c r="BD65" s="28">
        <f>P65+AJ65</f>
        <v>1139.6066499999999</v>
      </c>
      <c r="BE65" s="29">
        <f>Q65+AK65</f>
        <v>162.80095000000003</v>
      </c>
      <c r="BF65" s="29">
        <f>R65+AL65</f>
        <v>32.560190000000006</v>
      </c>
      <c r="BG65" s="28">
        <f>AC65+AW65</f>
        <v>134.60338763520002</v>
      </c>
      <c r="BH65" s="28">
        <f>AD65+AX65</f>
        <v>506.16857997199992</v>
      </c>
      <c r="BI65" s="28">
        <f>AE65+AY65</f>
        <v>157.7362848688</v>
      </c>
      <c r="BJ65" s="29">
        <f>AF65+AZ65</f>
        <v>147.29307878400002</v>
      </c>
      <c r="BK65" s="29">
        <f>AG65+BA65</f>
        <v>29.4586157568</v>
      </c>
      <c r="BL65" s="28">
        <f>X65+AR65</f>
        <v>842.20231236480004</v>
      </c>
      <c r="BM65" s="28">
        <f>Y65+AS65</f>
        <v>1284.6418700280001</v>
      </c>
      <c r="BN65" s="28">
        <f>Z65+AT65</f>
        <v>981.87036513120006</v>
      </c>
      <c r="BO65" s="29">
        <f>AA65+AU65</f>
        <v>15.507871216000005</v>
      </c>
      <c r="BP65" s="30">
        <f>AB65+AV65</f>
        <v>3.1015742432000004</v>
      </c>
      <c r="BQ65" s="10">
        <v>0</v>
      </c>
      <c r="BR65" s="6">
        <v>0</v>
      </c>
      <c r="BS65" t="s">
        <v>3</v>
      </c>
    </row>
    <row r="66" spans="1:71" x14ac:dyDescent="0.25">
      <c r="A66" s="18"/>
      <c r="B66" s="18">
        <v>57</v>
      </c>
      <c r="C66" s="19" t="s">
        <v>102</v>
      </c>
      <c r="D66" s="60">
        <v>2725</v>
      </c>
      <c r="E66" s="57" t="s">
        <v>155</v>
      </c>
      <c r="F66" s="14" t="s">
        <v>206</v>
      </c>
      <c r="G66" s="53">
        <v>3233</v>
      </c>
      <c r="H66" s="54">
        <v>0</v>
      </c>
      <c r="I66" s="50">
        <f>G66+H66</f>
        <v>3233</v>
      </c>
      <c r="J66" s="45">
        <v>0.34</v>
      </c>
      <c r="K66" s="65">
        <f>ROUND(G66*J66,2)</f>
        <v>1099.22</v>
      </c>
      <c r="L66" s="66">
        <f>1-J66</f>
        <v>0.65999999999999992</v>
      </c>
      <c r="M66" s="67">
        <f>G66-K66</f>
        <v>2133.7799999999997</v>
      </c>
      <c r="N66" s="43">
        <f>M66*60*365/1000000</f>
        <v>46.729781999999993</v>
      </c>
      <c r="O66" s="92">
        <f>M66*110*365/1000000</f>
        <v>85.671266999999986</v>
      </c>
      <c r="P66" s="72">
        <f>M66*70*365/1000000</f>
        <v>54.518078999999993</v>
      </c>
      <c r="Q66" s="72">
        <f>M66*10*365/1000000</f>
        <v>7.7882969999999982</v>
      </c>
      <c r="R66" s="25">
        <f>M66*2*365/1000000</f>
        <v>1.5576593999999999</v>
      </c>
      <c r="S66" s="72">
        <f>M66*13*365/1000000*0.33</f>
        <v>3.3411794129999994</v>
      </c>
      <c r="T66" s="72">
        <f>M66*18*365/1000000*0.33</f>
        <v>4.6262484179999994</v>
      </c>
      <c r="U66" s="72">
        <f>M66*17*365/1000000*0.33</f>
        <v>4.369234617</v>
      </c>
      <c r="V66" s="72">
        <f>M66*2.5*365/1000000*0.33</f>
        <v>0.64253450249999988</v>
      </c>
      <c r="W66" s="72">
        <f>M66*0.5*365/1000000*0.33</f>
        <v>0.12850690049999999</v>
      </c>
      <c r="X66" s="72">
        <f>M66*19*365/1000000*0.33</f>
        <v>4.8832622189999997</v>
      </c>
      <c r="Y66" s="72">
        <f>M66*26*365/1000000*0.33</f>
        <v>6.6823588259999989</v>
      </c>
      <c r="Z66" s="72">
        <f>M66*18*365/1000000*0.33</f>
        <v>4.6262484179999994</v>
      </c>
      <c r="AA66" s="72">
        <f>M66*0*365/1000000*0.33</f>
        <v>0</v>
      </c>
      <c r="AB66" s="72">
        <f>M66*0*365/1000000*0.33</f>
        <v>0</v>
      </c>
      <c r="AC66" s="91">
        <f>N66-S66-X66</f>
        <v>38.505340367999992</v>
      </c>
      <c r="AD66" s="91">
        <f>O66-T66-Y66</f>
        <v>74.362659755999985</v>
      </c>
      <c r="AE66" s="91">
        <f>P66-U66-Z66</f>
        <v>45.522595964999994</v>
      </c>
      <c r="AF66" s="91">
        <f>Q66-V66-AA66</f>
        <v>7.145762497499998</v>
      </c>
      <c r="AG66" s="91">
        <f>R66-W66-AB66</f>
        <v>1.4291524995</v>
      </c>
      <c r="AH66" s="39">
        <f>(K66+H66)*60*365/1000000</f>
        <v>24.072918000000001</v>
      </c>
      <c r="AI66" s="77">
        <f>($K66+$H66)*110*365/1000000</f>
        <v>44.133682999999998</v>
      </c>
      <c r="AJ66" s="77">
        <f>($K66+$H66)*70*365/1000000</f>
        <v>28.085071000000003</v>
      </c>
      <c r="AK66" s="77">
        <f>($K66+$H66)*10*365/1000000</f>
        <v>4.0121530000000005</v>
      </c>
      <c r="AL66" s="26">
        <f>($K66+$H66)*2*365/1000000</f>
        <v>0.80243059999999999</v>
      </c>
      <c r="AM66" s="27">
        <v>0.9</v>
      </c>
      <c r="AN66" s="27">
        <v>0.75</v>
      </c>
      <c r="AO66" s="27">
        <v>0.9</v>
      </c>
      <c r="AP66" s="27">
        <v>0.1</v>
      </c>
      <c r="AQ66" s="27">
        <v>0.1</v>
      </c>
      <c r="AR66" s="26">
        <f>(S66+AH66)*AM66</f>
        <v>24.6726876717</v>
      </c>
      <c r="AS66" s="26">
        <f>(T66+AI66)*AN66</f>
        <v>36.569948563499992</v>
      </c>
      <c r="AT66" s="26">
        <f>(U66+AJ66)*AO66</f>
        <v>29.208875055300002</v>
      </c>
      <c r="AU66" s="26">
        <f>(V66+AK66)*AP66</f>
        <v>0.46546875025000012</v>
      </c>
      <c r="AV66" s="26">
        <f>(W66+AL66)*AQ66</f>
        <v>9.3093750050000007E-2</v>
      </c>
      <c r="AW66" s="26">
        <f>S66+AH66-AR66</f>
        <v>2.7414097413</v>
      </c>
      <c r="AX66" s="26">
        <f>T66+AI66-AS66</f>
        <v>12.189982854500002</v>
      </c>
      <c r="AY66" s="26">
        <f>U66+AJ66-AT66</f>
        <v>3.245430561700001</v>
      </c>
      <c r="AZ66" s="26">
        <f>V66+AK66-AU66</f>
        <v>4.1892187522500004</v>
      </c>
      <c r="BA66" s="40">
        <f>W66+AL66-AV66</f>
        <v>0.83784375045000004</v>
      </c>
      <c r="BB66" s="37">
        <f>N66+AH66</f>
        <v>70.802699999999987</v>
      </c>
      <c r="BC66" s="28">
        <f>O66+AI66</f>
        <v>129.80494999999999</v>
      </c>
      <c r="BD66" s="28">
        <f>P66+AJ66</f>
        <v>82.603149999999999</v>
      </c>
      <c r="BE66" s="29">
        <f>Q66+AK66</f>
        <v>11.800449999999998</v>
      </c>
      <c r="BF66" s="29">
        <f>R66+AL66</f>
        <v>2.36009</v>
      </c>
      <c r="BG66" s="28">
        <f>AC66+AW66</f>
        <v>41.246750109299995</v>
      </c>
      <c r="BH66" s="28">
        <f>AD66+AX66</f>
        <v>86.552642610499987</v>
      </c>
      <c r="BI66" s="28">
        <f>AE66+AY66</f>
        <v>48.768026526699998</v>
      </c>
      <c r="BJ66" s="29">
        <f>AF66+AZ66</f>
        <v>11.334981249749998</v>
      </c>
      <c r="BK66" s="29">
        <f>AG66+BA66</f>
        <v>2.26699624995</v>
      </c>
      <c r="BL66" s="28">
        <f>X66+AR66</f>
        <v>29.555949890699999</v>
      </c>
      <c r="BM66" s="28">
        <f>Y66+AS66</f>
        <v>43.25230738949999</v>
      </c>
      <c r="BN66" s="28">
        <f>Z66+AT66</f>
        <v>33.835123473300001</v>
      </c>
      <c r="BO66" s="29">
        <f>AA66+AU66</f>
        <v>0.46546875025000012</v>
      </c>
      <c r="BP66" s="30">
        <f>AB66+AV66</f>
        <v>9.3093750050000007E-2</v>
      </c>
      <c r="BQ66" s="10">
        <v>1332000</v>
      </c>
      <c r="BR66" s="6">
        <v>0</v>
      </c>
      <c r="BS66" t="s">
        <v>131</v>
      </c>
    </row>
    <row r="67" spans="1:71" ht="30" x14ac:dyDescent="0.25">
      <c r="A67" s="18"/>
      <c r="B67" s="18">
        <v>58</v>
      </c>
      <c r="C67" s="19" t="s">
        <v>15</v>
      </c>
      <c r="D67" s="60">
        <v>2617</v>
      </c>
      <c r="E67" s="57" t="s">
        <v>156</v>
      </c>
      <c r="F67" s="14" t="s">
        <v>207</v>
      </c>
      <c r="G67" s="53">
        <v>2483</v>
      </c>
      <c r="H67" s="53">
        <v>1457</v>
      </c>
      <c r="I67" s="50">
        <f>G67+H67</f>
        <v>3940</v>
      </c>
      <c r="J67" s="45">
        <v>0.65</v>
      </c>
      <c r="K67" s="65">
        <f>ROUND(G67*J67,2)</f>
        <v>1613.95</v>
      </c>
      <c r="L67" s="66">
        <f>1-J67</f>
        <v>0.35</v>
      </c>
      <c r="M67" s="67">
        <f>G67-K67</f>
        <v>869.05</v>
      </c>
      <c r="N67" s="43">
        <f>M67*60*365/1000000</f>
        <v>19.032195000000002</v>
      </c>
      <c r="O67" s="92">
        <f>M67*110*365/1000000</f>
        <v>34.892357500000003</v>
      </c>
      <c r="P67" s="72">
        <f>M67*70*365/1000000</f>
        <v>22.204227499999998</v>
      </c>
      <c r="Q67" s="72">
        <f>M67*10*365/1000000</f>
        <v>3.1720324999999998</v>
      </c>
      <c r="R67" s="25">
        <f>M67*2*365/1000000</f>
        <v>0.63440649999999998</v>
      </c>
      <c r="S67" s="72">
        <f>M67*13*365/1000000*0.33</f>
        <v>1.3608019425</v>
      </c>
      <c r="T67" s="72">
        <f>M67*18*365/1000000*0.33</f>
        <v>1.884187305</v>
      </c>
      <c r="U67" s="72">
        <f>M67*17*365/1000000*0.33</f>
        <v>1.7795102324999998</v>
      </c>
      <c r="V67" s="72">
        <f>M67*2.5*365/1000000*0.33</f>
        <v>0.26169268125</v>
      </c>
      <c r="W67" s="72">
        <f>M67*0.5*365/1000000*0.33</f>
        <v>5.2338536249999998E-2</v>
      </c>
      <c r="X67" s="72">
        <f>M67*19*365/1000000*0.33</f>
        <v>1.9888643775000001</v>
      </c>
      <c r="Y67" s="72">
        <f>M67*26*365/1000000*0.33</f>
        <v>2.7216038849999999</v>
      </c>
      <c r="Z67" s="72">
        <f>M67*18*365/1000000*0.33</f>
        <v>1.884187305</v>
      </c>
      <c r="AA67" s="72">
        <f>M67*0*365/1000000*0.33</f>
        <v>0</v>
      </c>
      <c r="AB67" s="72">
        <f>M67*0*365/1000000*0.33</f>
        <v>0</v>
      </c>
      <c r="AC67" s="91">
        <f>N67-S67-X67</f>
        <v>15.682528680000001</v>
      </c>
      <c r="AD67" s="91">
        <f>O67-T67-Y67</f>
        <v>30.286566310000005</v>
      </c>
      <c r="AE67" s="91">
        <f>P67-U67-Z67</f>
        <v>18.540529962499999</v>
      </c>
      <c r="AF67" s="91">
        <f>Q67-V67-AA67</f>
        <v>2.9103398187499998</v>
      </c>
      <c r="AG67" s="91">
        <f>R67-W67-AB67</f>
        <v>0.58206796375000003</v>
      </c>
      <c r="AH67" s="39">
        <f>(K67+H67)*60*365/1000000</f>
        <v>67.253805</v>
      </c>
      <c r="AI67" s="77">
        <f>($K67+$H67)*110*365/1000000</f>
        <v>123.2986425</v>
      </c>
      <c r="AJ67" s="77">
        <f>($K67+$H67)*70*365/1000000</f>
        <v>78.4627725</v>
      </c>
      <c r="AK67" s="77">
        <f>($K67+$H67)*10*365/1000000</f>
        <v>11.2089675</v>
      </c>
      <c r="AL67" s="26">
        <f>($K67+$H67)*2*365/1000000</f>
        <v>2.2417935</v>
      </c>
      <c r="AM67" s="27">
        <v>0.9</v>
      </c>
      <c r="AN67" s="27">
        <v>0.75</v>
      </c>
      <c r="AO67" s="27">
        <v>0.9</v>
      </c>
      <c r="AP67" s="27">
        <v>0.1</v>
      </c>
      <c r="AQ67" s="27">
        <v>0.1</v>
      </c>
      <c r="AR67" s="26">
        <f>(S67+AH67)*AM67</f>
        <v>61.753146248250005</v>
      </c>
      <c r="AS67" s="26">
        <f>(T67+AI67)*AN67</f>
        <v>93.887122353750001</v>
      </c>
      <c r="AT67" s="26">
        <f>(U67+AJ67)*AO67</f>
        <v>72.218054459249998</v>
      </c>
      <c r="AU67" s="26">
        <f>(V67+AK67)*AP67</f>
        <v>1.1470660181250001</v>
      </c>
      <c r="AV67" s="26">
        <f>(W67+AL67)*AQ67</f>
        <v>0.22941320362500003</v>
      </c>
      <c r="AW67" s="26">
        <f>S67+AH67-AR67</f>
        <v>6.8614606942499989</v>
      </c>
      <c r="AX67" s="26">
        <f>T67+AI67-AS67</f>
        <v>31.295707451249996</v>
      </c>
      <c r="AY67" s="26">
        <f>U67+AJ67-AT67</f>
        <v>8.024228273250003</v>
      </c>
      <c r="AZ67" s="26">
        <f>V67+AK67-AU67</f>
        <v>10.323594163125</v>
      </c>
      <c r="BA67" s="40">
        <f>W67+AL67-AV67</f>
        <v>2.0647188326250001</v>
      </c>
      <c r="BB67" s="37">
        <f>N67+AH67</f>
        <v>86.286000000000001</v>
      </c>
      <c r="BC67" s="28">
        <f>O67+AI67</f>
        <v>158.191</v>
      </c>
      <c r="BD67" s="28">
        <f>P67+AJ67</f>
        <v>100.667</v>
      </c>
      <c r="BE67" s="29">
        <f>Q67+AK67</f>
        <v>14.381</v>
      </c>
      <c r="BF67" s="29">
        <f>R67+AL67</f>
        <v>2.8761999999999999</v>
      </c>
      <c r="BG67" s="28">
        <f>AC67+AW67</f>
        <v>22.54398937425</v>
      </c>
      <c r="BH67" s="28">
        <f>AD67+AX67</f>
        <v>61.582273761250001</v>
      </c>
      <c r="BI67" s="28">
        <f>AE67+AY67</f>
        <v>26.564758235750002</v>
      </c>
      <c r="BJ67" s="29">
        <f>AF67+AZ67</f>
        <v>13.233933981874999</v>
      </c>
      <c r="BK67" s="29">
        <f>AG67+BA67</f>
        <v>2.6467867963750003</v>
      </c>
      <c r="BL67" s="28">
        <f>X67+AR67</f>
        <v>63.742010625750005</v>
      </c>
      <c r="BM67" s="28">
        <f>Y67+AS67</f>
        <v>96.608726238749995</v>
      </c>
      <c r="BN67" s="28">
        <f>Z67+AT67</f>
        <v>74.102241764249996</v>
      </c>
      <c r="BO67" s="29">
        <f>AA67+AU67</f>
        <v>1.1470660181250001</v>
      </c>
      <c r="BP67" s="30">
        <f>AB67+AV67</f>
        <v>0.22941320362500003</v>
      </c>
      <c r="BQ67" s="10">
        <v>361800</v>
      </c>
      <c r="BR67" s="6">
        <v>186000</v>
      </c>
      <c r="BS67" t="s">
        <v>128</v>
      </c>
    </row>
    <row r="68" spans="1:71" x14ac:dyDescent="0.25">
      <c r="A68" s="18"/>
      <c r="B68" s="18">
        <v>59</v>
      </c>
      <c r="C68" s="19" t="s">
        <v>8</v>
      </c>
      <c r="D68" s="60">
        <v>2597</v>
      </c>
      <c r="E68" s="47" t="s">
        <v>185</v>
      </c>
      <c r="F68" s="13" t="s">
        <v>209</v>
      </c>
      <c r="G68" s="53">
        <v>2844</v>
      </c>
      <c r="H68" s="53">
        <v>2500</v>
      </c>
      <c r="I68" s="50">
        <f>G68+H68</f>
        <v>5344</v>
      </c>
      <c r="J68" s="45">
        <v>0.53</v>
      </c>
      <c r="K68" s="65">
        <f>ROUND(G68*J68,2)</f>
        <v>1507.32</v>
      </c>
      <c r="L68" s="66">
        <f>1-J68</f>
        <v>0.47</v>
      </c>
      <c r="M68" s="67">
        <f>G68-K68</f>
        <v>1336.68</v>
      </c>
      <c r="N68" s="43">
        <f>M68*60*365/1000000</f>
        <v>29.273292000000001</v>
      </c>
      <c r="O68" s="92">
        <f>M68*110*365/1000000</f>
        <v>53.667702000000006</v>
      </c>
      <c r="P68" s="72">
        <f>M68*70*365/1000000</f>
        <v>34.152174000000002</v>
      </c>
      <c r="Q68" s="72">
        <f>M68*10*365/1000000</f>
        <v>4.8788819999999999</v>
      </c>
      <c r="R68" s="25">
        <f>M68*2*365/1000000</f>
        <v>0.97577639999999999</v>
      </c>
      <c r="S68" s="72">
        <f>M68*13*365/1000000*0.33</f>
        <v>2.093040378</v>
      </c>
      <c r="T68" s="72">
        <f>M68*18*365/1000000*0.33</f>
        <v>2.8980559080000003</v>
      </c>
      <c r="U68" s="72">
        <f>M68*17*365/1000000*0.33</f>
        <v>2.7370528020000005</v>
      </c>
      <c r="V68" s="72">
        <f>M68*2.5*365/1000000*0.33</f>
        <v>0.40250776500000002</v>
      </c>
      <c r="W68" s="72">
        <f>M68*0.5*365/1000000*0.33</f>
        <v>8.0501553000000003E-2</v>
      </c>
      <c r="X68" s="72">
        <f>M68*19*365/1000000*0.33</f>
        <v>3.0590590140000007</v>
      </c>
      <c r="Y68" s="72">
        <f>M68*26*365/1000000*0.33</f>
        <v>4.186080756</v>
      </c>
      <c r="Z68" s="72">
        <f>M68*18*365/1000000*0.33</f>
        <v>2.8980559080000003</v>
      </c>
      <c r="AA68" s="72">
        <f>M68*0*365/1000000*0.33</f>
        <v>0</v>
      </c>
      <c r="AB68" s="72">
        <f>M68*0*365/1000000*0.33</f>
        <v>0</v>
      </c>
      <c r="AC68" s="91">
        <f>N68-S68-X68</f>
        <v>24.121192608000001</v>
      </c>
      <c r="AD68" s="91">
        <f>O68-T68-Y68</f>
        <v>46.583565335999999</v>
      </c>
      <c r="AE68" s="91">
        <f>P68-U68-Z68</f>
        <v>28.517065290000001</v>
      </c>
      <c r="AF68" s="91">
        <f>Q68-V68-AA68</f>
        <v>4.4763742349999998</v>
      </c>
      <c r="AG68" s="91">
        <f>R68-W68-AB68</f>
        <v>0.89527484700000004</v>
      </c>
      <c r="AH68" s="39">
        <f>(K68+H68)*60*365/1000000</f>
        <v>87.760307999999995</v>
      </c>
      <c r="AI68" s="77">
        <f>($K68+$H68)*110*365/1000000</f>
        <v>160.89389799999998</v>
      </c>
      <c r="AJ68" s="77">
        <f>($K68+$H68)*70*365/1000000</f>
        <v>102.38702599999999</v>
      </c>
      <c r="AK68" s="77">
        <f>($K68+$H68)*10*365/1000000</f>
        <v>14.626717999999999</v>
      </c>
      <c r="AL68" s="26">
        <f>($K68+$H68)*2*365/1000000</f>
        <v>2.9253435999999997</v>
      </c>
      <c r="AM68" s="27">
        <v>0.9</v>
      </c>
      <c r="AN68" s="27">
        <v>0.75</v>
      </c>
      <c r="AO68" s="27">
        <v>0.9</v>
      </c>
      <c r="AP68" s="27">
        <v>0.1</v>
      </c>
      <c r="AQ68" s="27">
        <v>0.1</v>
      </c>
      <c r="AR68" s="26">
        <f>(S68+AH68)*AM68</f>
        <v>80.868013540199996</v>
      </c>
      <c r="AS68" s="26">
        <f>(T68+AI68)*AN68</f>
        <v>122.84396543099999</v>
      </c>
      <c r="AT68" s="26">
        <f>(U68+AJ68)*AO68</f>
        <v>94.611670921799984</v>
      </c>
      <c r="AU68" s="26">
        <f>(V68+AK68)*AP68</f>
        <v>1.5029225764999998</v>
      </c>
      <c r="AV68" s="26">
        <f>(W68+AL68)*AQ68</f>
        <v>0.30058451529999997</v>
      </c>
      <c r="AW68" s="26">
        <f>S68+AH68-AR68</f>
        <v>8.9853348377999964</v>
      </c>
      <c r="AX68" s="26">
        <f>T68+AI68-AS68</f>
        <v>40.947988476999996</v>
      </c>
      <c r="AY68" s="26">
        <f>U68+AJ68-AT68</f>
        <v>10.512407880200001</v>
      </c>
      <c r="AZ68" s="26">
        <f>V68+AK68-AU68</f>
        <v>13.526303188499998</v>
      </c>
      <c r="BA68" s="40">
        <f>W68+AL68-AV68</f>
        <v>2.7052606376999995</v>
      </c>
      <c r="BB68" s="37">
        <f>N68+AH68</f>
        <v>117.03359999999999</v>
      </c>
      <c r="BC68" s="28">
        <f>O68+AI68</f>
        <v>214.5616</v>
      </c>
      <c r="BD68" s="28">
        <f>P68+AJ68</f>
        <v>136.53919999999999</v>
      </c>
      <c r="BE68" s="29">
        <f>Q68+AK68</f>
        <v>19.505599999999998</v>
      </c>
      <c r="BF68" s="29">
        <f>R68+AL68</f>
        <v>3.9011199999999997</v>
      </c>
      <c r="BG68" s="28">
        <f>AC68+AW68</f>
        <v>33.106527445799998</v>
      </c>
      <c r="BH68" s="28">
        <f>AD68+AX68</f>
        <v>87.531553812999988</v>
      </c>
      <c r="BI68" s="28">
        <f>AE68+AY68</f>
        <v>39.029473170200006</v>
      </c>
      <c r="BJ68" s="29">
        <f>AF68+AZ68</f>
        <v>18.002677423499996</v>
      </c>
      <c r="BK68" s="29">
        <f>AG68+BA68</f>
        <v>3.6005354846999995</v>
      </c>
      <c r="BL68" s="28">
        <f>X68+AR68</f>
        <v>83.927072554199995</v>
      </c>
      <c r="BM68" s="28">
        <f>Y68+AS68</f>
        <v>127.03004618699998</v>
      </c>
      <c r="BN68" s="28">
        <f>Z68+AT68</f>
        <v>97.509726829799988</v>
      </c>
      <c r="BO68" s="29">
        <f>AA68+AU68</f>
        <v>1.5029225764999998</v>
      </c>
      <c r="BP68" s="30">
        <f>AB68+AV68</f>
        <v>0.30058451529999997</v>
      </c>
      <c r="BQ68" s="10">
        <v>255160</v>
      </c>
      <c r="BR68" s="6">
        <v>257100</v>
      </c>
      <c r="BS68" t="s">
        <v>128</v>
      </c>
    </row>
    <row r="69" spans="1:71" ht="45" x14ac:dyDescent="0.25">
      <c r="A69" s="18"/>
      <c r="B69" s="18">
        <v>60</v>
      </c>
      <c r="C69" s="19" t="s">
        <v>14</v>
      </c>
      <c r="D69" s="60">
        <v>2538</v>
      </c>
      <c r="E69" s="57" t="s">
        <v>186</v>
      </c>
      <c r="F69" s="14" t="s">
        <v>209</v>
      </c>
      <c r="G69" s="53">
        <v>3211</v>
      </c>
      <c r="H69" s="54">
        <v>0</v>
      </c>
      <c r="I69" s="50">
        <f>G69+H69</f>
        <v>3211</v>
      </c>
      <c r="J69" s="45">
        <v>0.21</v>
      </c>
      <c r="K69" s="65">
        <f>ROUND(G69*J69,2)</f>
        <v>674.31</v>
      </c>
      <c r="L69" s="66">
        <f>1-J69</f>
        <v>0.79</v>
      </c>
      <c r="M69" s="67">
        <f>G69-K69</f>
        <v>2536.69</v>
      </c>
      <c r="N69" s="43">
        <f>M69*60*365/1000000</f>
        <v>55.553511</v>
      </c>
      <c r="O69" s="92">
        <f>M69*110*365/1000000</f>
        <v>101.84810350000002</v>
      </c>
      <c r="P69" s="72">
        <f>M69*70*365/1000000</f>
        <v>64.812429500000007</v>
      </c>
      <c r="Q69" s="72">
        <f>M69*10*365/1000000</f>
        <v>9.2589185000000001</v>
      </c>
      <c r="R69" s="25">
        <f>M69*2*365/1000000</f>
        <v>1.8517836999999999</v>
      </c>
      <c r="S69" s="72">
        <f>M69*13*365/1000000*0.33</f>
        <v>3.9720760365000007</v>
      </c>
      <c r="T69" s="72">
        <f>M69*18*365/1000000*0.33</f>
        <v>5.4997975889999999</v>
      </c>
      <c r="U69" s="72">
        <f>M69*17*365/1000000*0.33</f>
        <v>5.1942532785000006</v>
      </c>
      <c r="V69" s="72">
        <f>M69*2.5*365/1000000*0.33</f>
        <v>0.76386077625000004</v>
      </c>
      <c r="W69" s="72">
        <f>M69*0.5*365/1000000*0.33</f>
        <v>0.15277215525000001</v>
      </c>
      <c r="X69" s="72">
        <f>M69*19*365/1000000*0.33</f>
        <v>5.8053418994999992</v>
      </c>
      <c r="Y69" s="72">
        <f>M69*26*365/1000000*0.33</f>
        <v>7.9441520730000015</v>
      </c>
      <c r="Z69" s="72">
        <f>M69*18*365/1000000*0.33</f>
        <v>5.4997975889999999</v>
      </c>
      <c r="AA69" s="72">
        <f>M69*0*365/1000000*0.33</f>
        <v>0</v>
      </c>
      <c r="AB69" s="72">
        <f>M69*0*365/1000000*0.33</f>
        <v>0</v>
      </c>
      <c r="AC69" s="91">
        <f>N69-S69-X69</f>
        <v>45.776093064000001</v>
      </c>
      <c r="AD69" s="91">
        <f>O69-T69-Y69</f>
        <v>88.404153838000028</v>
      </c>
      <c r="AE69" s="91">
        <f>P69-U69-Z69</f>
        <v>54.118378632500011</v>
      </c>
      <c r="AF69" s="91">
        <f>Q69-V69-AA69</f>
        <v>8.4950577237499996</v>
      </c>
      <c r="AG69" s="91">
        <f>R69-W69-AB69</f>
        <v>1.6990115447499998</v>
      </c>
      <c r="AH69" s="39">
        <f>(K69+H69)*60*365/1000000</f>
        <v>14.767389</v>
      </c>
      <c r="AI69" s="77">
        <f>($K69+$H69)*110*365/1000000</f>
        <v>27.073546499999996</v>
      </c>
      <c r="AJ69" s="77">
        <f>($K69+$H69)*70*365/1000000</f>
        <v>17.228620500000002</v>
      </c>
      <c r="AK69" s="77">
        <f>($K69+$H69)*10*365/1000000</f>
        <v>2.4612314999999998</v>
      </c>
      <c r="AL69" s="26">
        <f>($K69+$H69)*2*365/1000000</f>
        <v>0.49224629999999997</v>
      </c>
      <c r="AM69" s="27">
        <v>0.9</v>
      </c>
      <c r="AN69" s="27">
        <v>0.75</v>
      </c>
      <c r="AO69" s="27">
        <v>0.9</v>
      </c>
      <c r="AP69" s="27">
        <v>0.1</v>
      </c>
      <c r="AQ69" s="27">
        <v>0.1</v>
      </c>
      <c r="AR69" s="26">
        <f>(S69+AH69)*AM69</f>
        <v>16.86551853285</v>
      </c>
      <c r="AS69" s="26">
        <f>(T69+AI69)*AN69</f>
        <v>24.430008066749998</v>
      </c>
      <c r="AT69" s="26">
        <f>(U69+AJ69)*AO69</f>
        <v>20.18058640065</v>
      </c>
      <c r="AU69" s="26">
        <f>(V69+AK69)*AP69</f>
        <v>0.32250922762500001</v>
      </c>
      <c r="AV69" s="26">
        <f>(W69+AL69)*AQ69</f>
        <v>6.4501845525000004E-2</v>
      </c>
      <c r="AW69" s="26">
        <f>S69+AH69-AR69</f>
        <v>1.87394650365</v>
      </c>
      <c r="AX69" s="26">
        <f>T69+AI69-AS69</f>
        <v>8.1433360222499971</v>
      </c>
      <c r="AY69" s="26">
        <f>U69+AJ69-AT69</f>
        <v>2.2422873778500012</v>
      </c>
      <c r="AZ69" s="26">
        <f>V69+AK69-AU69</f>
        <v>2.9025830486249999</v>
      </c>
      <c r="BA69" s="40">
        <f>W69+AL69-AV69</f>
        <v>0.58051660972499997</v>
      </c>
      <c r="BB69" s="37">
        <f>N69+AH69</f>
        <v>70.320899999999995</v>
      </c>
      <c r="BC69" s="28">
        <f>O69+AI69</f>
        <v>128.92165000000003</v>
      </c>
      <c r="BD69" s="28">
        <f>P69+AJ69</f>
        <v>82.041050000000013</v>
      </c>
      <c r="BE69" s="29">
        <f>Q69+AK69</f>
        <v>11.72015</v>
      </c>
      <c r="BF69" s="29">
        <f>R69+AL69</f>
        <v>2.3440300000000001</v>
      </c>
      <c r="BG69" s="28">
        <f>AC69+AW69</f>
        <v>47.650039567649998</v>
      </c>
      <c r="BH69" s="28">
        <f>AD69+AX69</f>
        <v>96.547489860250025</v>
      </c>
      <c r="BI69" s="28">
        <f>AE69+AY69</f>
        <v>56.360666010350016</v>
      </c>
      <c r="BJ69" s="29">
        <f>AF69+AZ69</f>
        <v>11.397640772374999</v>
      </c>
      <c r="BK69" s="29">
        <f>AG69+BA69</f>
        <v>2.2795281544749999</v>
      </c>
      <c r="BL69" s="28">
        <f>X69+AR69</f>
        <v>22.67086043235</v>
      </c>
      <c r="BM69" s="28">
        <f>Y69+AS69</f>
        <v>32.374160139750003</v>
      </c>
      <c r="BN69" s="28">
        <f>Z69+AT69</f>
        <v>25.68038398965</v>
      </c>
      <c r="BO69" s="29">
        <f>AA69+AU69</f>
        <v>0.32250922762500001</v>
      </c>
      <c r="BP69" s="30">
        <f>AB69+AV69</f>
        <v>6.4501845525000004E-2</v>
      </c>
      <c r="BQ69" s="10">
        <v>1614421</v>
      </c>
      <c r="BR69" s="6">
        <v>1186050</v>
      </c>
      <c r="BS69" t="s">
        <v>170</v>
      </c>
    </row>
    <row r="70" spans="1:71" x14ac:dyDescent="0.25">
      <c r="A70" s="18"/>
      <c r="B70" s="18">
        <v>61</v>
      </c>
      <c r="C70" s="19" t="s">
        <v>97</v>
      </c>
      <c r="D70" s="60">
        <v>2571</v>
      </c>
      <c r="E70" s="47" t="s">
        <v>149</v>
      </c>
      <c r="F70" s="13" t="s">
        <v>206</v>
      </c>
      <c r="G70" s="53">
        <v>2762</v>
      </c>
      <c r="H70" s="54">
        <v>840</v>
      </c>
      <c r="I70" s="50">
        <f>G70+H70</f>
        <v>3602</v>
      </c>
      <c r="J70" s="45">
        <v>0.4</v>
      </c>
      <c r="K70" s="65">
        <f>ROUND(G70*J70,2)</f>
        <v>1104.8</v>
      </c>
      <c r="L70" s="66">
        <f>1-J70</f>
        <v>0.6</v>
      </c>
      <c r="M70" s="67">
        <f>G70-K70</f>
        <v>1657.2</v>
      </c>
      <c r="N70" s="43">
        <f>M70*60*365/1000000</f>
        <v>36.292679999999997</v>
      </c>
      <c r="O70" s="92">
        <f>M70*110*365/1000000</f>
        <v>66.536580000000001</v>
      </c>
      <c r="P70" s="72">
        <f>M70*70*365/1000000</f>
        <v>42.341459999999998</v>
      </c>
      <c r="Q70" s="72">
        <f>M70*10*365/1000000</f>
        <v>6.0487799999999998</v>
      </c>
      <c r="R70" s="25">
        <f>M70*2*365/1000000</f>
        <v>1.2097560000000001</v>
      </c>
      <c r="S70" s="72">
        <f>M70*13*365/1000000*0.33</f>
        <v>2.5949266200000003</v>
      </c>
      <c r="T70" s="72">
        <f>M70*18*365/1000000*0.33</f>
        <v>3.5929753199999999</v>
      </c>
      <c r="U70" s="72">
        <f>M70*17*365/1000000*0.33</f>
        <v>3.3933655800000002</v>
      </c>
      <c r="V70" s="72">
        <f>M70*2.5*365/1000000*0.33</f>
        <v>0.49902435000000001</v>
      </c>
      <c r="W70" s="72">
        <f>M70*0.5*365/1000000*0.33</f>
        <v>9.9804870000000004E-2</v>
      </c>
      <c r="X70" s="72">
        <f>M70*19*365/1000000*0.33</f>
        <v>3.7925850600000004</v>
      </c>
      <c r="Y70" s="72">
        <f>M70*26*365/1000000*0.33</f>
        <v>5.1898532400000006</v>
      </c>
      <c r="Z70" s="72">
        <f>M70*18*365/1000000*0.33</f>
        <v>3.5929753199999999</v>
      </c>
      <c r="AA70" s="72">
        <f>M70*0*365/1000000*0.33</f>
        <v>0</v>
      </c>
      <c r="AB70" s="72">
        <f>M70*0*365/1000000*0.33</f>
        <v>0</v>
      </c>
      <c r="AC70" s="91">
        <f>N70-S70-X70</f>
        <v>29.905168319999994</v>
      </c>
      <c r="AD70" s="91">
        <f>O70-T70-Y70</f>
        <v>57.753751440000002</v>
      </c>
      <c r="AE70" s="91">
        <f>P70-U70-Z70</f>
        <v>35.355119099999996</v>
      </c>
      <c r="AF70" s="91">
        <f>Q70-V70-AA70</f>
        <v>5.5497556499999998</v>
      </c>
      <c r="AG70" s="91">
        <f>R70-W70-AB70</f>
        <v>1.10995113</v>
      </c>
      <c r="AH70" s="39">
        <f>(K70+H70)*60*365/1000000</f>
        <v>42.591119999999997</v>
      </c>
      <c r="AI70" s="77">
        <f>($K70+$H70)*110*365/1000000</f>
        <v>78.08372</v>
      </c>
      <c r="AJ70" s="77">
        <f>($K70+$H70)*70*365/1000000</f>
        <v>49.689639999999997</v>
      </c>
      <c r="AK70" s="77">
        <f>($K70+$H70)*10*365/1000000</f>
        <v>7.0985199999999997</v>
      </c>
      <c r="AL70" s="26">
        <f>($K70+$H70)*2*365/1000000</f>
        <v>1.4197040000000001</v>
      </c>
      <c r="AM70" s="27">
        <v>0.9</v>
      </c>
      <c r="AN70" s="27">
        <v>0.75</v>
      </c>
      <c r="AO70" s="27">
        <v>0.9</v>
      </c>
      <c r="AP70" s="27">
        <v>0.1</v>
      </c>
      <c r="AQ70" s="27">
        <v>0.1</v>
      </c>
      <c r="AR70" s="26">
        <f>(S70+AH70)*AM70</f>
        <v>40.667441957999998</v>
      </c>
      <c r="AS70" s="26">
        <f>(T70+AI70)*AN70</f>
        <v>61.257521489999995</v>
      </c>
      <c r="AT70" s="26">
        <f>(U70+AJ70)*AO70</f>
        <v>47.774705021999999</v>
      </c>
      <c r="AU70" s="26">
        <f>(V70+AK70)*AP70</f>
        <v>0.75975443500000006</v>
      </c>
      <c r="AV70" s="26">
        <f>(W70+AL70)*AQ70</f>
        <v>0.15195088700000003</v>
      </c>
      <c r="AW70" s="26">
        <f>S70+AH70-AR70</f>
        <v>4.5186046620000013</v>
      </c>
      <c r="AX70" s="26">
        <f>T70+AI70-AS70</f>
        <v>20.419173829999998</v>
      </c>
      <c r="AY70" s="26">
        <f>U70+AJ70-AT70</f>
        <v>5.3083005579999991</v>
      </c>
      <c r="AZ70" s="26">
        <f>V70+AK70-AU70</f>
        <v>6.8377899150000001</v>
      </c>
      <c r="BA70" s="40">
        <f>W70+AL70-AV70</f>
        <v>1.3675579830000002</v>
      </c>
      <c r="BB70" s="37">
        <f>N70+AH70</f>
        <v>78.883799999999994</v>
      </c>
      <c r="BC70" s="28">
        <f>O70+AI70</f>
        <v>144.62029999999999</v>
      </c>
      <c r="BD70" s="28">
        <f>P70+AJ70</f>
        <v>92.031099999999995</v>
      </c>
      <c r="BE70" s="29">
        <f>Q70+AK70</f>
        <v>13.1473</v>
      </c>
      <c r="BF70" s="29">
        <f>R70+AL70</f>
        <v>2.6294599999999999</v>
      </c>
      <c r="BG70" s="28">
        <f>AC70+AW70</f>
        <v>34.423772981999996</v>
      </c>
      <c r="BH70" s="28">
        <f>AD70+AX70</f>
        <v>78.172925270000007</v>
      </c>
      <c r="BI70" s="28">
        <f>AE70+AY70</f>
        <v>40.663419657999995</v>
      </c>
      <c r="BJ70" s="29">
        <f>AF70+AZ70</f>
        <v>12.387545565</v>
      </c>
      <c r="BK70" s="29">
        <f>AG70+BA70</f>
        <v>2.477509113</v>
      </c>
      <c r="BL70" s="28">
        <f>X70+AR70</f>
        <v>44.460027017999998</v>
      </c>
      <c r="BM70" s="28">
        <f>Y70+AS70</f>
        <v>66.447374729999993</v>
      </c>
      <c r="BN70" s="28">
        <f>Z70+AT70</f>
        <v>51.367680342</v>
      </c>
      <c r="BO70" s="29">
        <f>AA70+AU70</f>
        <v>0.75975443500000006</v>
      </c>
      <c r="BP70" s="30">
        <f>AB70+AV70</f>
        <v>0.15195088700000003</v>
      </c>
      <c r="BQ70" s="10" t="s">
        <v>169</v>
      </c>
      <c r="BR70" s="6" t="s">
        <v>169</v>
      </c>
    </row>
    <row r="71" spans="1:71" x14ac:dyDescent="0.25">
      <c r="A71" s="18"/>
      <c r="B71" s="18">
        <v>62</v>
      </c>
      <c r="C71" s="19" t="s">
        <v>96</v>
      </c>
      <c r="D71" s="60">
        <v>2490</v>
      </c>
      <c r="E71" s="47" t="s">
        <v>187</v>
      </c>
      <c r="F71" s="13" t="s">
        <v>206</v>
      </c>
      <c r="G71" s="53">
        <v>2979</v>
      </c>
      <c r="H71" s="53">
        <v>239</v>
      </c>
      <c r="I71" s="50">
        <f>G71+H71</f>
        <v>3218</v>
      </c>
      <c r="J71" s="45">
        <v>0.55000000000000004</v>
      </c>
      <c r="K71" s="65">
        <f>ROUND(G71*J71,2)</f>
        <v>1638.45</v>
      </c>
      <c r="L71" s="66">
        <f>1-J71</f>
        <v>0.44999999999999996</v>
      </c>
      <c r="M71" s="67">
        <f>G71-K71</f>
        <v>1340.55</v>
      </c>
      <c r="N71" s="43">
        <f>M71*60*365/1000000</f>
        <v>29.358045000000001</v>
      </c>
      <c r="O71" s="92">
        <f>M71*110*365/1000000</f>
        <v>53.823082499999998</v>
      </c>
      <c r="P71" s="72">
        <f>M71*70*365/1000000</f>
        <v>34.2510525</v>
      </c>
      <c r="Q71" s="72">
        <f>M71*10*365/1000000</f>
        <v>4.8930075000000004</v>
      </c>
      <c r="R71" s="25">
        <f>M71*2*365/1000000</f>
        <v>0.97860150000000001</v>
      </c>
      <c r="S71" s="72">
        <f>M71*13*365/1000000*0.33</f>
        <v>2.0991002174999998</v>
      </c>
      <c r="T71" s="72">
        <f>M71*18*365/1000000*0.33</f>
        <v>2.9064464549999998</v>
      </c>
      <c r="U71" s="72">
        <f>M71*17*365/1000000*0.33</f>
        <v>2.7449772074999998</v>
      </c>
      <c r="V71" s="72">
        <f>M71*2.5*365/1000000*0.33</f>
        <v>0.40367311875000006</v>
      </c>
      <c r="W71" s="72">
        <f>M71*0.5*365/1000000*0.33</f>
        <v>8.0734623749999998E-2</v>
      </c>
      <c r="X71" s="72">
        <f>M71*19*365/1000000*0.33</f>
        <v>3.0679157025000006</v>
      </c>
      <c r="Y71" s="72">
        <f>M71*26*365/1000000*0.33</f>
        <v>4.1982004349999995</v>
      </c>
      <c r="Z71" s="72">
        <f>M71*18*365/1000000*0.33</f>
        <v>2.9064464549999998</v>
      </c>
      <c r="AA71" s="72">
        <f>M71*0*365/1000000*0.33</f>
        <v>0</v>
      </c>
      <c r="AB71" s="72">
        <f>M71*0*365/1000000*0.33</f>
        <v>0</v>
      </c>
      <c r="AC71" s="91">
        <f>N71-S71-X71</f>
        <v>24.19102908</v>
      </c>
      <c r="AD71" s="91">
        <f>O71-T71-Y71</f>
        <v>46.71843561</v>
      </c>
      <c r="AE71" s="91">
        <f>P71-U71-Z71</f>
        <v>28.599628837499999</v>
      </c>
      <c r="AF71" s="91">
        <f>Q71-V71-AA71</f>
        <v>4.48933438125</v>
      </c>
      <c r="AG71" s="91">
        <f>R71-W71-AB71</f>
        <v>0.89786687625000006</v>
      </c>
      <c r="AH71" s="39">
        <f>(K71+H71)*60*365/1000000</f>
        <v>41.116154999999999</v>
      </c>
      <c r="AI71" s="77">
        <f>($K71+$H71)*110*365/1000000</f>
        <v>75.379617499999995</v>
      </c>
      <c r="AJ71" s="77">
        <f>($K71+$H71)*70*365/1000000</f>
        <v>47.968847500000003</v>
      </c>
      <c r="AK71" s="77">
        <f>($K71+$H71)*10*365/1000000</f>
        <v>6.8526924999999999</v>
      </c>
      <c r="AL71" s="26">
        <f>($K71+$H71)*2*365/1000000</f>
        <v>1.3705385000000001</v>
      </c>
      <c r="AM71" s="27">
        <v>0.9</v>
      </c>
      <c r="AN71" s="27">
        <v>0.75</v>
      </c>
      <c r="AO71" s="27">
        <v>0.9</v>
      </c>
      <c r="AP71" s="27">
        <v>0.1</v>
      </c>
      <c r="AQ71" s="27">
        <v>0.1</v>
      </c>
      <c r="AR71" s="26">
        <f>(S71+AH71)*AM71</f>
        <v>38.893729695750004</v>
      </c>
      <c r="AS71" s="26">
        <f>(T71+AI71)*AN71</f>
        <v>58.714547966249995</v>
      </c>
      <c r="AT71" s="26">
        <f>(U71+AJ71)*AO71</f>
        <v>45.64244223675</v>
      </c>
      <c r="AU71" s="26">
        <f>(V71+AK71)*AP71</f>
        <v>0.72563656187500003</v>
      </c>
      <c r="AV71" s="26">
        <f>(W71+AL71)*AQ71</f>
        <v>0.14512731237500001</v>
      </c>
      <c r="AW71" s="26">
        <f>S71+AH71-AR71</f>
        <v>4.3215255217499973</v>
      </c>
      <c r="AX71" s="26">
        <f>T71+AI71-AS71</f>
        <v>19.571515988749994</v>
      </c>
      <c r="AY71" s="26">
        <f>U71+AJ71-AT71</f>
        <v>5.0713824707500024</v>
      </c>
      <c r="AZ71" s="26">
        <f>V71+AK71-AU71</f>
        <v>6.5307290568749998</v>
      </c>
      <c r="BA71" s="40">
        <f>W71+AL71-AV71</f>
        <v>1.306145811375</v>
      </c>
      <c r="BB71" s="37">
        <f>N71+AH71</f>
        <v>70.474199999999996</v>
      </c>
      <c r="BC71" s="28">
        <f>O71+AI71</f>
        <v>129.20269999999999</v>
      </c>
      <c r="BD71" s="28">
        <f>P71+AJ71</f>
        <v>82.219899999999996</v>
      </c>
      <c r="BE71" s="29">
        <f>Q71+AK71</f>
        <v>11.745699999999999</v>
      </c>
      <c r="BF71" s="29">
        <f>R71+AL71</f>
        <v>2.3491400000000002</v>
      </c>
      <c r="BG71" s="28">
        <f>AC71+AW71</f>
        <v>28.512554601749997</v>
      </c>
      <c r="BH71" s="28">
        <f>AD71+AX71</f>
        <v>66.289951598749994</v>
      </c>
      <c r="BI71" s="28">
        <f>AE71+AY71</f>
        <v>33.671011308250002</v>
      </c>
      <c r="BJ71" s="29">
        <f>AF71+AZ71</f>
        <v>11.020063438125</v>
      </c>
      <c r="BK71" s="29">
        <f>AG71+BA71</f>
        <v>2.2040126876250001</v>
      </c>
      <c r="BL71" s="28">
        <f>X71+AR71</f>
        <v>41.961645398250006</v>
      </c>
      <c r="BM71" s="28">
        <f>Y71+AS71</f>
        <v>62.912748401249992</v>
      </c>
      <c r="BN71" s="28">
        <f>Z71+AT71</f>
        <v>48.548888691750001</v>
      </c>
      <c r="BO71" s="29">
        <f>AA71+AU71</f>
        <v>0.72563656187500003</v>
      </c>
      <c r="BP71" s="30">
        <f>AB71+AV71</f>
        <v>0.14512731237500001</v>
      </c>
      <c r="BQ71" s="10">
        <f>554320+170849</f>
        <v>725169</v>
      </c>
      <c r="BR71" s="6">
        <f>866290+205455</f>
        <v>1071745</v>
      </c>
      <c r="BS71" t="s">
        <v>199</v>
      </c>
    </row>
    <row r="72" spans="1:71" x14ac:dyDescent="0.25">
      <c r="A72" s="18"/>
      <c r="B72" s="18">
        <v>63</v>
      </c>
      <c r="C72" s="19" t="s">
        <v>100</v>
      </c>
      <c r="D72" s="60">
        <v>2418</v>
      </c>
      <c r="E72" s="47" t="s">
        <v>157</v>
      </c>
      <c r="F72" s="12" t="s">
        <v>208</v>
      </c>
      <c r="G72" s="53">
        <v>2909</v>
      </c>
      <c r="H72" s="54">
        <v>0</v>
      </c>
      <c r="I72" s="50">
        <f>G72+H72</f>
        <v>2909</v>
      </c>
      <c r="J72" s="45">
        <v>0.8</v>
      </c>
      <c r="K72" s="65">
        <f>ROUND(G72*J72,2)</f>
        <v>2327.1999999999998</v>
      </c>
      <c r="L72" s="66">
        <f>1-J72</f>
        <v>0.19999999999999996</v>
      </c>
      <c r="M72" s="67">
        <f>G72-K72</f>
        <v>581.80000000000018</v>
      </c>
      <c r="N72" s="43">
        <f>M72*60*365/1000000</f>
        <v>12.741420000000005</v>
      </c>
      <c r="O72" s="92">
        <f>M72*110*365/1000000</f>
        <v>23.359270000000006</v>
      </c>
      <c r="P72" s="72">
        <f>M72*70*365/1000000</f>
        <v>14.864990000000006</v>
      </c>
      <c r="Q72" s="72">
        <f>M72*10*365/1000000</f>
        <v>2.1235700000000004</v>
      </c>
      <c r="R72" s="25">
        <f>M72*2*365/1000000</f>
        <v>0.42471400000000009</v>
      </c>
      <c r="S72" s="72">
        <f>M72*13*365/1000000*0.33</f>
        <v>0.91101153000000035</v>
      </c>
      <c r="T72" s="72">
        <f>M72*18*365/1000000*0.33</f>
        <v>1.2614005800000005</v>
      </c>
      <c r="U72" s="72">
        <f>M72*17*365/1000000*0.33</f>
        <v>1.1913227700000004</v>
      </c>
      <c r="V72" s="72">
        <f>M72*2.5*365/1000000*0.33</f>
        <v>0.17519452500000005</v>
      </c>
      <c r="W72" s="72">
        <f>M72*0.5*365/1000000*0.33</f>
        <v>3.5038905000000009E-2</v>
      </c>
      <c r="X72" s="72">
        <f>M72*19*365/1000000*0.33</f>
        <v>1.3314783900000007</v>
      </c>
      <c r="Y72" s="72">
        <f>M72*26*365/1000000*0.33</f>
        <v>1.8220230600000007</v>
      </c>
      <c r="Z72" s="72">
        <f>M72*18*365/1000000*0.33</f>
        <v>1.2614005800000005</v>
      </c>
      <c r="AA72" s="72">
        <f>M72*0*365/1000000*0.33</f>
        <v>0</v>
      </c>
      <c r="AB72" s="72">
        <f>M72*0*365/1000000*0.33</f>
        <v>0</v>
      </c>
      <c r="AC72" s="91">
        <f>N72-S72-X72</f>
        <v>10.498930080000004</v>
      </c>
      <c r="AD72" s="91">
        <f>O72-T72-Y72</f>
        <v>20.275846360000006</v>
      </c>
      <c r="AE72" s="91">
        <f>P72-U72-Z72</f>
        <v>12.412266650000005</v>
      </c>
      <c r="AF72" s="91">
        <f>Q72-V72-AA72</f>
        <v>1.9483754750000004</v>
      </c>
      <c r="AG72" s="91">
        <f>R72-W72-AB72</f>
        <v>0.38967509500000008</v>
      </c>
      <c r="AH72" s="39">
        <f>(K72+H72)*60*365/1000000</f>
        <v>50.965679999999999</v>
      </c>
      <c r="AI72" s="77">
        <f>($K72+$H72)*110*365/1000000</f>
        <v>93.43707999999998</v>
      </c>
      <c r="AJ72" s="77">
        <f>($K72+$H72)*70*365/1000000</f>
        <v>59.459960000000002</v>
      </c>
      <c r="AK72" s="77">
        <f>($K72+$H72)*10*365/1000000</f>
        <v>8.4942799999999998</v>
      </c>
      <c r="AL72" s="26">
        <f>($K72+$H72)*2*365/1000000</f>
        <v>1.6988559999999997</v>
      </c>
      <c r="AM72" s="27">
        <v>0.9</v>
      </c>
      <c r="AN72" s="27">
        <v>0.75</v>
      </c>
      <c r="AO72" s="27">
        <v>0.9</v>
      </c>
      <c r="AP72" s="27">
        <v>0.1</v>
      </c>
      <c r="AQ72" s="27">
        <v>0.1</v>
      </c>
      <c r="AR72" s="26">
        <f>(S72+AH72)*AM72</f>
        <v>46.689022377000001</v>
      </c>
      <c r="AS72" s="26">
        <f>(T72+AI72)*AN72</f>
        <v>71.023860434999989</v>
      </c>
      <c r="AT72" s="26">
        <f>(U72+AJ72)*AO72</f>
        <v>54.586154493000002</v>
      </c>
      <c r="AU72" s="26">
        <f>(V72+AK72)*AP72</f>
        <v>0.86694745250000005</v>
      </c>
      <c r="AV72" s="26">
        <f>(W72+AL72)*AQ72</f>
        <v>0.17338949049999997</v>
      </c>
      <c r="AW72" s="26">
        <f>S72+AH72-AR72</f>
        <v>5.1876691530000016</v>
      </c>
      <c r="AX72" s="26">
        <f>T72+AI72-AS72</f>
        <v>23.674620144999992</v>
      </c>
      <c r="AY72" s="26">
        <f>U72+AJ72-AT72</f>
        <v>6.0651282769999995</v>
      </c>
      <c r="AZ72" s="26">
        <f>V72+AK72-AU72</f>
        <v>7.8025270725000002</v>
      </c>
      <c r="BA72" s="40">
        <f>W72+AL72-AV72</f>
        <v>1.5605054144999997</v>
      </c>
      <c r="BB72" s="37">
        <f>N72+AH72</f>
        <v>63.707100000000004</v>
      </c>
      <c r="BC72" s="28">
        <f>O72+AI72</f>
        <v>116.79634999999999</v>
      </c>
      <c r="BD72" s="28">
        <f>P72+AJ72</f>
        <v>74.324950000000001</v>
      </c>
      <c r="BE72" s="29">
        <f>Q72+AK72</f>
        <v>10.617850000000001</v>
      </c>
      <c r="BF72" s="29">
        <f>R72+AL72</f>
        <v>2.12357</v>
      </c>
      <c r="BG72" s="28">
        <f>AC72+AW72</f>
        <v>15.686599233000006</v>
      </c>
      <c r="BH72" s="28">
        <f>AD72+AX72</f>
        <v>43.950466504999994</v>
      </c>
      <c r="BI72" s="28">
        <f>AE72+AY72</f>
        <v>18.477394927000006</v>
      </c>
      <c r="BJ72" s="29">
        <f>AF72+AZ72</f>
        <v>9.7509025475000008</v>
      </c>
      <c r="BK72" s="29">
        <f>AG72+BA72</f>
        <v>1.9501805094999998</v>
      </c>
      <c r="BL72" s="28">
        <f>X72+AR72</f>
        <v>48.020500767000001</v>
      </c>
      <c r="BM72" s="28">
        <f>Y72+AS72</f>
        <v>72.845883494999995</v>
      </c>
      <c r="BN72" s="28">
        <f>Z72+AT72</f>
        <v>55.847555073000002</v>
      </c>
      <c r="BO72" s="29">
        <f>AA72+AU72</f>
        <v>0.86694745250000005</v>
      </c>
      <c r="BP72" s="30">
        <f>AB72+AV72</f>
        <v>0.17338949049999997</v>
      </c>
      <c r="BQ72" s="10">
        <v>0</v>
      </c>
      <c r="BR72" s="6">
        <v>1895950</v>
      </c>
      <c r="BS72" t="s">
        <v>128</v>
      </c>
    </row>
    <row r="73" spans="1:71" x14ac:dyDescent="0.25">
      <c r="A73" s="18"/>
      <c r="B73" s="18">
        <v>64</v>
      </c>
      <c r="C73" s="19" t="s">
        <v>98</v>
      </c>
      <c r="D73" s="60">
        <v>2346</v>
      </c>
      <c r="E73" s="47" t="s">
        <v>2</v>
      </c>
      <c r="F73" s="13" t="s">
        <v>208</v>
      </c>
      <c r="G73" s="53">
        <v>2579</v>
      </c>
      <c r="H73" s="54">
        <v>281</v>
      </c>
      <c r="I73" s="50">
        <f>G73+H73</f>
        <v>2860</v>
      </c>
      <c r="J73" s="45">
        <v>0.94</v>
      </c>
      <c r="K73" s="65">
        <f>ROUND(G73*J73,2)</f>
        <v>2424.2600000000002</v>
      </c>
      <c r="L73" s="66">
        <f>1-J73</f>
        <v>6.0000000000000053E-2</v>
      </c>
      <c r="M73" s="67">
        <f>G73-K73</f>
        <v>154.73999999999978</v>
      </c>
      <c r="N73" s="43">
        <f>M73*60*365/1000000</f>
        <v>3.3888059999999953</v>
      </c>
      <c r="O73" s="92">
        <f>M73*110*365/1000000</f>
        <v>6.2128109999999914</v>
      </c>
      <c r="P73" s="72">
        <f>M73*70*365/1000000</f>
        <v>3.9536069999999945</v>
      </c>
      <c r="Q73" s="72">
        <f>M73*10*365/1000000</f>
        <v>0.56480099999999922</v>
      </c>
      <c r="R73" s="25">
        <f>M73*2*365/1000000</f>
        <v>0.11296019999999983</v>
      </c>
      <c r="S73" s="72">
        <f>M73*13*365/1000000*0.33</f>
        <v>0.24229962899999968</v>
      </c>
      <c r="T73" s="72">
        <f>M73*18*365/1000000*0.33</f>
        <v>0.33549179399999957</v>
      </c>
      <c r="U73" s="72">
        <f>M73*17*365/1000000*0.33</f>
        <v>0.31685336099999956</v>
      </c>
      <c r="V73" s="72">
        <f>M73*2.5*365/1000000*0.33</f>
        <v>4.6596082499999941E-2</v>
      </c>
      <c r="W73" s="72">
        <f>M73*0.5*365/1000000*0.33</f>
        <v>9.3192164999999858E-3</v>
      </c>
      <c r="X73" s="72">
        <f>M73*19*365/1000000*0.33</f>
        <v>0.35413022699999952</v>
      </c>
      <c r="Y73" s="72">
        <f>M73*26*365/1000000*0.33</f>
        <v>0.48459925799999937</v>
      </c>
      <c r="Z73" s="72">
        <f>M73*18*365/1000000*0.33</f>
        <v>0.33549179399999957</v>
      </c>
      <c r="AA73" s="72">
        <f>M73*0*365/1000000*0.33</f>
        <v>0</v>
      </c>
      <c r="AB73" s="72">
        <f>M73*0*365/1000000*0.33</f>
        <v>0</v>
      </c>
      <c r="AC73" s="91">
        <f>N73-S73-X73</f>
        <v>2.7923761439999959</v>
      </c>
      <c r="AD73" s="91">
        <f>O73-T73-Y73</f>
        <v>5.3927199479999928</v>
      </c>
      <c r="AE73" s="91">
        <f>P73-U73-Z73</f>
        <v>3.3012618449999951</v>
      </c>
      <c r="AF73" s="91">
        <f>Q73-V73-AA73</f>
        <v>0.51820491749999931</v>
      </c>
      <c r="AG73" s="91">
        <f>R73-W73-AB73</f>
        <v>0.10364098349999984</v>
      </c>
      <c r="AH73" s="39">
        <f>(K73+H73)*60*365/1000000</f>
        <v>59.245193999999998</v>
      </c>
      <c r="AI73" s="77">
        <f>($K73+$H73)*110*365/1000000</f>
        <v>108.61618900000002</v>
      </c>
      <c r="AJ73" s="77">
        <f>($K73+$H73)*70*365/1000000</f>
        <v>69.119393000000002</v>
      </c>
      <c r="AK73" s="77">
        <f>($K73+$H73)*10*365/1000000</f>
        <v>9.8741990000000008</v>
      </c>
      <c r="AL73" s="26">
        <f>($K73+$H73)*2*365/1000000</f>
        <v>1.9748398</v>
      </c>
      <c r="AM73" s="27">
        <v>0.9</v>
      </c>
      <c r="AN73" s="27">
        <v>0.75</v>
      </c>
      <c r="AO73" s="27">
        <v>0.9</v>
      </c>
      <c r="AP73" s="27">
        <v>0.1</v>
      </c>
      <c r="AQ73" s="27">
        <v>0.1</v>
      </c>
      <c r="AR73" s="26">
        <f>(S73+AH73)*AM73</f>
        <v>53.538744266100004</v>
      </c>
      <c r="AS73" s="26">
        <f>(T73+AI73)*AN73</f>
        <v>81.71376059550002</v>
      </c>
      <c r="AT73" s="26">
        <f>(U73+AJ73)*AO73</f>
        <v>62.492621724900005</v>
      </c>
      <c r="AU73" s="26">
        <f>(V73+AK73)*AP73</f>
        <v>0.99207950825000024</v>
      </c>
      <c r="AV73" s="26">
        <f>(W73+AL73)*AQ73</f>
        <v>0.19841590165</v>
      </c>
      <c r="AW73" s="26">
        <f>S73+AH73-AR73</f>
        <v>5.9487493628999957</v>
      </c>
      <c r="AX73" s="26">
        <f>T73+AI73-AS73</f>
        <v>27.237920198500007</v>
      </c>
      <c r="AY73" s="26">
        <f>U73+AJ73-AT73</f>
        <v>6.9436246360999974</v>
      </c>
      <c r="AZ73" s="26">
        <f>V73+AK73-AU73</f>
        <v>8.9287155742500008</v>
      </c>
      <c r="BA73" s="40">
        <f>W73+AL73-AV73</f>
        <v>1.78574311485</v>
      </c>
      <c r="BB73" s="37">
        <f>N73+AH73</f>
        <v>62.633999999999993</v>
      </c>
      <c r="BC73" s="28">
        <f>O73+AI73</f>
        <v>114.82900000000001</v>
      </c>
      <c r="BD73" s="28">
        <f>P73+AJ73</f>
        <v>73.072999999999993</v>
      </c>
      <c r="BE73" s="29">
        <f>Q73+AK73</f>
        <v>10.439</v>
      </c>
      <c r="BF73" s="29">
        <f>R73+AL73</f>
        <v>2.0877999999999997</v>
      </c>
      <c r="BG73" s="28">
        <f>AC73+AW73</f>
        <v>8.7411255068999907</v>
      </c>
      <c r="BH73" s="28">
        <f>AD73+AX73</f>
        <v>32.630640146499999</v>
      </c>
      <c r="BI73" s="28">
        <f>AE73+AY73</f>
        <v>10.244886481099993</v>
      </c>
      <c r="BJ73" s="29">
        <f>AF73+AZ73</f>
        <v>9.4469204917499994</v>
      </c>
      <c r="BK73" s="29">
        <f>AG73+BA73</f>
        <v>1.8893840983499999</v>
      </c>
      <c r="BL73" s="28">
        <f>X73+AR73</f>
        <v>53.892874493100003</v>
      </c>
      <c r="BM73" s="28">
        <f>Y73+AS73</f>
        <v>82.198359853500023</v>
      </c>
      <c r="BN73" s="28">
        <f>Z73+AT73</f>
        <v>62.828113518900004</v>
      </c>
      <c r="BO73" s="29">
        <f>AA73+AU73</f>
        <v>0.99207950825000024</v>
      </c>
      <c r="BP73" s="30">
        <f>AB73+AV73</f>
        <v>0.19841590165</v>
      </c>
      <c r="BQ73" s="10">
        <v>0</v>
      </c>
      <c r="BR73" s="6">
        <v>0</v>
      </c>
    </row>
    <row r="74" spans="1:71" x14ac:dyDescent="0.25">
      <c r="A74" s="18"/>
      <c r="B74" s="18">
        <v>65</v>
      </c>
      <c r="C74" s="19" t="s">
        <v>99</v>
      </c>
      <c r="D74" s="60">
        <v>2317</v>
      </c>
      <c r="E74" s="47" t="s">
        <v>158</v>
      </c>
      <c r="F74" s="13" t="s">
        <v>206</v>
      </c>
      <c r="G74" s="53">
        <v>2949</v>
      </c>
      <c r="H74" s="54">
        <v>0</v>
      </c>
      <c r="I74" s="50">
        <f>G74+H74</f>
        <v>2949</v>
      </c>
      <c r="J74" s="45">
        <v>0.42</v>
      </c>
      <c r="K74" s="65">
        <f>ROUND(G74*J74,2)</f>
        <v>1238.58</v>
      </c>
      <c r="L74" s="66">
        <f>1-J74</f>
        <v>0.58000000000000007</v>
      </c>
      <c r="M74" s="67">
        <f>G74-K74</f>
        <v>1710.42</v>
      </c>
      <c r="N74" s="43">
        <f>M74*60*365/1000000</f>
        <v>37.45819800000001</v>
      </c>
      <c r="O74" s="92">
        <f>M74*110*365/1000000</f>
        <v>68.673362999999995</v>
      </c>
      <c r="P74" s="72">
        <f>M74*70*365/1000000</f>
        <v>43.701231</v>
      </c>
      <c r="Q74" s="72">
        <f>M74*10*365/1000000</f>
        <v>6.2430329999999996</v>
      </c>
      <c r="R74" s="25">
        <f>M74*2*365/1000000</f>
        <v>1.2486066</v>
      </c>
      <c r="S74" s="72">
        <f>M74*13*365/1000000*0.33</f>
        <v>2.6782611570000001</v>
      </c>
      <c r="T74" s="72">
        <f>M74*18*365/1000000*0.33</f>
        <v>3.7083616020000005</v>
      </c>
      <c r="U74" s="72">
        <f>M74*17*365/1000000*0.33</f>
        <v>3.5023415130000002</v>
      </c>
      <c r="V74" s="72">
        <f>M74*2.5*365/1000000*0.33</f>
        <v>0.51505022249999999</v>
      </c>
      <c r="W74" s="72">
        <f>M74*0.5*365/1000000*0.33</f>
        <v>0.10301004450000001</v>
      </c>
      <c r="X74" s="72">
        <f>M74*19*365/1000000*0.33</f>
        <v>3.9143816910000009</v>
      </c>
      <c r="Y74" s="72">
        <f>M74*26*365/1000000*0.33</f>
        <v>5.3565223140000002</v>
      </c>
      <c r="Z74" s="72">
        <f>M74*18*365/1000000*0.33</f>
        <v>3.7083616020000005</v>
      </c>
      <c r="AA74" s="72">
        <f>M74*0*365/1000000*0.33</f>
        <v>0</v>
      </c>
      <c r="AB74" s="72">
        <f>M74*0*365/1000000*0.33</f>
        <v>0</v>
      </c>
      <c r="AC74" s="91">
        <f>N74-S74-X74</f>
        <v>30.865555152000006</v>
      </c>
      <c r="AD74" s="91">
        <f>O74-T74-Y74</f>
        <v>59.608479083999995</v>
      </c>
      <c r="AE74" s="91">
        <f>P74-U74-Z74</f>
        <v>36.490527884999999</v>
      </c>
      <c r="AF74" s="91">
        <f>Q74-V74-AA74</f>
        <v>5.7279827774999994</v>
      </c>
      <c r="AG74" s="91">
        <f>R74-W74-AB74</f>
        <v>1.1455965555000001</v>
      </c>
      <c r="AH74" s="39">
        <f>(K74+H74)*60*365/1000000</f>
        <v>27.124901999999995</v>
      </c>
      <c r="AI74" s="77">
        <f>($K74+$H74)*110*365/1000000</f>
        <v>49.728986999999989</v>
      </c>
      <c r="AJ74" s="77">
        <f>($K74+$H74)*70*365/1000000</f>
        <v>31.645718999999996</v>
      </c>
      <c r="AK74" s="77">
        <f>($K74+$H74)*10*365/1000000</f>
        <v>4.5208170000000001</v>
      </c>
      <c r="AL74" s="26">
        <f>($K74+$H74)*2*365/1000000</f>
        <v>0.90416339999999995</v>
      </c>
      <c r="AM74" s="27">
        <v>0.9</v>
      </c>
      <c r="AN74" s="27">
        <v>0.75</v>
      </c>
      <c r="AO74" s="27">
        <v>0.9</v>
      </c>
      <c r="AP74" s="27">
        <v>0.1</v>
      </c>
      <c r="AQ74" s="27">
        <v>0.1</v>
      </c>
      <c r="AR74" s="26">
        <f>(S74+AH74)*AM74</f>
        <v>26.822846841299999</v>
      </c>
      <c r="AS74" s="26">
        <f>(T74+AI74)*AN74</f>
        <v>40.078011451499997</v>
      </c>
      <c r="AT74" s="26">
        <f>(U74+AJ74)*AO74</f>
        <v>31.633254461699998</v>
      </c>
      <c r="AU74" s="26">
        <f>(V74+AK74)*AP74</f>
        <v>0.50358672225000001</v>
      </c>
      <c r="AV74" s="26">
        <f>(W74+AL74)*AQ74</f>
        <v>0.10071734445000001</v>
      </c>
      <c r="AW74" s="26">
        <f>S74+AH74-AR74</f>
        <v>2.9803163156999979</v>
      </c>
      <c r="AX74" s="26">
        <f>T74+AI74-AS74</f>
        <v>13.359337150499996</v>
      </c>
      <c r="AY74" s="26">
        <f>U74+AJ74-AT74</f>
        <v>3.514806051299999</v>
      </c>
      <c r="AZ74" s="26">
        <f>V74+AK74-AU74</f>
        <v>4.5322805002500006</v>
      </c>
      <c r="BA74" s="40">
        <f>W74+AL74-AV74</f>
        <v>0.90645610004999999</v>
      </c>
      <c r="BB74" s="37">
        <f>N74+AH74</f>
        <v>64.583100000000002</v>
      </c>
      <c r="BC74" s="28">
        <f>O74+AI74</f>
        <v>118.40234999999998</v>
      </c>
      <c r="BD74" s="28">
        <f>P74+AJ74</f>
        <v>75.346949999999993</v>
      </c>
      <c r="BE74" s="29">
        <f>Q74+AK74</f>
        <v>10.76385</v>
      </c>
      <c r="BF74" s="29">
        <f>R74+AL74</f>
        <v>2.1527699999999999</v>
      </c>
      <c r="BG74" s="28">
        <f>AC74+AW74</f>
        <v>33.845871467700007</v>
      </c>
      <c r="BH74" s="28">
        <f>AD74+AX74</f>
        <v>72.967816234499992</v>
      </c>
      <c r="BI74" s="28">
        <f>AE74+AY74</f>
        <v>40.005333936299998</v>
      </c>
      <c r="BJ74" s="29">
        <f>AF74+AZ74</f>
        <v>10.260263277749999</v>
      </c>
      <c r="BK74" s="29">
        <f>AG74+BA74</f>
        <v>2.0520526555499998</v>
      </c>
      <c r="BL74" s="28">
        <f>X74+AR74</f>
        <v>30.737228532300001</v>
      </c>
      <c r="BM74" s="28">
        <f>Y74+AS74</f>
        <v>45.434533765499999</v>
      </c>
      <c r="BN74" s="28">
        <f>Z74+AT74</f>
        <v>35.341616063700002</v>
      </c>
      <c r="BO74" s="29">
        <f>AA74+AU74</f>
        <v>0.50358672225000001</v>
      </c>
      <c r="BP74" s="30">
        <f>AB74+AV74</f>
        <v>0.10071734445000001</v>
      </c>
      <c r="BQ74" s="10">
        <f>1788000*0.6+40200</f>
        <v>1113000</v>
      </c>
      <c r="BR74" s="6">
        <v>106800</v>
      </c>
      <c r="BS74" t="s">
        <v>159</v>
      </c>
    </row>
    <row r="75" spans="1:71" x14ac:dyDescent="0.25">
      <c r="A75" s="111"/>
      <c r="B75" s="18">
        <v>66</v>
      </c>
      <c r="C75" s="19" t="s">
        <v>108</v>
      </c>
      <c r="D75" s="60">
        <v>2293</v>
      </c>
      <c r="E75" s="47" t="s">
        <v>160</v>
      </c>
      <c r="F75" s="13" t="s">
        <v>206</v>
      </c>
      <c r="G75" s="122">
        <v>2810</v>
      </c>
      <c r="H75" s="124">
        <v>67</v>
      </c>
      <c r="I75" s="125">
        <f>G75+H75</f>
        <v>2877</v>
      </c>
      <c r="J75" s="126">
        <v>0.47</v>
      </c>
      <c r="K75" s="129">
        <f>ROUND(G75*J75,2)</f>
        <v>1320.7</v>
      </c>
      <c r="L75" s="130">
        <f>1-J75</f>
        <v>0.53</v>
      </c>
      <c r="M75" s="131">
        <f>G75-K75</f>
        <v>1489.3</v>
      </c>
      <c r="N75" s="132">
        <f>M75*60*365/1000000</f>
        <v>32.615670000000001</v>
      </c>
      <c r="O75" s="135">
        <f>M75*110*365/1000000</f>
        <v>59.795394999999999</v>
      </c>
      <c r="P75" s="136">
        <f>M75*70*365/1000000</f>
        <v>38.051614999999998</v>
      </c>
      <c r="Q75" s="136">
        <f>M75*10*365/1000000</f>
        <v>5.4359450000000002</v>
      </c>
      <c r="R75" s="137">
        <f>M75*2*365/1000000</f>
        <v>1.087189</v>
      </c>
      <c r="S75" s="136">
        <f>M75*13*365/1000000*0.33</f>
        <v>2.3320204049999997</v>
      </c>
      <c r="T75" s="136">
        <f>M75*18*365/1000000*0.33</f>
        <v>3.2289513300000001</v>
      </c>
      <c r="U75" s="136">
        <f>M75*17*365/1000000*0.33</f>
        <v>3.0495651450000003</v>
      </c>
      <c r="V75" s="136">
        <f>M75*2.5*365/1000000*0.33</f>
        <v>0.44846546250000002</v>
      </c>
      <c r="W75" s="136">
        <f>M75*0.5*365/1000000*0.33</f>
        <v>8.9693092500000002E-2</v>
      </c>
      <c r="X75" s="136">
        <f>M75*19*365/1000000*0.33</f>
        <v>3.4083375149999999</v>
      </c>
      <c r="Y75" s="136">
        <f>M75*26*365/1000000*0.33</f>
        <v>4.6640408099999995</v>
      </c>
      <c r="Z75" s="136">
        <f>M75*18*365/1000000*0.33</f>
        <v>3.2289513300000001</v>
      </c>
      <c r="AA75" s="136">
        <f>M75*0*365/1000000*0.33</f>
        <v>0</v>
      </c>
      <c r="AB75" s="136">
        <f>M75*0*365/1000000*0.33</f>
        <v>0</v>
      </c>
      <c r="AC75" s="138">
        <f>N75-S75-X75</f>
        <v>26.87531208</v>
      </c>
      <c r="AD75" s="138">
        <f>O75-T75-Y75</f>
        <v>51.902402859999995</v>
      </c>
      <c r="AE75" s="138">
        <f>P75-U75-Z75</f>
        <v>31.773098524999995</v>
      </c>
      <c r="AF75" s="138">
        <f>Q75-V75-AA75</f>
        <v>4.9874795375000005</v>
      </c>
      <c r="AG75" s="138">
        <f>R75-W75-AB75</f>
        <v>0.99749590749999995</v>
      </c>
      <c r="AH75" s="139">
        <f>(K75+H75)*60*365/1000000</f>
        <v>30.390630000000002</v>
      </c>
      <c r="AI75" s="141">
        <f>($K75+$H75)*110*365/1000000</f>
        <v>55.716155000000001</v>
      </c>
      <c r="AJ75" s="141">
        <f>($K75+$H75)*70*365/1000000</f>
        <v>35.455734999999997</v>
      </c>
      <c r="AK75" s="141">
        <f>($K75+$H75)*10*365/1000000</f>
        <v>5.065105</v>
      </c>
      <c r="AL75" s="142">
        <f>($K75+$H75)*2*365/1000000</f>
        <v>1.0130209999999999</v>
      </c>
      <c r="AM75" s="143">
        <v>0.9</v>
      </c>
      <c r="AN75" s="143">
        <v>0.75</v>
      </c>
      <c r="AO75" s="143">
        <v>0.9</v>
      </c>
      <c r="AP75" s="143">
        <v>0.1</v>
      </c>
      <c r="AQ75" s="143">
        <v>0.1</v>
      </c>
      <c r="AR75" s="142">
        <f>(S75+AH75)*AM75</f>
        <v>29.450385364500004</v>
      </c>
      <c r="AS75" s="142">
        <f>(T75+AI75)*AN75</f>
        <v>44.208829747500005</v>
      </c>
      <c r="AT75" s="142">
        <f>(U75+AJ75)*AO75</f>
        <v>34.654770130499998</v>
      </c>
      <c r="AU75" s="142">
        <f>(V75+AK75)*AP75</f>
        <v>0.55135704625000004</v>
      </c>
      <c r="AV75" s="142">
        <f>(W75+AL75)*AQ75</f>
        <v>0.11027140924999999</v>
      </c>
      <c r="AW75" s="142">
        <f>S75+AH75-AR75</f>
        <v>3.2722650404999989</v>
      </c>
      <c r="AX75" s="142">
        <f>T75+AI75-AS75</f>
        <v>14.736276582499997</v>
      </c>
      <c r="AY75" s="142">
        <f>U75+AJ75-AT75</f>
        <v>3.8505300145000021</v>
      </c>
      <c r="AZ75" s="142">
        <f>V75+AK75-AU75</f>
        <v>4.96221341625</v>
      </c>
      <c r="BA75" s="145">
        <f>W75+AL75-AV75</f>
        <v>0.99244268324999985</v>
      </c>
      <c r="BB75" s="147">
        <f>N75+AH75</f>
        <v>63.006300000000003</v>
      </c>
      <c r="BC75" s="150">
        <f>O75+AI75</f>
        <v>115.51155</v>
      </c>
      <c r="BD75" s="150">
        <f>P75+AJ75</f>
        <v>73.507350000000002</v>
      </c>
      <c r="BE75" s="151">
        <f>Q75+AK75</f>
        <v>10.501049999999999</v>
      </c>
      <c r="BF75" s="151">
        <f>R75+AL75</f>
        <v>2.1002099999999997</v>
      </c>
      <c r="BG75" s="150">
        <f>AC75+AW75</f>
        <v>30.147577120499999</v>
      </c>
      <c r="BH75" s="150">
        <f>AD75+AX75</f>
        <v>66.638679442499992</v>
      </c>
      <c r="BI75" s="150">
        <f>AE75+AY75</f>
        <v>35.623628539499997</v>
      </c>
      <c r="BJ75" s="151">
        <f>AF75+AZ75</f>
        <v>9.9496929537500005</v>
      </c>
      <c r="BK75" s="151">
        <f>AG75+BA75</f>
        <v>1.9899385907499998</v>
      </c>
      <c r="BL75" s="150">
        <f>X75+AR75</f>
        <v>32.858722879500007</v>
      </c>
      <c r="BM75" s="150">
        <f>Y75+AS75</f>
        <v>48.872870557500008</v>
      </c>
      <c r="BN75" s="150">
        <f>Z75+AT75</f>
        <v>37.883721460499999</v>
      </c>
      <c r="BO75" s="151">
        <f>AA75+AU75</f>
        <v>0.55135704625000004</v>
      </c>
      <c r="BP75" s="152">
        <f>AB75+AV75</f>
        <v>0.11027140924999999</v>
      </c>
      <c r="BQ75" s="10">
        <f>107556+105543+30068</f>
        <v>243167</v>
      </c>
      <c r="BR75" s="6">
        <v>103948</v>
      </c>
      <c r="BS75" t="s">
        <v>128</v>
      </c>
    </row>
    <row r="76" spans="1:71" x14ac:dyDescent="0.25">
      <c r="B76" s="18">
        <v>67</v>
      </c>
      <c r="C76" s="19" t="s">
        <v>109</v>
      </c>
      <c r="D76" s="60">
        <v>2204</v>
      </c>
      <c r="E76" s="47" t="s">
        <v>11</v>
      </c>
      <c r="F76" s="13" t="s">
        <v>206</v>
      </c>
      <c r="G76" s="53">
        <v>2530</v>
      </c>
      <c r="H76" s="54">
        <v>0</v>
      </c>
      <c r="I76" s="50">
        <f>G76+H76</f>
        <v>2530</v>
      </c>
      <c r="J76" s="45">
        <v>0.43</v>
      </c>
      <c r="K76" s="65">
        <f>ROUND(G76*J76,2)</f>
        <v>1087.9000000000001</v>
      </c>
      <c r="L76" s="66">
        <f>1-J76</f>
        <v>0.57000000000000006</v>
      </c>
      <c r="M76" s="67">
        <f>G76-K76</f>
        <v>1442.1</v>
      </c>
      <c r="N76" s="43">
        <f>M76*60*365/1000000</f>
        <v>31.581990000000001</v>
      </c>
      <c r="O76" s="92">
        <f>M76*110*365/1000000</f>
        <v>57.900314999999999</v>
      </c>
      <c r="P76" s="72">
        <f>M76*70*365/1000000</f>
        <v>36.845655000000001</v>
      </c>
      <c r="Q76" s="72">
        <f>M76*10*365/1000000</f>
        <v>5.2636649999999996</v>
      </c>
      <c r="R76" s="25">
        <f>M76*2*365/1000000</f>
        <v>1.0527329999999999</v>
      </c>
      <c r="S76" s="72">
        <f>M76*13*365/1000000*0.33</f>
        <v>2.2581122850000002</v>
      </c>
      <c r="T76" s="72">
        <f>M76*18*365/1000000*0.33</f>
        <v>3.1266170099999999</v>
      </c>
      <c r="U76" s="72">
        <f>M76*17*365/1000000*0.33</f>
        <v>2.9529160649999993</v>
      </c>
      <c r="V76" s="72">
        <f>M76*2.5*365/1000000*0.33</f>
        <v>0.43425236249999999</v>
      </c>
      <c r="W76" s="72">
        <f>M76*0.5*365/1000000*0.33</f>
        <v>8.6850472499999998E-2</v>
      </c>
      <c r="X76" s="72">
        <f>M76*19*365/1000000*0.33</f>
        <v>3.3003179549999997</v>
      </c>
      <c r="Y76" s="72">
        <f>M76*26*365/1000000*0.33</f>
        <v>4.5162245700000003</v>
      </c>
      <c r="Z76" s="72">
        <f>M76*18*365/1000000*0.33</f>
        <v>3.1266170099999999</v>
      </c>
      <c r="AA76" s="72">
        <f>M76*0*365/1000000*0.33</f>
        <v>0</v>
      </c>
      <c r="AB76" s="72">
        <f>M76*0*365/1000000*0.33</f>
        <v>0</v>
      </c>
      <c r="AC76" s="91">
        <f>N76-S76-X76</f>
        <v>26.023559760000001</v>
      </c>
      <c r="AD76" s="91">
        <f>O76-T76-Y76</f>
        <v>50.257473420000004</v>
      </c>
      <c r="AE76" s="91">
        <f>P76-U76-Z76</f>
        <v>30.766121925000004</v>
      </c>
      <c r="AF76" s="91">
        <f>Q76-V76-AA76</f>
        <v>4.8294126374999999</v>
      </c>
      <c r="AG76" s="91">
        <f>R76-W76-AB76</f>
        <v>0.96588252749999992</v>
      </c>
      <c r="AH76" s="39">
        <f>(K76+H76)*60*365/1000000</f>
        <v>23.825010000000002</v>
      </c>
      <c r="AI76" s="77">
        <f>($K76+$H76)*110*365/1000000</f>
        <v>43.679185000000004</v>
      </c>
      <c r="AJ76" s="77">
        <f>($K76+$H76)*70*365/1000000</f>
        <v>27.795845</v>
      </c>
      <c r="AK76" s="77">
        <f>($K76+$H76)*10*365/1000000</f>
        <v>3.9708350000000001</v>
      </c>
      <c r="AL76" s="26">
        <f>($K76+$H76)*2*365/1000000</f>
        <v>0.79416700000000007</v>
      </c>
      <c r="AM76" s="27">
        <v>0.9</v>
      </c>
      <c r="AN76" s="27">
        <v>0.75</v>
      </c>
      <c r="AO76" s="27">
        <v>0.9</v>
      </c>
      <c r="AP76" s="27">
        <v>0.1</v>
      </c>
      <c r="AQ76" s="27">
        <v>0.1</v>
      </c>
      <c r="AR76" s="26">
        <f>(S76+AH76)*AM76</f>
        <v>23.474810056500001</v>
      </c>
      <c r="AS76" s="26">
        <f>(T76+AI76)*AN76</f>
        <v>35.104351507499999</v>
      </c>
      <c r="AT76" s="26">
        <f>(U76+AJ76)*AO76</f>
        <v>27.6738849585</v>
      </c>
      <c r="AU76" s="26">
        <f>(V76+AK76)*AP76</f>
        <v>0.44050873624999998</v>
      </c>
      <c r="AV76" s="26">
        <f>(W76+AL76)*AQ76</f>
        <v>8.8101747250000015E-2</v>
      </c>
      <c r="AW76" s="26">
        <f>S76+AH76-AR76</f>
        <v>2.6083122285000009</v>
      </c>
      <c r="AX76" s="26">
        <f>T76+AI76-AS76</f>
        <v>11.701450502500002</v>
      </c>
      <c r="AY76" s="26">
        <f>U76+AJ76-AT76</f>
        <v>3.0748761064999997</v>
      </c>
      <c r="AZ76" s="26">
        <f>V76+AK76-AU76</f>
        <v>3.9645786262499998</v>
      </c>
      <c r="BA76" s="40">
        <f>W76+AL76-AV76</f>
        <v>0.79291572525000009</v>
      </c>
      <c r="BB76" s="37">
        <f>N76+AH76</f>
        <v>55.407000000000004</v>
      </c>
      <c r="BC76" s="28">
        <f>O76+AI76</f>
        <v>101.5795</v>
      </c>
      <c r="BD76" s="28">
        <f>P76+AJ76</f>
        <v>64.641500000000008</v>
      </c>
      <c r="BE76" s="29">
        <f>Q76+AK76</f>
        <v>9.2345000000000006</v>
      </c>
      <c r="BF76" s="29">
        <f>R76+AL76</f>
        <v>1.8469</v>
      </c>
      <c r="BG76" s="28">
        <f>AC76+AW76</f>
        <v>28.631871988500002</v>
      </c>
      <c r="BH76" s="28">
        <f>AD76+AX76</f>
        <v>61.958923922500006</v>
      </c>
      <c r="BI76" s="28">
        <f>AE76+AY76</f>
        <v>33.840998031500007</v>
      </c>
      <c r="BJ76" s="29">
        <f>AF76+AZ76</f>
        <v>8.7939912637499997</v>
      </c>
      <c r="BK76" s="29">
        <f>AG76+BA76</f>
        <v>1.7587982527500001</v>
      </c>
      <c r="BL76" s="28">
        <f>X76+AR76</f>
        <v>26.775128011500001</v>
      </c>
      <c r="BM76" s="28">
        <f>Y76+AS76</f>
        <v>39.620576077499997</v>
      </c>
      <c r="BN76" s="28">
        <f>Z76+AT76</f>
        <v>30.800501968500001</v>
      </c>
      <c r="BO76" s="29">
        <f>AA76+AU76</f>
        <v>0.44050873624999998</v>
      </c>
      <c r="BP76" s="30">
        <f>AB76+AV76</f>
        <v>8.8101747250000015E-2</v>
      </c>
      <c r="BQ76" s="10">
        <f>173190+(525750+322450+79500+142000+327250+455850+112050+66000+130650+156925+154950)*0.6</f>
        <v>1657215</v>
      </c>
      <c r="BR76" s="6">
        <f>156000+82500+152950</f>
        <v>391450</v>
      </c>
      <c r="BS76" t="s">
        <v>132</v>
      </c>
    </row>
    <row r="77" spans="1:71" ht="30" x14ac:dyDescent="0.25">
      <c r="B77" s="18">
        <v>68</v>
      </c>
      <c r="C77" s="19" t="s">
        <v>110</v>
      </c>
      <c r="D77" s="60">
        <v>2168</v>
      </c>
      <c r="E77" s="57" t="s">
        <v>147</v>
      </c>
      <c r="F77" s="14" t="s">
        <v>206</v>
      </c>
      <c r="G77" s="53">
        <v>2650</v>
      </c>
      <c r="H77" s="54">
        <v>150</v>
      </c>
      <c r="I77" s="50">
        <f>G77+H77</f>
        <v>2800</v>
      </c>
      <c r="J77" s="45">
        <v>0.31</v>
      </c>
      <c r="K77" s="65">
        <f>ROUND(G77*J77,2)</f>
        <v>821.5</v>
      </c>
      <c r="L77" s="66">
        <f>1-J77</f>
        <v>0.69</v>
      </c>
      <c r="M77" s="67">
        <f>G77-K77</f>
        <v>1828.5</v>
      </c>
      <c r="N77" s="43">
        <f>M77*60*365/1000000</f>
        <v>40.044150000000002</v>
      </c>
      <c r="O77" s="92">
        <f>M77*110*365/1000000</f>
        <v>73.414275000000004</v>
      </c>
      <c r="P77" s="72">
        <f>M77*70*365/1000000</f>
        <v>46.718175000000002</v>
      </c>
      <c r="Q77" s="72">
        <f>M77*10*365/1000000</f>
        <v>6.6740250000000003</v>
      </c>
      <c r="R77" s="25">
        <f>M77*2*365/1000000</f>
        <v>1.334805</v>
      </c>
      <c r="S77" s="72">
        <f>M77*13*365/1000000*0.33</f>
        <v>2.8631567250000001</v>
      </c>
      <c r="T77" s="72">
        <f>M77*18*365/1000000*0.33</f>
        <v>3.9643708499999999</v>
      </c>
      <c r="U77" s="72">
        <f>M77*17*365/1000000*0.33</f>
        <v>3.7441280250000002</v>
      </c>
      <c r="V77" s="72">
        <f>M77*2.5*365/1000000*0.33</f>
        <v>0.55060706250000002</v>
      </c>
      <c r="W77" s="72">
        <f>M77*0.5*365/1000000*0.33</f>
        <v>0.1101214125</v>
      </c>
      <c r="X77" s="72">
        <f>M77*19*365/1000000*0.33</f>
        <v>4.1846136749999996</v>
      </c>
      <c r="Y77" s="72">
        <f>M77*26*365/1000000*0.33</f>
        <v>5.7263134500000001</v>
      </c>
      <c r="Z77" s="72">
        <f>M77*18*365/1000000*0.33</f>
        <v>3.9643708499999999</v>
      </c>
      <c r="AA77" s="72">
        <f>M77*0*365/1000000*0.33</f>
        <v>0</v>
      </c>
      <c r="AB77" s="72">
        <f>M77*0*365/1000000*0.33</f>
        <v>0</v>
      </c>
      <c r="AC77" s="91">
        <f>N77-S77-X77</f>
        <v>32.996379599999997</v>
      </c>
      <c r="AD77" s="91">
        <f>O77-T77-Y77</f>
        <v>63.72359070000001</v>
      </c>
      <c r="AE77" s="91">
        <f>P77-U77-Z77</f>
        <v>39.009676124999999</v>
      </c>
      <c r="AF77" s="91">
        <f>Q77-V77-AA77</f>
        <v>6.1234179375000002</v>
      </c>
      <c r="AG77" s="91">
        <f>R77-W77-AB77</f>
        <v>1.2246835874999999</v>
      </c>
      <c r="AH77" s="39">
        <f>(K77+H77)*60*365/1000000</f>
        <v>21.275849999999998</v>
      </c>
      <c r="AI77" s="77">
        <f>($K77+$H77)*110*365/1000000</f>
        <v>39.005724999999998</v>
      </c>
      <c r="AJ77" s="77">
        <f>($K77+$H77)*70*365/1000000</f>
        <v>24.821825</v>
      </c>
      <c r="AK77" s="77">
        <f>($K77+$H77)*10*365/1000000</f>
        <v>3.5459749999999999</v>
      </c>
      <c r="AL77" s="26">
        <f>($K77+$H77)*2*365/1000000</f>
        <v>0.70919500000000002</v>
      </c>
      <c r="AM77" s="27">
        <v>0.9</v>
      </c>
      <c r="AN77" s="27">
        <v>0.75</v>
      </c>
      <c r="AO77" s="27">
        <v>0.9</v>
      </c>
      <c r="AP77" s="27">
        <v>0.1</v>
      </c>
      <c r="AQ77" s="27">
        <v>0.1</v>
      </c>
      <c r="AR77" s="26">
        <f>(S77+AH77)*AM77</f>
        <v>21.725106052499999</v>
      </c>
      <c r="AS77" s="26">
        <f>(T77+AI77)*AN77</f>
        <v>32.227571887499998</v>
      </c>
      <c r="AT77" s="26">
        <f>(U77+AJ77)*AO77</f>
        <v>25.709357722499998</v>
      </c>
      <c r="AU77" s="26">
        <f>(V77+AK77)*AP77</f>
        <v>0.40965820624999999</v>
      </c>
      <c r="AV77" s="26">
        <f>(W77+AL77)*AQ77</f>
        <v>8.1931641250000006E-2</v>
      </c>
      <c r="AW77" s="26">
        <f>S77+AH77-AR77</f>
        <v>2.4139006724999987</v>
      </c>
      <c r="AX77" s="26">
        <f>T77+AI77-AS77</f>
        <v>10.742523962500002</v>
      </c>
      <c r="AY77" s="26">
        <f>U77+AJ77-AT77</f>
        <v>2.8565953025000006</v>
      </c>
      <c r="AZ77" s="26">
        <f>V77+AK77-AU77</f>
        <v>3.6869238562499995</v>
      </c>
      <c r="BA77" s="40">
        <f>W77+AL77-AV77</f>
        <v>0.73738477125000002</v>
      </c>
      <c r="BB77" s="37">
        <f>N77+AH77</f>
        <v>61.32</v>
      </c>
      <c r="BC77" s="28">
        <f>O77+AI77</f>
        <v>112.42</v>
      </c>
      <c r="BD77" s="28">
        <f>P77+AJ77</f>
        <v>71.540000000000006</v>
      </c>
      <c r="BE77" s="29">
        <f>Q77+AK77</f>
        <v>10.220000000000001</v>
      </c>
      <c r="BF77" s="29">
        <f>R77+AL77</f>
        <v>2.044</v>
      </c>
      <c r="BG77" s="28">
        <f>AC77+AW77</f>
        <v>35.410280272499996</v>
      </c>
      <c r="BH77" s="28">
        <f>AD77+AX77</f>
        <v>74.466114662500019</v>
      </c>
      <c r="BI77" s="28">
        <f>AE77+AY77</f>
        <v>41.866271427499996</v>
      </c>
      <c r="BJ77" s="29">
        <f>AF77+AZ77</f>
        <v>9.8103417937500001</v>
      </c>
      <c r="BK77" s="29">
        <f>AG77+BA77</f>
        <v>1.9620683587499999</v>
      </c>
      <c r="BL77" s="28">
        <f>X77+AR77</f>
        <v>25.909719727499997</v>
      </c>
      <c r="BM77" s="28">
        <f>Y77+AS77</f>
        <v>37.953885337499997</v>
      </c>
      <c r="BN77" s="28">
        <f>Z77+AT77</f>
        <v>29.673728572499996</v>
      </c>
      <c r="BO77" s="29">
        <f>AA77+AU77</f>
        <v>0.40965820624999999</v>
      </c>
      <c r="BP77" s="30">
        <f>AB77+AV77</f>
        <v>8.1931641250000006E-2</v>
      </c>
      <c r="BQ77" s="10">
        <v>423770</v>
      </c>
      <c r="BR77" s="6">
        <v>75905</v>
      </c>
      <c r="BS77" t="s">
        <v>135</v>
      </c>
    </row>
    <row r="78" spans="1:71" x14ac:dyDescent="0.25">
      <c r="B78" s="18">
        <v>69</v>
      </c>
      <c r="C78" s="19" t="s">
        <v>104</v>
      </c>
      <c r="D78" s="60">
        <v>2124</v>
      </c>
      <c r="E78" s="47" t="s">
        <v>161</v>
      </c>
      <c r="F78" s="13" t="s">
        <v>207</v>
      </c>
      <c r="G78" s="53">
        <v>2200</v>
      </c>
      <c r="H78" s="54">
        <v>0</v>
      </c>
      <c r="I78" s="50">
        <f>G78+H78</f>
        <v>2200</v>
      </c>
      <c r="J78" s="45">
        <v>0.5</v>
      </c>
      <c r="K78" s="65">
        <f>ROUND(G78*J78,2)</f>
        <v>1100</v>
      </c>
      <c r="L78" s="66">
        <f>1-J78</f>
        <v>0.5</v>
      </c>
      <c r="M78" s="67">
        <f>G78-K78</f>
        <v>1100</v>
      </c>
      <c r="N78" s="43">
        <f>M78*60*365/1000000</f>
        <v>24.09</v>
      </c>
      <c r="O78" s="92">
        <f>M78*110*365/1000000</f>
        <v>44.164999999999999</v>
      </c>
      <c r="P78" s="72">
        <f>M78*70*365/1000000</f>
        <v>28.105</v>
      </c>
      <c r="Q78" s="72">
        <f>M78*10*365/1000000</f>
        <v>4.0149999999999997</v>
      </c>
      <c r="R78" s="25">
        <f>M78*2*365/1000000</f>
        <v>0.80300000000000005</v>
      </c>
      <c r="S78" s="72">
        <f>M78*13*365/1000000*0.33</f>
        <v>1.7224350000000002</v>
      </c>
      <c r="T78" s="72">
        <f>M78*18*365/1000000*0.33</f>
        <v>2.3849100000000001</v>
      </c>
      <c r="U78" s="72">
        <f>M78*17*365/1000000*0.33</f>
        <v>2.2524150000000001</v>
      </c>
      <c r="V78" s="72">
        <f>M78*2.5*365/1000000*0.33</f>
        <v>0.33123749999999996</v>
      </c>
      <c r="W78" s="72">
        <f>M78*0.5*365/1000000*0.33</f>
        <v>6.6247500000000001E-2</v>
      </c>
      <c r="X78" s="72">
        <f>M78*19*365/1000000*0.33</f>
        <v>2.5174050000000001</v>
      </c>
      <c r="Y78" s="72">
        <f>M78*26*365/1000000*0.33</f>
        <v>3.4448700000000003</v>
      </c>
      <c r="Z78" s="72">
        <f>M78*18*365/1000000*0.33</f>
        <v>2.3849100000000001</v>
      </c>
      <c r="AA78" s="72">
        <f>M78*0*365/1000000*0.33</f>
        <v>0</v>
      </c>
      <c r="AB78" s="72">
        <f>M78*0*365/1000000*0.33</f>
        <v>0</v>
      </c>
      <c r="AC78" s="91">
        <f>N78-S78-X78</f>
        <v>19.850159999999999</v>
      </c>
      <c r="AD78" s="91">
        <f>O78-T78-Y78</f>
        <v>38.33522</v>
      </c>
      <c r="AE78" s="91">
        <f>P78-U78-Z78</f>
        <v>23.467675</v>
      </c>
      <c r="AF78" s="91">
        <f>Q78-V78-AA78</f>
        <v>3.6837624999999998</v>
      </c>
      <c r="AG78" s="91">
        <f>R78-W78-AB78</f>
        <v>0.73675250000000003</v>
      </c>
      <c r="AH78" s="39">
        <f>(K78+H78)*60*365/1000000</f>
        <v>24.09</v>
      </c>
      <c r="AI78" s="77">
        <f>($K78+$H78)*110*365/1000000</f>
        <v>44.164999999999999</v>
      </c>
      <c r="AJ78" s="77">
        <f>($K78+$H78)*70*365/1000000</f>
        <v>28.105</v>
      </c>
      <c r="AK78" s="77">
        <f>($K78+$H78)*10*365/1000000</f>
        <v>4.0149999999999997</v>
      </c>
      <c r="AL78" s="26">
        <f>($K78+$H78)*2*365/1000000</f>
        <v>0.80300000000000005</v>
      </c>
      <c r="AM78" s="27">
        <v>0.9</v>
      </c>
      <c r="AN78" s="27">
        <v>0.75</v>
      </c>
      <c r="AO78" s="27">
        <v>0.9</v>
      </c>
      <c r="AP78" s="27">
        <v>0.1</v>
      </c>
      <c r="AQ78" s="27">
        <v>0.1</v>
      </c>
      <c r="AR78" s="26">
        <f>(S78+AH78)*AM78</f>
        <v>23.231191500000001</v>
      </c>
      <c r="AS78" s="26">
        <f>(T78+AI78)*AN78</f>
        <v>34.912432499999994</v>
      </c>
      <c r="AT78" s="26">
        <f>(U78+AJ78)*AO78</f>
        <v>27.321673499999999</v>
      </c>
      <c r="AU78" s="26">
        <f>(V78+AK78)*AP78</f>
        <v>0.43462375000000003</v>
      </c>
      <c r="AV78" s="26">
        <f>(W78+AL78)*AQ78</f>
        <v>8.6924750000000009E-2</v>
      </c>
      <c r="AW78" s="26">
        <f>S78+AH78-AR78</f>
        <v>2.5812434999999994</v>
      </c>
      <c r="AX78" s="26">
        <f>T78+AI78-AS78</f>
        <v>11.637477500000003</v>
      </c>
      <c r="AY78" s="26">
        <f>U78+AJ78-AT78</f>
        <v>3.0357415000000003</v>
      </c>
      <c r="AZ78" s="26">
        <f>V78+AK78-AU78</f>
        <v>3.9116137499999999</v>
      </c>
      <c r="BA78" s="40">
        <f>W78+AL78-AV78</f>
        <v>0.78232275000000007</v>
      </c>
      <c r="BB78" s="37">
        <f>N78+AH78</f>
        <v>48.18</v>
      </c>
      <c r="BC78" s="28">
        <f>O78+AI78</f>
        <v>88.33</v>
      </c>
      <c r="BD78" s="28">
        <f>P78+AJ78</f>
        <v>56.21</v>
      </c>
      <c r="BE78" s="29">
        <f>Q78+AK78</f>
        <v>8.0299999999999994</v>
      </c>
      <c r="BF78" s="29">
        <f>R78+AL78</f>
        <v>1.6060000000000001</v>
      </c>
      <c r="BG78" s="28">
        <f>AC78+AW78</f>
        <v>22.431403499999998</v>
      </c>
      <c r="BH78" s="28">
        <f>AD78+AX78</f>
        <v>49.972697500000002</v>
      </c>
      <c r="BI78" s="28">
        <f>AE78+AY78</f>
        <v>26.5034165</v>
      </c>
      <c r="BJ78" s="29">
        <f>AF78+AZ78</f>
        <v>7.5953762499999993</v>
      </c>
      <c r="BK78" s="29">
        <f>AG78+BA78</f>
        <v>1.5190752500000002</v>
      </c>
      <c r="BL78" s="28">
        <f>X78+AR78</f>
        <v>25.748596500000001</v>
      </c>
      <c r="BM78" s="28">
        <f>Y78+AS78</f>
        <v>38.357302499999996</v>
      </c>
      <c r="BN78" s="28">
        <f>Z78+AT78</f>
        <v>29.706583500000001</v>
      </c>
      <c r="BO78" s="29">
        <f>AA78+AU78</f>
        <v>0.43462375000000003</v>
      </c>
      <c r="BP78" s="30">
        <f>AB78+AV78</f>
        <v>8.6924750000000009E-2</v>
      </c>
      <c r="BQ78" s="10">
        <v>1301163</v>
      </c>
      <c r="BR78" s="6">
        <v>553173</v>
      </c>
      <c r="BS78" t="s">
        <v>128</v>
      </c>
    </row>
    <row r="79" spans="1:71" x14ac:dyDescent="0.25">
      <c r="B79" s="18">
        <v>70</v>
      </c>
      <c r="C79" s="19" t="s">
        <v>105</v>
      </c>
      <c r="D79" s="60">
        <v>2108</v>
      </c>
      <c r="E79" s="47" t="s">
        <v>9</v>
      </c>
      <c r="F79" s="13" t="s">
        <v>209</v>
      </c>
      <c r="G79" s="53">
        <v>2733</v>
      </c>
      <c r="H79" s="54">
        <v>10</v>
      </c>
      <c r="I79" s="50">
        <f>G79+H79</f>
        <v>2743</v>
      </c>
      <c r="J79" s="45">
        <v>0.36</v>
      </c>
      <c r="K79" s="65">
        <f>ROUND(G79*J79,2)</f>
        <v>983.88</v>
      </c>
      <c r="L79" s="66">
        <f>1-J79</f>
        <v>0.64</v>
      </c>
      <c r="M79" s="67">
        <f>G79-K79</f>
        <v>1749.12</v>
      </c>
      <c r="N79" s="43">
        <f>M79*60*365/1000000</f>
        <v>38.305728000000002</v>
      </c>
      <c r="O79" s="92">
        <f>M79*110*365/1000000</f>
        <v>70.227168000000006</v>
      </c>
      <c r="P79" s="72">
        <f>M79*70*365/1000000</f>
        <v>44.690016</v>
      </c>
      <c r="Q79" s="72">
        <f>M79*10*365/1000000</f>
        <v>6.3842879999999989</v>
      </c>
      <c r="R79" s="25">
        <f>M79*2*365/1000000</f>
        <v>1.2768575999999998</v>
      </c>
      <c r="S79" s="72">
        <f>M79*13*365/1000000*0.33</f>
        <v>2.7388595519999996</v>
      </c>
      <c r="T79" s="72">
        <f>M79*18*365/1000000*0.33</f>
        <v>3.7922670719999996</v>
      </c>
      <c r="U79" s="72">
        <f>M79*17*365/1000000*0.33</f>
        <v>3.5815855680000004</v>
      </c>
      <c r="V79" s="72">
        <f>M79*2.5*365/1000000*0.33</f>
        <v>0.52670375999999997</v>
      </c>
      <c r="W79" s="72">
        <f>M79*0.5*365/1000000*0.33</f>
        <v>0.105340752</v>
      </c>
      <c r="X79" s="72">
        <f>M79*19*365/1000000*0.33</f>
        <v>4.0029485759999996</v>
      </c>
      <c r="Y79" s="72">
        <f>M79*26*365/1000000*0.33</f>
        <v>5.4777191039999993</v>
      </c>
      <c r="Z79" s="72">
        <f>M79*18*365/1000000*0.33</f>
        <v>3.7922670719999996</v>
      </c>
      <c r="AA79" s="72">
        <f>M79*0*365/1000000*0.33</f>
        <v>0</v>
      </c>
      <c r="AB79" s="72">
        <f>M79*0*365/1000000*0.33</f>
        <v>0</v>
      </c>
      <c r="AC79" s="91">
        <f>N79-S79-X79</f>
        <v>31.563919872</v>
      </c>
      <c r="AD79" s="91">
        <f>O79-T79-Y79</f>
        <v>60.957181824000003</v>
      </c>
      <c r="AE79" s="91">
        <f>P79-U79-Z79</f>
        <v>37.316163359999997</v>
      </c>
      <c r="AF79" s="91">
        <f>Q79-V79-AA79</f>
        <v>5.8575842399999987</v>
      </c>
      <c r="AG79" s="91">
        <f>R79-W79-AB79</f>
        <v>1.1715168479999998</v>
      </c>
      <c r="AH79" s="39">
        <f>(K79+H79)*60*365/1000000</f>
        <v>21.765972000000001</v>
      </c>
      <c r="AI79" s="77">
        <f>($K79+$H79)*110*365/1000000</f>
        <v>39.904282000000002</v>
      </c>
      <c r="AJ79" s="77">
        <f>($K79+$H79)*70*365/1000000</f>
        <v>25.393634000000002</v>
      </c>
      <c r="AK79" s="77">
        <f>($K79+$H79)*10*365/1000000</f>
        <v>3.6276619999999995</v>
      </c>
      <c r="AL79" s="26">
        <f>($K79+$H79)*2*365/1000000</f>
        <v>0.72553240000000008</v>
      </c>
      <c r="AM79" s="27">
        <v>0.9</v>
      </c>
      <c r="AN79" s="27">
        <v>0.75</v>
      </c>
      <c r="AO79" s="27">
        <v>0.9</v>
      </c>
      <c r="AP79" s="27">
        <v>0.1</v>
      </c>
      <c r="AQ79" s="27">
        <v>0.1</v>
      </c>
      <c r="AR79" s="26">
        <f>(S79+AH79)*AM79</f>
        <v>22.054348396800002</v>
      </c>
      <c r="AS79" s="26">
        <f>(T79+AI79)*AN79</f>
        <v>32.772411804000001</v>
      </c>
      <c r="AT79" s="26">
        <f>(U79+AJ79)*AO79</f>
        <v>26.077697611200005</v>
      </c>
      <c r="AU79" s="26">
        <f>(V79+AK79)*AP79</f>
        <v>0.41543657599999995</v>
      </c>
      <c r="AV79" s="26">
        <f>(W79+AL79)*AQ79</f>
        <v>8.3087315200000011E-2</v>
      </c>
      <c r="AW79" s="26">
        <f>S79+AH79-AR79</f>
        <v>2.4504831552000006</v>
      </c>
      <c r="AX79" s="26">
        <f>T79+AI79-AS79</f>
        <v>10.924137268000003</v>
      </c>
      <c r="AY79" s="26">
        <f>U79+AJ79-AT79</f>
        <v>2.8975219567999986</v>
      </c>
      <c r="AZ79" s="26">
        <f>V79+AK79-AU79</f>
        <v>3.7389291839999994</v>
      </c>
      <c r="BA79" s="40">
        <f>W79+AL79-AV79</f>
        <v>0.7477858368000001</v>
      </c>
      <c r="BB79" s="37">
        <f>N79+AH79</f>
        <v>60.071700000000007</v>
      </c>
      <c r="BC79" s="28">
        <f>O79+AI79</f>
        <v>110.13145</v>
      </c>
      <c r="BD79" s="28">
        <f>P79+AJ79</f>
        <v>70.083650000000006</v>
      </c>
      <c r="BE79" s="29">
        <f>Q79+AK79</f>
        <v>10.011949999999999</v>
      </c>
      <c r="BF79" s="29">
        <f>R79+AL79</f>
        <v>2.0023900000000001</v>
      </c>
      <c r="BG79" s="28">
        <f>AC79+AW79</f>
        <v>34.014403027200004</v>
      </c>
      <c r="BH79" s="28">
        <f>AD79+AX79</f>
        <v>71.881319092000012</v>
      </c>
      <c r="BI79" s="28">
        <f>AE79+AY79</f>
        <v>40.213685316799996</v>
      </c>
      <c r="BJ79" s="29">
        <f>AF79+AZ79</f>
        <v>9.5965134239999976</v>
      </c>
      <c r="BK79" s="29">
        <f>AG79+BA79</f>
        <v>1.9193026847999999</v>
      </c>
      <c r="BL79" s="28">
        <f>X79+AR79</f>
        <v>26.057296972800003</v>
      </c>
      <c r="BM79" s="28">
        <f>Y79+AS79</f>
        <v>38.250130908000003</v>
      </c>
      <c r="BN79" s="28">
        <f>Z79+AT79</f>
        <v>29.869964683200003</v>
      </c>
      <c r="BO79" s="29">
        <f>AA79+AU79</f>
        <v>0.41543657599999995</v>
      </c>
      <c r="BP79" s="30">
        <f>AB79+AV79</f>
        <v>8.3087315200000011E-2</v>
      </c>
      <c r="BQ79" s="10">
        <v>668575</v>
      </c>
      <c r="BR79" s="6">
        <v>15250</v>
      </c>
      <c r="BS79" t="s">
        <v>128</v>
      </c>
    </row>
    <row r="80" spans="1:71" x14ac:dyDescent="0.25">
      <c r="B80" s="18">
        <v>71</v>
      </c>
      <c r="C80" s="19" t="s">
        <v>106</v>
      </c>
      <c r="D80" s="60">
        <v>2094</v>
      </c>
      <c r="E80" s="47" t="s">
        <v>162</v>
      </c>
      <c r="F80" s="13" t="s">
        <v>209</v>
      </c>
      <c r="G80" s="53">
        <v>2700</v>
      </c>
      <c r="H80" s="54">
        <v>279</v>
      </c>
      <c r="I80" s="50">
        <f>G80+H80</f>
        <v>2979</v>
      </c>
      <c r="J80" s="45">
        <v>0.39</v>
      </c>
      <c r="K80" s="65">
        <f>ROUND(G80*J80,2)</f>
        <v>1053</v>
      </c>
      <c r="L80" s="66">
        <f>1-J80</f>
        <v>0.61</v>
      </c>
      <c r="M80" s="67">
        <f>G80-K80</f>
        <v>1647</v>
      </c>
      <c r="N80" s="43">
        <f>M80*60*365/1000000</f>
        <v>36.069299999999998</v>
      </c>
      <c r="O80" s="92">
        <f>M80*110*365/1000000</f>
        <v>66.127049999999997</v>
      </c>
      <c r="P80" s="72">
        <f>M80*70*365/1000000</f>
        <v>42.080849999999998</v>
      </c>
      <c r="Q80" s="72">
        <f>M80*10*365/1000000</f>
        <v>6.0115499999999997</v>
      </c>
      <c r="R80" s="25">
        <f>M80*2*365/1000000</f>
        <v>1.20231</v>
      </c>
      <c r="S80" s="72">
        <f>M80*13*365/1000000*0.33</f>
        <v>2.57895495</v>
      </c>
      <c r="T80" s="72">
        <f>M80*18*365/1000000*0.33</f>
        <v>3.5708607000000003</v>
      </c>
      <c r="U80" s="72">
        <f>M80*17*365/1000000*0.33</f>
        <v>3.3724795500000004</v>
      </c>
      <c r="V80" s="72">
        <f>M80*2.5*365/1000000*0.33</f>
        <v>0.49595287500000002</v>
      </c>
      <c r="W80" s="72">
        <f>M80*0.5*365/1000000*0.33</f>
        <v>9.9190575000000003E-2</v>
      </c>
      <c r="X80" s="72">
        <f>M80*19*365/1000000*0.33</f>
        <v>3.7692418499999998</v>
      </c>
      <c r="Y80" s="72">
        <f>M80*26*365/1000000*0.33</f>
        <v>5.1579098999999999</v>
      </c>
      <c r="Z80" s="72">
        <f>M80*18*365/1000000*0.33</f>
        <v>3.5708607000000003</v>
      </c>
      <c r="AA80" s="72">
        <f>M80*0*365/1000000*0.33</f>
        <v>0</v>
      </c>
      <c r="AB80" s="72">
        <f>M80*0*365/1000000*0.33</f>
        <v>0</v>
      </c>
      <c r="AC80" s="91">
        <f>N80-S80-X80</f>
        <v>29.721103200000002</v>
      </c>
      <c r="AD80" s="91">
        <f>O80-T80-Y80</f>
        <v>57.3982794</v>
      </c>
      <c r="AE80" s="91">
        <f>P80-U80-Z80</f>
        <v>35.13750975</v>
      </c>
      <c r="AF80" s="91">
        <f>Q80-V80-AA80</f>
        <v>5.5155971249999993</v>
      </c>
      <c r="AG80" s="91">
        <f>R80-W80-AB80</f>
        <v>1.103119425</v>
      </c>
      <c r="AH80" s="39">
        <f>(K80+H80)*60*365/1000000</f>
        <v>29.1708</v>
      </c>
      <c r="AI80" s="77">
        <f>($K80+$H80)*110*365/1000000</f>
        <v>53.479799999999997</v>
      </c>
      <c r="AJ80" s="77">
        <f>($K80+$H80)*70*365/1000000</f>
        <v>34.032600000000002</v>
      </c>
      <c r="AK80" s="77">
        <f>($K80+$H80)*10*365/1000000</f>
        <v>4.8617999999999997</v>
      </c>
      <c r="AL80" s="26">
        <f>($K80+$H80)*2*365/1000000</f>
        <v>0.97236</v>
      </c>
      <c r="AM80" s="27">
        <v>0.9</v>
      </c>
      <c r="AN80" s="27">
        <v>0.75</v>
      </c>
      <c r="AO80" s="27">
        <v>0.9</v>
      </c>
      <c r="AP80" s="27">
        <v>0.1</v>
      </c>
      <c r="AQ80" s="27">
        <v>0.1</v>
      </c>
      <c r="AR80" s="26">
        <f>(S80+AH80)*AM80</f>
        <v>28.574779455000002</v>
      </c>
      <c r="AS80" s="26">
        <f>(T80+AI80)*AN80</f>
        <v>42.787995524999999</v>
      </c>
      <c r="AT80" s="26">
        <f>(U80+AJ80)*AO80</f>
        <v>33.664571595000005</v>
      </c>
      <c r="AU80" s="26">
        <f>(V80+AK80)*AP80</f>
        <v>0.53577528750000003</v>
      </c>
      <c r="AV80" s="26">
        <f>(W80+AL80)*AQ80</f>
        <v>0.10715505750000001</v>
      </c>
      <c r="AW80" s="26">
        <f>S80+AH80-AR80</f>
        <v>3.1749754949999982</v>
      </c>
      <c r="AX80" s="26">
        <f>T80+AI80-AS80</f>
        <v>14.262665174999995</v>
      </c>
      <c r="AY80" s="26">
        <f>U80+AJ80-AT80</f>
        <v>3.7405079549999982</v>
      </c>
      <c r="AZ80" s="26">
        <f>V80+AK80-AU80</f>
        <v>4.8219775875000002</v>
      </c>
      <c r="BA80" s="40">
        <f>W80+AL80-AV80</f>
        <v>0.96439551750000008</v>
      </c>
      <c r="BB80" s="37">
        <f>N80+AH80</f>
        <v>65.240099999999998</v>
      </c>
      <c r="BC80" s="28">
        <f>O80+AI80</f>
        <v>119.60684999999999</v>
      </c>
      <c r="BD80" s="28">
        <f>P80+AJ80</f>
        <v>76.11345</v>
      </c>
      <c r="BE80" s="29">
        <f>Q80+AK80</f>
        <v>10.873349999999999</v>
      </c>
      <c r="BF80" s="29">
        <f>R80+AL80</f>
        <v>2.1746699999999999</v>
      </c>
      <c r="BG80" s="28">
        <f>AC80+AW80</f>
        <v>32.896078695</v>
      </c>
      <c r="BH80" s="28">
        <f>AD80+AX80</f>
        <v>71.660944575000002</v>
      </c>
      <c r="BI80" s="28">
        <f>AE80+AY80</f>
        <v>38.878017704999998</v>
      </c>
      <c r="BJ80" s="29">
        <f>AF80+AZ80</f>
        <v>10.3375747125</v>
      </c>
      <c r="BK80" s="29">
        <f>AG80+BA80</f>
        <v>2.0675149424999999</v>
      </c>
      <c r="BL80" s="28">
        <f>X80+AR80</f>
        <v>32.344021304999998</v>
      </c>
      <c r="BM80" s="28">
        <f>Y80+AS80</f>
        <v>47.945905424999999</v>
      </c>
      <c r="BN80" s="28">
        <f>Z80+AT80</f>
        <v>37.235432295000003</v>
      </c>
      <c r="BO80" s="29">
        <f>AA80+AU80</f>
        <v>0.53577528750000003</v>
      </c>
      <c r="BP80" s="30">
        <f>AB80+AV80</f>
        <v>0.10715505750000001</v>
      </c>
      <c r="BQ80" s="10">
        <v>1868000</v>
      </c>
      <c r="BR80" s="6">
        <v>0</v>
      </c>
      <c r="BS80" t="s">
        <v>159</v>
      </c>
    </row>
    <row r="81" spans="1:71" x14ac:dyDescent="0.25">
      <c r="B81" s="18">
        <v>72</v>
      </c>
      <c r="C81" s="19" t="s">
        <v>111</v>
      </c>
      <c r="D81" s="60">
        <v>2059</v>
      </c>
      <c r="E81" s="47" t="s">
        <v>4</v>
      </c>
      <c r="F81" s="13" t="s">
        <v>207</v>
      </c>
      <c r="G81" s="53">
        <v>2161</v>
      </c>
      <c r="H81" s="54">
        <v>0</v>
      </c>
      <c r="I81" s="50">
        <f>G81+H81</f>
        <v>2161</v>
      </c>
      <c r="J81" s="45">
        <v>0.98</v>
      </c>
      <c r="K81" s="65">
        <f>ROUND(G81*J81,2)</f>
        <v>2117.7800000000002</v>
      </c>
      <c r="L81" s="66">
        <f>1-J81</f>
        <v>2.0000000000000018E-2</v>
      </c>
      <c r="M81" s="67">
        <f>G81-K81</f>
        <v>43.2199999999998</v>
      </c>
      <c r="N81" s="43">
        <f>M81*60*365/1000000</f>
        <v>0.94651799999999553</v>
      </c>
      <c r="O81" s="92">
        <f>M81*110*365/1000000</f>
        <v>1.7352829999999919</v>
      </c>
      <c r="P81" s="72">
        <f>M81*70*365/1000000</f>
        <v>1.1042709999999949</v>
      </c>
      <c r="Q81" s="72">
        <f>M81*10*365/1000000</f>
        <v>0.15775299999999928</v>
      </c>
      <c r="R81" s="25">
        <f>M81*2*365/1000000</f>
        <v>3.1550599999999852E-2</v>
      </c>
      <c r="S81" s="72">
        <f>M81*13*365/1000000*0.33</f>
        <v>6.7676036999999689E-2</v>
      </c>
      <c r="T81" s="72">
        <f>M81*18*365/1000000*0.33</f>
        <v>9.3705281999999571E-2</v>
      </c>
      <c r="U81" s="72">
        <f>M81*17*365/1000000*0.33</f>
        <v>8.84994329999996E-2</v>
      </c>
      <c r="V81" s="72">
        <f>M81*2.5*365/1000000*0.33</f>
        <v>1.3014622499999941E-2</v>
      </c>
      <c r="W81" s="72">
        <f>M81*0.5*365/1000000*0.33</f>
        <v>2.602924499999988E-3</v>
      </c>
      <c r="X81" s="72">
        <f>M81*19*365/1000000*0.33</f>
        <v>9.8911130999999555E-2</v>
      </c>
      <c r="Y81" s="72">
        <f>M81*26*365/1000000*0.33</f>
        <v>0.13535207399999938</v>
      </c>
      <c r="Z81" s="72">
        <f>M81*18*365/1000000*0.33</f>
        <v>9.3705281999999571E-2</v>
      </c>
      <c r="AA81" s="72">
        <f>M81*0*365/1000000*0.33</f>
        <v>0</v>
      </c>
      <c r="AB81" s="72">
        <f>M81*0*365/1000000*0.33</f>
        <v>0</v>
      </c>
      <c r="AC81" s="91">
        <f>N81-S81-X81</f>
        <v>0.77993083199999624</v>
      </c>
      <c r="AD81" s="91">
        <f>O81-T81-Y81</f>
        <v>1.506225643999993</v>
      </c>
      <c r="AE81" s="91">
        <f>P81-U81-Z81</f>
        <v>0.92206628499999577</v>
      </c>
      <c r="AF81" s="91">
        <f>Q81-V81-AA81</f>
        <v>0.14473837749999935</v>
      </c>
      <c r="AG81" s="91">
        <f>R81-W81-AB81</f>
        <v>2.8947675499999864E-2</v>
      </c>
      <c r="AH81" s="39">
        <f>(K81+H81)*60*365/1000000</f>
        <v>46.379382000000007</v>
      </c>
      <c r="AI81" s="77">
        <f>($K81+$H81)*110*365/1000000</f>
        <v>85.028867000000005</v>
      </c>
      <c r="AJ81" s="77">
        <f>($K81+$H81)*70*365/1000000</f>
        <v>54.109279000000001</v>
      </c>
      <c r="AK81" s="77">
        <f>($K81+$H81)*10*365/1000000</f>
        <v>7.7298970000000011</v>
      </c>
      <c r="AL81" s="26">
        <f>($K81+$H81)*2*365/1000000</f>
        <v>1.5459794000000002</v>
      </c>
      <c r="AM81" s="27">
        <v>0.9</v>
      </c>
      <c r="AN81" s="27">
        <v>0.75</v>
      </c>
      <c r="AO81" s="27">
        <v>0.9</v>
      </c>
      <c r="AP81" s="27">
        <v>0.1</v>
      </c>
      <c r="AQ81" s="27">
        <v>0.1</v>
      </c>
      <c r="AR81" s="26">
        <f>(S81+AH81)*AM81</f>
        <v>41.802352233300006</v>
      </c>
      <c r="AS81" s="26">
        <f>(T81+AI81)*AN81</f>
        <v>63.841929211500002</v>
      </c>
      <c r="AT81" s="26">
        <f>(U81+AJ81)*AO81</f>
        <v>48.778000589700007</v>
      </c>
      <c r="AU81" s="26">
        <f>(V81+AK81)*AP81</f>
        <v>0.77429116225000016</v>
      </c>
      <c r="AV81" s="26">
        <f>(W81+AL81)*AQ81</f>
        <v>0.15485823245000002</v>
      </c>
      <c r="AW81" s="26">
        <f>S81+AH81-AR81</f>
        <v>4.6447058036999991</v>
      </c>
      <c r="AX81" s="26">
        <f>T81+AI81-AS81</f>
        <v>21.280643070500005</v>
      </c>
      <c r="AY81" s="26">
        <f>U81+AJ81-AT81</f>
        <v>5.4197778432999968</v>
      </c>
      <c r="AZ81" s="26">
        <f>V81+AK81-AU81</f>
        <v>6.9686204602500013</v>
      </c>
      <c r="BA81" s="40">
        <f>W81+AL81-AV81</f>
        <v>1.39372409205</v>
      </c>
      <c r="BB81" s="37">
        <f>N81+AH81</f>
        <v>47.325900000000004</v>
      </c>
      <c r="BC81" s="28">
        <f>O81+AI81</f>
        <v>86.764150000000001</v>
      </c>
      <c r="BD81" s="28">
        <f>P81+AJ81</f>
        <v>55.213549999999998</v>
      </c>
      <c r="BE81" s="29">
        <f>Q81+AK81</f>
        <v>7.8876500000000007</v>
      </c>
      <c r="BF81" s="29">
        <f>R81+AL81</f>
        <v>1.5775300000000001</v>
      </c>
      <c r="BG81" s="28">
        <f>AC81+AW81</f>
        <v>5.4246366356999953</v>
      </c>
      <c r="BH81" s="28">
        <f>AD81+AX81</f>
        <v>22.786868714499999</v>
      </c>
      <c r="BI81" s="28">
        <f>AE81+AY81</f>
        <v>6.3418441282999929</v>
      </c>
      <c r="BJ81" s="29">
        <f>AF81+AZ81</f>
        <v>7.1133588377500008</v>
      </c>
      <c r="BK81" s="29">
        <f>AG81+BA81</f>
        <v>1.4226717675499998</v>
      </c>
      <c r="BL81" s="28">
        <f>X81+AR81</f>
        <v>41.901263364300007</v>
      </c>
      <c r="BM81" s="28">
        <f>Y81+AS81</f>
        <v>63.977281285499998</v>
      </c>
      <c r="BN81" s="28">
        <f>Z81+AT81</f>
        <v>48.871705871700009</v>
      </c>
      <c r="BO81" s="29">
        <f>AA81+AU81</f>
        <v>0.77429116225000016</v>
      </c>
      <c r="BP81" s="30">
        <f>AB81+AV81</f>
        <v>0.15485823245000002</v>
      </c>
      <c r="BQ81" s="10">
        <v>0</v>
      </c>
      <c r="BR81" s="6">
        <v>0</v>
      </c>
    </row>
    <row r="82" spans="1:71" x14ac:dyDescent="0.25">
      <c r="B82" s="18">
        <v>73</v>
      </c>
      <c r="C82" s="19" t="s">
        <v>107</v>
      </c>
      <c r="D82" s="60">
        <v>2042</v>
      </c>
      <c r="E82" s="47" t="s">
        <v>163</v>
      </c>
      <c r="F82" s="13" t="s">
        <v>209</v>
      </c>
      <c r="G82" s="53">
        <v>2132</v>
      </c>
      <c r="H82" s="54">
        <v>10</v>
      </c>
      <c r="I82" s="50">
        <f>G82+H82</f>
        <v>2142</v>
      </c>
      <c r="J82" s="45">
        <v>0.41</v>
      </c>
      <c r="K82" s="65">
        <f>ROUND(G82*J82,2)</f>
        <v>874.12</v>
      </c>
      <c r="L82" s="66">
        <f>1-J82</f>
        <v>0.59000000000000008</v>
      </c>
      <c r="M82" s="67">
        <f>G82-K82</f>
        <v>1257.8800000000001</v>
      </c>
      <c r="N82" s="43">
        <f>M82*60*365/1000000</f>
        <v>27.547571999999999</v>
      </c>
      <c r="O82" s="92">
        <f>M82*110*365/1000000</f>
        <v>50.503882000000004</v>
      </c>
      <c r="P82" s="72">
        <f>M82*70*365/1000000</f>
        <v>32.138834000000003</v>
      </c>
      <c r="Q82" s="72">
        <f>M82*10*365/1000000</f>
        <v>4.5912620000000004</v>
      </c>
      <c r="R82" s="25">
        <f>M82*2*365/1000000</f>
        <v>0.91825239999999997</v>
      </c>
      <c r="S82" s="72">
        <f>M82*13*365/1000000*0.33</f>
        <v>1.9696513980000003</v>
      </c>
      <c r="T82" s="72">
        <f>M82*18*365/1000000*0.33</f>
        <v>2.7272096280000002</v>
      </c>
      <c r="U82" s="72">
        <f>M82*17*365/1000000*0.33</f>
        <v>2.5756979820000008</v>
      </c>
      <c r="V82" s="72">
        <f>M82*2.5*365/1000000*0.33</f>
        <v>0.37877911500000006</v>
      </c>
      <c r="W82" s="72">
        <f>M82*0.5*365/1000000*0.33</f>
        <v>7.5755823E-2</v>
      </c>
      <c r="X82" s="72">
        <f>M82*19*365/1000000*0.33</f>
        <v>2.8787212740000006</v>
      </c>
      <c r="Y82" s="72">
        <f>M82*26*365/1000000*0.33</f>
        <v>3.9393027960000007</v>
      </c>
      <c r="Z82" s="72">
        <f>M82*18*365/1000000*0.33</f>
        <v>2.7272096280000002</v>
      </c>
      <c r="AA82" s="72">
        <f>M82*0*365/1000000*0.33</f>
        <v>0</v>
      </c>
      <c r="AB82" s="72">
        <f>M82*0*365/1000000*0.33</f>
        <v>0</v>
      </c>
      <c r="AC82" s="91">
        <f>N82-S82-X82</f>
        <v>22.699199327999999</v>
      </c>
      <c r="AD82" s="91">
        <f>O82-T82-Y82</f>
        <v>43.837369576000007</v>
      </c>
      <c r="AE82" s="91">
        <f>P82-U82-Z82</f>
        <v>26.835926390000001</v>
      </c>
      <c r="AF82" s="91">
        <f>Q82-V82-AA82</f>
        <v>4.212482885</v>
      </c>
      <c r="AG82" s="91">
        <f>R82-W82-AB82</f>
        <v>0.84249657699999991</v>
      </c>
      <c r="AH82" s="39">
        <f>(K82+H82)*60*365/1000000</f>
        <v>19.362228000000002</v>
      </c>
      <c r="AI82" s="77">
        <f>($K82+$H82)*110*365/1000000</f>
        <v>35.497418000000003</v>
      </c>
      <c r="AJ82" s="77">
        <f>($K82+$H82)*70*365/1000000</f>
        <v>22.589265999999999</v>
      </c>
      <c r="AK82" s="77">
        <f>($K82+$H82)*10*365/1000000</f>
        <v>3.2270380000000003</v>
      </c>
      <c r="AL82" s="26">
        <f>($K82+$H82)*2*365/1000000</f>
        <v>0.64540759999999997</v>
      </c>
      <c r="AM82" s="27">
        <v>0.9</v>
      </c>
      <c r="AN82" s="27">
        <v>0.75</v>
      </c>
      <c r="AO82" s="27">
        <v>0.9</v>
      </c>
      <c r="AP82" s="27">
        <v>0.1</v>
      </c>
      <c r="AQ82" s="27">
        <v>0.1</v>
      </c>
      <c r="AR82" s="26">
        <f>(S82+AH82)*AM82</f>
        <v>19.198691458200003</v>
      </c>
      <c r="AS82" s="26">
        <f>(T82+AI82)*AN82</f>
        <v>28.668470720999998</v>
      </c>
      <c r="AT82" s="26">
        <f>(U82+AJ82)*AO82</f>
        <v>22.648467583799999</v>
      </c>
      <c r="AU82" s="26">
        <f>(V82+AK82)*AP82</f>
        <v>0.36058171150000007</v>
      </c>
      <c r="AV82" s="26">
        <f>(W82+AL82)*AQ82</f>
        <v>7.2116342299999997E-2</v>
      </c>
      <c r="AW82" s="26">
        <f>S82+AH82-AR82</f>
        <v>2.1331879397999991</v>
      </c>
      <c r="AX82" s="26">
        <f>T82+AI82-AS82</f>
        <v>9.5561569070000019</v>
      </c>
      <c r="AY82" s="26">
        <f>U82+AJ82-AT82</f>
        <v>2.516496398200001</v>
      </c>
      <c r="AZ82" s="26">
        <f>V82+AK82-AU82</f>
        <v>3.2452354035000002</v>
      </c>
      <c r="BA82" s="40">
        <f>W82+AL82-AV82</f>
        <v>0.64904708069999995</v>
      </c>
      <c r="BB82" s="37">
        <f>N82+AH82</f>
        <v>46.909800000000004</v>
      </c>
      <c r="BC82" s="28">
        <f>O82+AI82</f>
        <v>86.001300000000015</v>
      </c>
      <c r="BD82" s="28">
        <f>P82+AJ82</f>
        <v>54.728099999999998</v>
      </c>
      <c r="BE82" s="29">
        <f>Q82+AK82</f>
        <v>7.8183000000000007</v>
      </c>
      <c r="BF82" s="29">
        <f>R82+AL82</f>
        <v>1.56366</v>
      </c>
      <c r="BG82" s="28">
        <f>AC82+AW82</f>
        <v>24.832387267799998</v>
      </c>
      <c r="BH82" s="28">
        <f>AD82+AX82</f>
        <v>53.393526483000009</v>
      </c>
      <c r="BI82" s="28">
        <f>AE82+AY82</f>
        <v>29.352422788200002</v>
      </c>
      <c r="BJ82" s="29">
        <f>AF82+AZ82</f>
        <v>7.4577182885000006</v>
      </c>
      <c r="BK82" s="29">
        <f>AG82+BA82</f>
        <v>1.4915436576999999</v>
      </c>
      <c r="BL82" s="28">
        <f>X82+AR82</f>
        <v>22.077412732200003</v>
      </c>
      <c r="BM82" s="28">
        <f>Y82+AS82</f>
        <v>32.607773516999998</v>
      </c>
      <c r="BN82" s="28">
        <f>Z82+AT82</f>
        <v>25.375677211799999</v>
      </c>
      <c r="BO82" s="29">
        <f>AA82+AU82</f>
        <v>0.36058171150000007</v>
      </c>
      <c r="BP82" s="30">
        <f>AB82+AV82</f>
        <v>7.2116342299999997E-2</v>
      </c>
      <c r="BQ82" s="10">
        <v>898800</v>
      </c>
      <c r="BR82" s="6">
        <v>244850</v>
      </c>
      <c r="BS82" t="s">
        <v>128</v>
      </c>
    </row>
    <row r="83" spans="1:71" x14ac:dyDescent="0.25">
      <c r="B83" s="18">
        <v>74</v>
      </c>
      <c r="C83" s="19" t="s">
        <v>5</v>
      </c>
      <c r="D83" s="60">
        <v>2042</v>
      </c>
      <c r="E83" s="47" t="s">
        <v>164</v>
      </c>
      <c r="F83" s="13" t="s">
        <v>206</v>
      </c>
      <c r="G83" s="122">
        <v>2289</v>
      </c>
      <c r="H83" s="124">
        <v>386</v>
      </c>
      <c r="I83" s="125">
        <f>G83+H83</f>
        <v>2675</v>
      </c>
      <c r="J83" s="126">
        <v>0.57999999999999996</v>
      </c>
      <c r="K83" s="129">
        <f>ROUND(G83*J83,2)</f>
        <v>1327.62</v>
      </c>
      <c r="L83" s="130">
        <f>1-J83</f>
        <v>0.42000000000000004</v>
      </c>
      <c r="M83" s="131">
        <f>G83-K83</f>
        <v>961.38000000000011</v>
      </c>
      <c r="N83" s="132">
        <f>M83*60*365/1000000</f>
        <v>21.054221999999999</v>
      </c>
      <c r="O83" s="135">
        <f>M83*110*365/1000000</f>
        <v>38.599407000000006</v>
      </c>
      <c r="P83" s="136">
        <f>M83*70*365/1000000</f>
        <v>24.563259000000002</v>
      </c>
      <c r="Q83" s="136">
        <f>M83*10*365/1000000</f>
        <v>3.5090370000000006</v>
      </c>
      <c r="R83" s="137">
        <f>M83*2*365/1000000</f>
        <v>0.70180739999999997</v>
      </c>
      <c r="S83" s="136">
        <f>M83*13*365/1000000*0.33</f>
        <v>1.5053768730000003</v>
      </c>
      <c r="T83" s="136">
        <f>M83*18*365/1000000*0.33</f>
        <v>2.0843679780000004</v>
      </c>
      <c r="U83" s="136">
        <f>M83*17*365/1000000*0.33</f>
        <v>1.9685697570000005</v>
      </c>
      <c r="V83" s="136">
        <f>M83*2.5*365/1000000*0.33</f>
        <v>0.28949555250000009</v>
      </c>
      <c r="W83" s="136">
        <f>M83*0.5*365/1000000*0.33</f>
        <v>5.7899110500000003E-2</v>
      </c>
      <c r="X83" s="136">
        <f>M83*19*365/1000000*0.33</f>
        <v>2.2001661990000003</v>
      </c>
      <c r="Y83" s="136">
        <f>M83*26*365/1000000*0.33</f>
        <v>3.0107537460000007</v>
      </c>
      <c r="Z83" s="136">
        <f>M83*18*365/1000000*0.33</f>
        <v>2.0843679780000004</v>
      </c>
      <c r="AA83" s="136">
        <f>M83*0*365/1000000*0.33</f>
        <v>0</v>
      </c>
      <c r="AB83" s="136">
        <f>M83*0*365/1000000*0.33</f>
        <v>0</v>
      </c>
      <c r="AC83" s="138">
        <f>N83-S83-X83</f>
        <v>17.348678927999998</v>
      </c>
      <c r="AD83" s="138">
        <f>O83-T83-Y83</f>
        <v>33.504285276000005</v>
      </c>
      <c r="AE83" s="138">
        <f>P83-U83-Z83</f>
        <v>20.510321265000002</v>
      </c>
      <c r="AF83" s="138">
        <f>Q83-V83-AA83</f>
        <v>3.2195414475000006</v>
      </c>
      <c r="AG83" s="138">
        <f>R83-W83-AB83</f>
        <v>0.64390828950000001</v>
      </c>
      <c r="AH83" s="139">
        <f>(K83+H83)*60*365/1000000</f>
        <v>37.528278</v>
      </c>
      <c r="AI83" s="141">
        <f>($K83+$H83)*110*365/1000000</f>
        <v>68.801843000000005</v>
      </c>
      <c r="AJ83" s="141">
        <f>($K83+$H83)*70*365/1000000</f>
        <v>43.782991000000003</v>
      </c>
      <c r="AK83" s="141">
        <f>($K83+$H83)*10*365/1000000</f>
        <v>6.2547129999999989</v>
      </c>
      <c r="AL83" s="142">
        <f>($K83+$H83)*2*365/1000000</f>
        <v>1.2509425999999999</v>
      </c>
      <c r="AM83" s="143">
        <v>0.9</v>
      </c>
      <c r="AN83" s="143">
        <v>0.75</v>
      </c>
      <c r="AO83" s="143">
        <v>0.9</v>
      </c>
      <c r="AP83" s="143">
        <v>0.1</v>
      </c>
      <c r="AQ83" s="143">
        <v>0.1</v>
      </c>
      <c r="AR83" s="142">
        <f>(S83+AH83)*AM83</f>
        <v>35.130289385700003</v>
      </c>
      <c r="AS83" s="142">
        <f>(T83+AI83)*AN83</f>
        <v>53.164658233500006</v>
      </c>
      <c r="AT83" s="142">
        <f>(U83+AJ83)*AO83</f>
        <v>41.176404681299999</v>
      </c>
      <c r="AU83" s="142">
        <f>(V83+AK83)*AP83</f>
        <v>0.65442085524999993</v>
      </c>
      <c r="AV83" s="142">
        <f>(W83+AL83)*AQ83</f>
        <v>0.13088417105</v>
      </c>
      <c r="AW83" s="142">
        <f>S83+AH83-AR83</f>
        <v>3.9033654873000003</v>
      </c>
      <c r="AX83" s="142">
        <f>T83+AI83-AS83</f>
        <v>17.721552744500002</v>
      </c>
      <c r="AY83" s="142">
        <f>U83+AJ83-AT83</f>
        <v>4.5751560757000007</v>
      </c>
      <c r="AZ83" s="142">
        <f>V83+AK83-AU83</f>
        <v>5.8897876972499992</v>
      </c>
      <c r="BA83" s="145">
        <f>W83+AL83-AV83</f>
        <v>1.1779575394499999</v>
      </c>
      <c r="BB83" s="147">
        <f>N83+AH83</f>
        <v>58.582499999999996</v>
      </c>
      <c r="BC83" s="150">
        <f>O83+AI83</f>
        <v>107.40125</v>
      </c>
      <c r="BD83" s="150">
        <f>P83+AJ83</f>
        <v>68.346249999999998</v>
      </c>
      <c r="BE83" s="151">
        <f>Q83+AK83</f>
        <v>9.7637499999999999</v>
      </c>
      <c r="BF83" s="151">
        <f>R83+AL83</f>
        <v>1.95275</v>
      </c>
      <c r="BG83" s="150">
        <f>AC83+AW83</f>
        <v>21.252044415299999</v>
      </c>
      <c r="BH83" s="150">
        <f>AD83+AX83</f>
        <v>51.225838020500007</v>
      </c>
      <c r="BI83" s="150">
        <f>AE83+AY83</f>
        <v>25.085477340700002</v>
      </c>
      <c r="BJ83" s="151">
        <f>AF83+AZ83</f>
        <v>9.1093291447499993</v>
      </c>
      <c r="BK83" s="151">
        <f>AG83+BA83</f>
        <v>1.82186582895</v>
      </c>
      <c r="BL83" s="150">
        <f>X83+AR83</f>
        <v>37.330455584700005</v>
      </c>
      <c r="BM83" s="150">
        <f>Y83+AS83</f>
        <v>56.175411979500005</v>
      </c>
      <c r="BN83" s="150">
        <f>Z83+AT83</f>
        <v>43.260772659300002</v>
      </c>
      <c r="BO83" s="151">
        <f>AA83+AU83</f>
        <v>0.65442085524999993</v>
      </c>
      <c r="BP83" s="152">
        <f>AB83+AV83</f>
        <v>0.13088417105</v>
      </c>
      <c r="BQ83" s="10">
        <f>376200*0.6</f>
        <v>225720</v>
      </c>
      <c r="BR83" s="6">
        <f>447600*0.6</f>
        <v>268560</v>
      </c>
      <c r="BS83" t="s">
        <v>131</v>
      </c>
    </row>
    <row r="84" spans="1:71" x14ac:dyDescent="0.25">
      <c r="A84" s="18"/>
      <c r="B84" s="18">
        <v>75</v>
      </c>
      <c r="C84" s="19" t="s">
        <v>114</v>
      </c>
      <c r="D84" s="60">
        <v>1987</v>
      </c>
      <c r="E84" s="47" t="s">
        <v>188</v>
      </c>
      <c r="F84" s="13" t="s">
        <v>206</v>
      </c>
      <c r="G84" s="53">
        <v>2192</v>
      </c>
      <c r="H84" s="53">
        <v>4470</v>
      </c>
      <c r="I84" s="50">
        <f>G84+H84</f>
        <v>6662</v>
      </c>
      <c r="J84" s="45">
        <v>0.93</v>
      </c>
      <c r="K84" s="65">
        <f>ROUND(G84*J84,2)</f>
        <v>2038.56</v>
      </c>
      <c r="L84" s="66">
        <f>1-J84</f>
        <v>6.9999999999999951E-2</v>
      </c>
      <c r="M84" s="67">
        <f>G84-K84</f>
        <v>153.44000000000005</v>
      </c>
      <c r="N84" s="43">
        <f>M84*60*365/1000000</f>
        <v>3.3603360000000015</v>
      </c>
      <c r="O84" s="92">
        <f>M84*110*365/1000000</f>
        <v>6.1606160000000019</v>
      </c>
      <c r="P84" s="72">
        <f>M84*70*365/1000000</f>
        <v>3.920392000000001</v>
      </c>
      <c r="Q84" s="72">
        <f>M84*10*365/1000000</f>
        <v>0.56005600000000022</v>
      </c>
      <c r="R84" s="25">
        <f>M84*2*365/1000000</f>
        <v>0.11201120000000005</v>
      </c>
      <c r="S84" s="72">
        <f>M84*13*365/1000000*0.33</f>
        <v>0.2402640240000001</v>
      </c>
      <c r="T84" s="72">
        <f>M84*18*365/1000000*0.33</f>
        <v>0.33267326400000019</v>
      </c>
      <c r="U84" s="72">
        <f>M84*17*365/1000000*0.33</f>
        <v>0.31419141600000011</v>
      </c>
      <c r="V84" s="72">
        <f>M84*2.5*365/1000000*0.33</f>
        <v>4.6204620000000023E-2</v>
      </c>
      <c r="W84" s="72">
        <f>M84*0.5*365/1000000*0.33</f>
        <v>9.2409240000000045E-3</v>
      </c>
      <c r="X84" s="72">
        <f>M84*19*365/1000000*0.33</f>
        <v>0.35115511200000016</v>
      </c>
      <c r="Y84" s="72">
        <f>M84*26*365/1000000*0.33</f>
        <v>0.48052804800000021</v>
      </c>
      <c r="Z84" s="72">
        <f>M84*18*365/1000000*0.33</f>
        <v>0.33267326400000019</v>
      </c>
      <c r="AA84" s="72">
        <f>M84*0*365/1000000*0.33</f>
        <v>0</v>
      </c>
      <c r="AB84" s="72">
        <f>M84*0*365/1000000*0.33</f>
        <v>0</v>
      </c>
      <c r="AC84" s="91">
        <f>N84-S84-X84</f>
        <v>2.7689168640000013</v>
      </c>
      <c r="AD84" s="91">
        <f>O84-T84-Y84</f>
        <v>5.3474146880000015</v>
      </c>
      <c r="AE84" s="91">
        <f>P84-U84-Z84</f>
        <v>3.2735273200000004</v>
      </c>
      <c r="AF84" s="91">
        <f>Q84-V84-AA84</f>
        <v>0.51385138000000019</v>
      </c>
      <c r="AG84" s="91">
        <f>R84-W84-AB84</f>
        <v>0.10277027600000005</v>
      </c>
      <c r="AH84" s="39">
        <f>(K84+H84)*60*365/1000000</f>
        <v>142.537464</v>
      </c>
      <c r="AI84" s="77">
        <f>($K84+$H84)*110*365/1000000</f>
        <v>261.31868400000002</v>
      </c>
      <c r="AJ84" s="77">
        <f>($K84+$H84)*70*365/1000000</f>
        <v>166.29370799999998</v>
      </c>
      <c r="AK84" s="77">
        <f>($K84+$H84)*10*365/1000000</f>
        <v>23.756243999999995</v>
      </c>
      <c r="AL84" s="26">
        <f>($K84+$H84)*2*365/1000000</f>
        <v>4.7512487999999999</v>
      </c>
      <c r="AM84" s="27">
        <v>0.9</v>
      </c>
      <c r="AN84" s="27">
        <v>0.75</v>
      </c>
      <c r="AO84" s="27">
        <v>0.9</v>
      </c>
      <c r="AP84" s="27">
        <v>0.1</v>
      </c>
      <c r="AQ84" s="27">
        <v>0.1</v>
      </c>
      <c r="AR84" s="26">
        <f>(S84+AH84)*AM84</f>
        <v>128.4999552216</v>
      </c>
      <c r="AS84" s="26">
        <f>(T84+AI84)*AN84</f>
        <v>196.23851794800001</v>
      </c>
      <c r="AT84" s="26">
        <f>(U84+AJ84)*AO84</f>
        <v>149.94710947439998</v>
      </c>
      <c r="AU84" s="26">
        <f>(V84+AK84)*AP84</f>
        <v>2.3802448619999996</v>
      </c>
      <c r="AV84" s="26">
        <f>(W84+AL84)*AQ84</f>
        <v>0.47604897240000005</v>
      </c>
      <c r="AW84" s="26">
        <f>S84+AH84-AR84</f>
        <v>14.277772802399994</v>
      </c>
      <c r="AX84" s="26">
        <f>T84+AI84-AS84</f>
        <v>65.412839316000003</v>
      </c>
      <c r="AY84" s="26">
        <f>U84+AJ84-AT84</f>
        <v>16.660789941600001</v>
      </c>
      <c r="AZ84" s="26">
        <f>V84+AK84-AU84</f>
        <v>21.422203757999995</v>
      </c>
      <c r="BA84" s="40">
        <f>W84+AL84-AV84</f>
        <v>4.2844407516</v>
      </c>
      <c r="BB84" s="37">
        <f>N84+AH84</f>
        <v>145.89779999999999</v>
      </c>
      <c r="BC84" s="28">
        <f>O84+AI84</f>
        <v>267.47930000000002</v>
      </c>
      <c r="BD84" s="28">
        <f>P84+AJ84</f>
        <v>170.21409999999997</v>
      </c>
      <c r="BE84" s="29">
        <f>Q84+AK84</f>
        <v>24.316299999999995</v>
      </c>
      <c r="BF84" s="29">
        <f>R84+AL84</f>
        <v>4.8632600000000004</v>
      </c>
      <c r="BG84" s="28">
        <f>AC84+AW84</f>
        <v>17.046689666399995</v>
      </c>
      <c r="BH84" s="28">
        <f>AD84+AX84</f>
        <v>70.760254004000004</v>
      </c>
      <c r="BI84" s="28">
        <f>AE84+AY84</f>
        <v>19.9343172616</v>
      </c>
      <c r="BJ84" s="29">
        <f>AF84+AZ84</f>
        <v>21.936055137999993</v>
      </c>
      <c r="BK84" s="29">
        <f>AG84+BA84</f>
        <v>4.3872110276000003</v>
      </c>
      <c r="BL84" s="28">
        <f>X84+AR84</f>
        <v>128.85111033359999</v>
      </c>
      <c r="BM84" s="28">
        <f>Y84+AS84</f>
        <v>196.71904599600001</v>
      </c>
      <c r="BN84" s="28">
        <f>Z84+AT84</f>
        <v>150.27978273839997</v>
      </c>
      <c r="BO84" s="29">
        <f>AA84+AU84</f>
        <v>2.3802448619999996</v>
      </c>
      <c r="BP84" s="30">
        <f>AB84+AV84</f>
        <v>0.47604897240000005</v>
      </c>
      <c r="BQ84" s="10">
        <v>0</v>
      </c>
      <c r="BR84" s="6">
        <v>228780</v>
      </c>
    </row>
    <row r="85" spans="1:71" x14ac:dyDescent="0.25">
      <c r="A85" s="18"/>
      <c r="B85" s="18">
        <v>76</v>
      </c>
      <c r="C85" s="19" t="s">
        <v>112</v>
      </c>
      <c r="D85" s="60">
        <v>1985</v>
      </c>
      <c r="E85" s="47" t="s">
        <v>11</v>
      </c>
      <c r="F85" s="13" t="s">
        <v>206</v>
      </c>
      <c r="G85" s="53">
        <v>2182</v>
      </c>
      <c r="H85" s="54">
        <v>0</v>
      </c>
      <c r="I85" s="50">
        <f>G85+H85</f>
        <v>2182</v>
      </c>
      <c r="J85" s="45">
        <v>0.5</v>
      </c>
      <c r="K85" s="65">
        <f>ROUND(G85*J85,2)</f>
        <v>1091</v>
      </c>
      <c r="L85" s="66">
        <f>1-J85</f>
        <v>0.5</v>
      </c>
      <c r="M85" s="67">
        <f>G85-K85</f>
        <v>1091</v>
      </c>
      <c r="N85" s="43">
        <f>M85*60*365/1000000</f>
        <v>23.892900000000001</v>
      </c>
      <c r="O85" s="92">
        <f>M85*110*365/1000000</f>
        <v>43.803649999999998</v>
      </c>
      <c r="P85" s="72">
        <f>M85*70*365/1000000</f>
        <v>27.875050000000002</v>
      </c>
      <c r="Q85" s="72">
        <f>M85*10*365/1000000</f>
        <v>3.9821499999999999</v>
      </c>
      <c r="R85" s="25">
        <f>M85*2*365/1000000</f>
        <v>0.79642999999999997</v>
      </c>
      <c r="S85" s="72">
        <f>M85*13*365/1000000*0.33</f>
        <v>1.7083423500000001</v>
      </c>
      <c r="T85" s="72">
        <f>M85*18*365/1000000*0.33</f>
        <v>2.3653971</v>
      </c>
      <c r="U85" s="72">
        <f>M85*17*365/1000000*0.33</f>
        <v>2.2339861500000002</v>
      </c>
      <c r="V85" s="72">
        <f>M85*2.5*365/1000000*0.33</f>
        <v>0.32852737500000001</v>
      </c>
      <c r="W85" s="72">
        <f>M85*0.5*365/1000000*0.33</f>
        <v>6.5705474999999999E-2</v>
      </c>
      <c r="X85" s="72">
        <f>M85*19*365/1000000*0.33</f>
        <v>2.4968080500000003</v>
      </c>
      <c r="Y85" s="72">
        <f>M85*26*365/1000000*0.33</f>
        <v>3.4166847000000002</v>
      </c>
      <c r="Z85" s="72">
        <f>M85*18*365/1000000*0.33</f>
        <v>2.3653971</v>
      </c>
      <c r="AA85" s="72">
        <f>M85*0*365/1000000*0.33</f>
        <v>0</v>
      </c>
      <c r="AB85" s="72">
        <f>M85*0*365/1000000*0.33</f>
        <v>0</v>
      </c>
      <c r="AC85" s="91">
        <f>N85-S85-X85</f>
        <v>19.687749600000004</v>
      </c>
      <c r="AD85" s="91">
        <f>O85-T85-Y85</f>
        <v>38.021568199999997</v>
      </c>
      <c r="AE85" s="91">
        <f>P85-U85-Z85</f>
        <v>23.275666750000003</v>
      </c>
      <c r="AF85" s="91">
        <f>Q85-V85-AA85</f>
        <v>3.6536226249999997</v>
      </c>
      <c r="AG85" s="91">
        <f>R85-W85-AB85</f>
        <v>0.73072452499999996</v>
      </c>
      <c r="AH85" s="39">
        <f>(K85+H85)*60*365/1000000</f>
        <v>23.892900000000001</v>
      </c>
      <c r="AI85" s="77">
        <f>($K85+$H85)*110*365/1000000</f>
        <v>43.803649999999998</v>
      </c>
      <c r="AJ85" s="77">
        <f>($K85+$H85)*70*365/1000000</f>
        <v>27.875050000000002</v>
      </c>
      <c r="AK85" s="77">
        <f>($K85+$H85)*10*365/1000000</f>
        <v>3.9821499999999999</v>
      </c>
      <c r="AL85" s="26">
        <f>($K85+$H85)*2*365/1000000</f>
        <v>0.79642999999999997</v>
      </c>
      <c r="AM85" s="27">
        <v>0.9</v>
      </c>
      <c r="AN85" s="27">
        <v>0.75</v>
      </c>
      <c r="AO85" s="27">
        <v>0.9</v>
      </c>
      <c r="AP85" s="27">
        <v>0.1</v>
      </c>
      <c r="AQ85" s="27">
        <v>0.1</v>
      </c>
      <c r="AR85" s="26">
        <f>(S85+AH85)*AM85</f>
        <v>23.041118115</v>
      </c>
      <c r="AS85" s="26">
        <f>(T85+AI85)*AN85</f>
        <v>34.626785325</v>
      </c>
      <c r="AT85" s="26">
        <f>(U85+AJ85)*AO85</f>
        <v>27.098132535000001</v>
      </c>
      <c r="AU85" s="26">
        <f>(V85+AK85)*AP85</f>
        <v>0.43106773750000005</v>
      </c>
      <c r="AV85" s="26">
        <f>(W85+AL85)*AQ85</f>
        <v>8.6213547500000001E-2</v>
      </c>
      <c r="AW85" s="26">
        <f>S85+AH85-AR85</f>
        <v>2.560124235</v>
      </c>
      <c r="AX85" s="26">
        <f>T85+AI85-AS85</f>
        <v>11.542261775</v>
      </c>
      <c r="AY85" s="26">
        <f>U85+AJ85-AT85</f>
        <v>3.0109036150000001</v>
      </c>
      <c r="AZ85" s="26">
        <f>V85+AK85-AU85</f>
        <v>3.8796096374999998</v>
      </c>
      <c r="BA85" s="40">
        <f>W85+AL85-AV85</f>
        <v>0.7759219275</v>
      </c>
      <c r="BB85" s="37">
        <f>N85+AH85</f>
        <v>47.785800000000002</v>
      </c>
      <c r="BC85" s="28">
        <f>O85+AI85</f>
        <v>87.607299999999995</v>
      </c>
      <c r="BD85" s="28">
        <f>P85+AJ85</f>
        <v>55.750100000000003</v>
      </c>
      <c r="BE85" s="29">
        <f>Q85+AK85</f>
        <v>7.9642999999999997</v>
      </c>
      <c r="BF85" s="29">
        <f>R85+AL85</f>
        <v>1.5928599999999999</v>
      </c>
      <c r="BG85" s="28">
        <f>AC85+AW85</f>
        <v>22.247873835000004</v>
      </c>
      <c r="BH85" s="28">
        <f>AD85+AX85</f>
        <v>49.563829974999997</v>
      </c>
      <c r="BI85" s="28">
        <f>AE85+AY85</f>
        <v>26.286570365000003</v>
      </c>
      <c r="BJ85" s="29">
        <f>AF85+AZ85</f>
        <v>7.5332322624999994</v>
      </c>
      <c r="BK85" s="29">
        <f>AG85+BA85</f>
        <v>1.5066464525000001</v>
      </c>
      <c r="BL85" s="28">
        <f>X85+AR85</f>
        <v>25.537926165000002</v>
      </c>
      <c r="BM85" s="28">
        <f>Y85+AS85</f>
        <v>38.043470024999998</v>
      </c>
      <c r="BN85" s="28">
        <f>Z85+AT85</f>
        <v>29.463529635</v>
      </c>
      <c r="BO85" s="29">
        <f>AA85+AU85</f>
        <v>0.43106773750000005</v>
      </c>
      <c r="BP85" s="30">
        <f>AB85+AV85</f>
        <v>8.6213547500000001E-2</v>
      </c>
      <c r="BQ85" s="10">
        <f>1475500*0.6</f>
        <v>885300</v>
      </c>
      <c r="BR85" s="6">
        <f>310200*0.6</f>
        <v>186120</v>
      </c>
      <c r="BS85" t="s">
        <v>128</v>
      </c>
    </row>
    <row r="86" spans="1:71" x14ac:dyDescent="0.25">
      <c r="A86" s="18"/>
      <c r="B86" s="18">
        <v>77</v>
      </c>
      <c r="C86" s="19" t="s">
        <v>113</v>
      </c>
      <c r="D86" s="60">
        <v>1951</v>
      </c>
      <c r="E86" s="47" t="s">
        <v>189</v>
      </c>
      <c r="F86" s="13" t="s">
        <v>206</v>
      </c>
      <c r="G86" s="53">
        <v>2497</v>
      </c>
      <c r="H86" s="54">
        <v>9</v>
      </c>
      <c r="I86" s="50">
        <f>G86+H86</f>
        <v>2506</v>
      </c>
      <c r="J86" s="45">
        <v>0.48</v>
      </c>
      <c r="K86" s="65">
        <f>ROUND(G86*J86,2)</f>
        <v>1198.56</v>
      </c>
      <c r="L86" s="66">
        <f>1-J86</f>
        <v>0.52</v>
      </c>
      <c r="M86" s="67">
        <f>G86-K86</f>
        <v>1298.44</v>
      </c>
      <c r="N86" s="43">
        <f>M86*60*365/1000000</f>
        <v>28.435836000000005</v>
      </c>
      <c r="O86" s="92">
        <f>M86*110*365/1000000</f>
        <v>52.132365999999998</v>
      </c>
      <c r="P86" s="72">
        <f>M86*70*365/1000000</f>
        <v>33.175142000000001</v>
      </c>
      <c r="Q86" s="72">
        <f>M86*10*365/1000000</f>
        <v>4.7393060000000009</v>
      </c>
      <c r="R86" s="25">
        <f>M86*2*365/1000000</f>
        <v>0.94786120000000007</v>
      </c>
      <c r="S86" s="72">
        <f>M86*13*365/1000000*0.33</f>
        <v>2.0331622740000004</v>
      </c>
      <c r="T86" s="72">
        <f>M86*18*365/1000000*0.33</f>
        <v>2.8151477640000007</v>
      </c>
      <c r="U86" s="72">
        <f>M86*17*365/1000000*0.33</f>
        <v>2.6587506660000004</v>
      </c>
      <c r="V86" s="72">
        <f>M86*2.5*365/1000000*0.33</f>
        <v>0.39099274500000009</v>
      </c>
      <c r="W86" s="72">
        <f>M86*0.5*365/1000000*0.33</f>
        <v>7.8198549000000006E-2</v>
      </c>
      <c r="X86" s="72">
        <f>M86*19*365/1000000*0.33</f>
        <v>2.9715448620000005</v>
      </c>
      <c r="Y86" s="72">
        <f>M86*26*365/1000000*0.33</f>
        <v>4.0663245480000008</v>
      </c>
      <c r="Z86" s="72">
        <f>M86*18*365/1000000*0.33</f>
        <v>2.8151477640000007</v>
      </c>
      <c r="AA86" s="72">
        <f>M86*0*365/1000000*0.33</f>
        <v>0</v>
      </c>
      <c r="AB86" s="72">
        <f>M86*0*365/1000000*0.33</f>
        <v>0</v>
      </c>
      <c r="AC86" s="91">
        <f>N86-S86-X86</f>
        <v>23.431128864000001</v>
      </c>
      <c r="AD86" s="91">
        <f>O86-T86-Y86</f>
        <v>45.250893687999991</v>
      </c>
      <c r="AE86" s="91">
        <f>P86-U86-Z86</f>
        <v>27.701243570000003</v>
      </c>
      <c r="AF86" s="91">
        <f>Q86-V86-AA86</f>
        <v>4.3483132550000008</v>
      </c>
      <c r="AG86" s="91">
        <f>R86-W86-AB86</f>
        <v>0.86966265100000006</v>
      </c>
      <c r="AH86" s="39">
        <f>(K86+H86)*60*365/1000000</f>
        <v>26.445563999999997</v>
      </c>
      <c r="AI86" s="77">
        <f>($K86+$H86)*110*365/1000000</f>
        <v>48.483533999999999</v>
      </c>
      <c r="AJ86" s="77">
        <f>($K86+$H86)*70*365/1000000</f>
        <v>30.853158000000001</v>
      </c>
      <c r="AK86" s="77">
        <f>($K86+$H86)*10*365/1000000</f>
        <v>4.4075939999999987</v>
      </c>
      <c r="AL86" s="26">
        <f>($K86+$H86)*2*365/1000000</f>
        <v>0.88151879999999994</v>
      </c>
      <c r="AM86" s="27">
        <v>0.9</v>
      </c>
      <c r="AN86" s="27">
        <v>0.75</v>
      </c>
      <c r="AO86" s="27">
        <v>0.9</v>
      </c>
      <c r="AP86" s="27">
        <v>0.1</v>
      </c>
      <c r="AQ86" s="27">
        <v>0.1</v>
      </c>
      <c r="AR86" s="26">
        <f>(S86+AH86)*AM86</f>
        <v>25.630853646599999</v>
      </c>
      <c r="AS86" s="26">
        <f>(T86+AI86)*AN86</f>
        <v>38.474011322999999</v>
      </c>
      <c r="AT86" s="26">
        <f>(U86+AJ86)*AO86</f>
        <v>30.160717799400004</v>
      </c>
      <c r="AU86" s="26">
        <f>(V86+AK86)*AP86</f>
        <v>0.47985867449999992</v>
      </c>
      <c r="AV86" s="26">
        <f>(W86+AL86)*AQ86</f>
        <v>9.5971734899999994E-2</v>
      </c>
      <c r="AW86" s="26">
        <f>S86+AH86-AR86</f>
        <v>2.8478726273999975</v>
      </c>
      <c r="AX86" s="26">
        <f>T86+AI86-AS86</f>
        <v>12.824670441000002</v>
      </c>
      <c r="AY86" s="26">
        <f>U86+AJ86-AT86</f>
        <v>3.3511908665999997</v>
      </c>
      <c r="AZ86" s="26">
        <f>V86+AK86-AU86</f>
        <v>4.3187280704999989</v>
      </c>
      <c r="BA86" s="40">
        <f>W86+AL86-AV86</f>
        <v>0.86374561409999995</v>
      </c>
      <c r="BB86" s="37">
        <f>N86+AH86</f>
        <v>54.881399999999999</v>
      </c>
      <c r="BC86" s="28">
        <f>O86+AI86</f>
        <v>100.6159</v>
      </c>
      <c r="BD86" s="28">
        <f>P86+AJ86</f>
        <v>64.028300000000002</v>
      </c>
      <c r="BE86" s="29">
        <f>Q86+AK86</f>
        <v>9.1468999999999987</v>
      </c>
      <c r="BF86" s="29">
        <f>R86+AL86</f>
        <v>1.82938</v>
      </c>
      <c r="BG86" s="28">
        <f>AC86+AW86</f>
        <v>26.279001491399999</v>
      </c>
      <c r="BH86" s="28">
        <f>AD86+AX86</f>
        <v>58.075564128999993</v>
      </c>
      <c r="BI86" s="28">
        <f>AE86+AY86</f>
        <v>31.052434436600002</v>
      </c>
      <c r="BJ86" s="29">
        <f>AF86+AZ86</f>
        <v>8.6670413254999996</v>
      </c>
      <c r="BK86" s="29">
        <f>AG86+BA86</f>
        <v>1.7334082651</v>
      </c>
      <c r="BL86" s="28">
        <f>X86+AR86</f>
        <v>28.6023985086</v>
      </c>
      <c r="BM86" s="28">
        <f>Y86+AS86</f>
        <v>42.540335870999996</v>
      </c>
      <c r="BN86" s="28">
        <f>Z86+AT86</f>
        <v>32.975865563400006</v>
      </c>
      <c r="BO86" s="29">
        <f>AA86+AU86</f>
        <v>0.47985867449999992</v>
      </c>
      <c r="BP86" s="30">
        <f>AB86+AV86</f>
        <v>9.5971734899999994E-2</v>
      </c>
      <c r="BQ86" s="10">
        <v>243015</v>
      </c>
      <c r="BR86" s="6">
        <v>33335</v>
      </c>
      <c r="BS86" t="s">
        <v>128</v>
      </c>
    </row>
    <row r="87" spans="1:71" x14ac:dyDescent="0.25">
      <c r="A87" s="18"/>
      <c r="B87" s="18">
        <v>78</v>
      </c>
      <c r="C87" s="19" t="s">
        <v>115</v>
      </c>
      <c r="D87" s="60">
        <v>1888</v>
      </c>
      <c r="E87" s="47" t="s">
        <v>190</v>
      </c>
      <c r="F87" s="13" t="s">
        <v>209</v>
      </c>
      <c r="G87" s="53">
        <v>2073</v>
      </c>
      <c r="H87" s="54">
        <v>146</v>
      </c>
      <c r="I87" s="50">
        <f>G87+H87</f>
        <v>2219</v>
      </c>
      <c r="J87" s="45">
        <v>0.16</v>
      </c>
      <c r="K87" s="65">
        <f>ROUND(G87*J87,2)</f>
        <v>331.68</v>
      </c>
      <c r="L87" s="66">
        <f>1-J87</f>
        <v>0.84</v>
      </c>
      <c r="M87" s="67">
        <f>G87-K87</f>
        <v>1741.32</v>
      </c>
      <c r="N87" s="43">
        <f>M87*60*365/1000000</f>
        <v>38.134908000000003</v>
      </c>
      <c r="O87" s="92">
        <f>M87*110*365/1000000</f>
        <v>69.913998000000007</v>
      </c>
      <c r="P87" s="72">
        <f>M87*70*365/1000000</f>
        <v>44.490726000000002</v>
      </c>
      <c r="Q87" s="72">
        <f>M87*10*365/1000000</f>
        <v>6.3558180000000002</v>
      </c>
      <c r="R87" s="25">
        <f>M87*2*365/1000000</f>
        <v>1.2711635999999999</v>
      </c>
      <c r="S87" s="72">
        <f>M87*13*365/1000000*0.33</f>
        <v>2.7266459220000003</v>
      </c>
      <c r="T87" s="72">
        <f>M87*18*365/1000000*0.33</f>
        <v>3.7753558919999999</v>
      </c>
      <c r="U87" s="72">
        <f>M87*17*365/1000000*0.33</f>
        <v>3.5656138980000001</v>
      </c>
      <c r="V87" s="72">
        <f>M87*2.5*365/1000000*0.33</f>
        <v>0.524354985</v>
      </c>
      <c r="W87" s="72">
        <f>M87*0.5*365/1000000*0.33</f>
        <v>0.10487099700000001</v>
      </c>
      <c r="X87" s="72">
        <f>M87*19*365/1000000*0.33</f>
        <v>3.9850978860000006</v>
      </c>
      <c r="Y87" s="72">
        <f>M87*26*365/1000000*0.33</f>
        <v>5.4532918440000007</v>
      </c>
      <c r="Z87" s="72">
        <f>M87*18*365/1000000*0.33</f>
        <v>3.7753558919999999</v>
      </c>
      <c r="AA87" s="72">
        <f>M87*0*365/1000000*0.33</f>
        <v>0</v>
      </c>
      <c r="AB87" s="72">
        <f>M87*0*365/1000000*0.33</f>
        <v>0</v>
      </c>
      <c r="AC87" s="91">
        <f>N87-S87-X87</f>
        <v>31.423164191999998</v>
      </c>
      <c r="AD87" s="91">
        <f>O87-T87-Y87</f>
        <v>60.685350264000014</v>
      </c>
      <c r="AE87" s="91">
        <f>P87-U87-Z87</f>
        <v>37.14975621</v>
      </c>
      <c r="AF87" s="91">
        <f>Q87-V87-AA87</f>
        <v>5.8314630150000006</v>
      </c>
      <c r="AG87" s="91">
        <f>R87-W87-AB87</f>
        <v>1.166292603</v>
      </c>
      <c r="AH87" s="39">
        <f>(K87+H87)*60*365/1000000</f>
        <v>10.461192</v>
      </c>
      <c r="AI87" s="77">
        <f>($K87+$H87)*110*365/1000000</f>
        <v>19.178851999999999</v>
      </c>
      <c r="AJ87" s="77">
        <f>($K87+$H87)*70*365/1000000</f>
        <v>12.204724000000001</v>
      </c>
      <c r="AK87" s="77">
        <f>($K87+$H87)*10*365/1000000</f>
        <v>1.7435320000000001</v>
      </c>
      <c r="AL87" s="26">
        <f>($K87+$H87)*2*365/1000000</f>
        <v>0.34870640000000003</v>
      </c>
      <c r="AM87" s="27">
        <v>0.9</v>
      </c>
      <c r="AN87" s="27">
        <v>0.75</v>
      </c>
      <c r="AO87" s="27">
        <v>0.9</v>
      </c>
      <c r="AP87" s="27">
        <v>0.1</v>
      </c>
      <c r="AQ87" s="27">
        <v>0.1</v>
      </c>
      <c r="AR87" s="26">
        <f>(S87+AH87)*AM87</f>
        <v>11.8690541298</v>
      </c>
      <c r="AS87" s="26">
        <f>(T87+AI87)*AN87</f>
        <v>17.215655919</v>
      </c>
      <c r="AT87" s="26">
        <f>(U87+AJ87)*AO87</f>
        <v>14.193304108200001</v>
      </c>
      <c r="AU87" s="26">
        <f>(V87+AK87)*AP87</f>
        <v>0.22678869850000002</v>
      </c>
      <c r="AV87" s="26">
        <f>(W87+AL87)*AQ87</f>
        <v>4.535773970000001E-2</v>
      </c>
      <c r="AW87" s="26">
        <f>S87+AH87-AR87</f>
        <v>1.3187837921999996</v>
      </c>
      <c r="AX87" s="26">
        <f>T87+AI87-AS87</f>
        <v>5.7385519729999999</v>
      </c>
      <c r="AY87" s="26">
        <f>U87+AJ87-AT87</f>
        <v>1.5770337897999998</v>
      </c>
      <c r="AZ87" s="26">
        <f>V87+AK87-AU87</f>
        <v>2.0410982865</v>
      </c>
      <c r="BA87" s="40">
        <f>W87+AL87-AV87</f>
        <v>0.40821965730000004</v>
      </c>
      <c r="BB87" s="37">
        <f>N87+AH87</f>
        <v>48.596100000000007</v>
      </c>
      <c r="BC87" s="28">
        <f>O87+AI87</f>
        <v>89.092849999999999</v>
      </c>
      <c r="BD87" s="28">
        <f>P87+AJ87</f>
        <v>56.695450000000001</v>
      </c>
      <c r="BE87" s="29">
        <f>Q87+AK87</f>
        <v>8.0993500000000012</v>
      </c>
      <c r="BF87" s="29">
        <f>R87+AL87</f>
        <v>1.6198699999999999</v>
      </c>
      <c r="BG87" s="28">
        <f>AC87+AW87</f>
        <v>32.741947984199996</v>
      </c>
      <c r="BH87" s="28">
        <f>AD87+AX87</f>
        <v>66.423902237000021</v>
      </c>
      <c r="BI87" s="28">
        <f>AE87+AY87</f>
        <v>38.726789999799998</v>
      </c>
      <c r="BJ87" s="29">
        <f>AF87+AZ87</f>
        <v>7.8725613015000011</v>
      </c>
      <c r="BK87" s="29">
        <f>AG87+BA87</f>
        <v>1.5745122603000001</v>
      </c>
      <c r="BL87" s="28">
        <f>X87+AR87</f>
        <v>15.8541520158</v>
      </c>
      <c r="BM87" s="28">
        <f>Y87+AS87</f>
        <v>22.668947762999998</v>
      </c>
      <c r="BN87" s="28">
        <f>Z87+AT87</f>
        <v>17.9686600002</v>
      </c>
      <c r="BO87" s="29">
        <f>AA87+AU87</f>
        <v>0.22678869850000002</v>
      </c>
      <c r="BP87" s="30">
        <f>AB87+AV87</f>
        <v>4.535773970000001E-2</v>
      </c>
      <c r="BQ87" s="10">
        <v>1335300</v>
      </c>
      <c r="BR87" s="6">
        <v>155600</v>
      </c>
      <c r="BS87" t="s">
        <v>128</v>
      </c>
    </row>
    <row r="88" spans="1:71" ht="90" x14ac:dyDescent="0.25">
      <c r="A88" s="18"/>
      <c r="B88" s="18">
        <v>79</v>
      </c>
      <c r="C88" s="19" t="s">
        <v>116</v>
      </c>
      <c r="D88" s="60">
        <v>1730</v>
      </c>
      <c r="E88" s="57" t="s">
        <v>191</v>
      </c>
      <c r="F88" s="14" t="s">
        <v>209</v>
      </c>
      <c r="G88" s="53">
        <v>1936</v>
      </c>
      <c r="H88" s="54">
        <v>0</v>
      </c>
      <c r="I88" s="50">
        <f>G88+H88</f>
        <v>1936</v>
      </c>
      <c r="J88" s="45">
        <v>0.32</v>
      </c>
      <c r="K88" s="65">
        <f>ROUND(G88*J88,2)</f>
        <v>619.52</v>
      </c>
      <c r="L88" s="66">
        <f>1-J88</f>
        <v>0.67999999999999994</v>
      </c>
      <c r="M88" s="67">
        <f>G88-K88</f>
        <v>1316.48</v>
      </c>
      <c r="N88" s="43">
        <f>M88*60*365/1000000</f>
        <v>28.830912000000001</v>
      </c>
      <c r="O88" s="92">
        <f>M88*110*365/1000000</f>
        <v>52.856671999999989</v>
      </c>
      <c r="P88" s="72">
        <f>M88*70*365/1000000</f>
        <v>33.636063999999998</v>
      </c>
      <c r="Q88" s="72">
        <f>M88*10*365/1000000</f>
        <v>4.8051519999999996</v>
      </c>
      <c r="R88" s="25">
        <f>M88*2*365/1000000</f>
        <v>0.96103040000000006</v>
      </c>
      <c r="S88" s="72">
        <f>M88*13*365/1000000*0.33</f>
        <v>2.0614102080000003</v>
      </c>
      <c r="T88" s="72">
        <f>M88*18*365/1000000*0.33</f>
        <v>2.8542602879999999</v>
      </c>
      <c r="U88" s="72">
        <f>M88*17*365/1000000*0.33</f>
        <v>2.6956902720000002</v>
      </c>
      <c r="V88" s="72">
        <f>M88*2.5*365/1000000*0.33</f>
        <v>0.39642504000000001</v>
      </c>
      <c r="W88" s="72">
        <f>M88*0.5*365/1000000*0.33</f>
        <v>7.9285008000000004E-2</v>
      </c>
      <c r="X88" s="72">
        <f>M88*19*365/1000000*0.33</f>
        <v>3.0128303039999995</v>
      </c>
      <c r="Y88" s="72">
        <f>M88*26*365/1000000*0.33</f>
        <v>4.1228204160000006</v>
      </c>
      <c r="Z88" s="72">
        <f>M88*18*365/1000000*0.33</f>
        <v>2.8542602879999999</v>
      </c>
      <c r="AA88" s="72">
        <f>M88*0*365/1000000*0.33</f>
        <v>0</v>
      </c>
      <c r="AB88" s="72">
        <f>M88*0*365/1000000*0.33</f>
        <v>0</v>
      </c>
      <c r="AC88" s="91">
        <f>N88-S88-X88</f>
        <v>23.756671488000002</v>
      </c>
      <c r="AD88" s="91">
        <f>O88-T88-Y88</f>
        <v>45.879591295999987</v>
      </c>
      <c r="AE88" s="91">
        <f>P88-U88-Z88</f>
        <v>28.086113439999998</v>
      </c>
      <c r="AF88" s="91">
        <f>Q88-V88-AA88</f>
        <v>4.4087269599999992</v>
      </c>
      <c r="AG88" s="91">
        <f>R88-W88-AB88</f>
        <v>0.88174539200000002</v>
      </c>
      <c r="AH88" s="39">
        <f>(K88+H88)*60*365/1000000</f>
        <v>13.567487999999997</v>
      </c>
      <c r="AI88" s="77">
        <f>($K88+$H88)*110*365/1000000</f>
        <v>24.873728</v>
      </c>
      <c r="AJ88" s="77">
        <f>($K88+$H88)*70*365/1000000</f>
        <v>15.828735999999999</v>
      </c>
      <c r="AK88" s="77">
        <f>($K88+$H88)*10*365/1000000</f>
        <v>2.2612480000000001</v>
      </c>
      <c r="AL88" s="26">
        <f>($K88+$H88)*2*365/1000000</f>
        <v>0.45224959999999997</v>
      </c>
      <c r="AM88" s="27">
        <v>0.9</v>
      </c>
      <c r="AN88" s="27">
        <v>0.75</v>
      </c>
      <c r="AO88" s="27">
        <v>0.9</v>
      </c>
      <c r="AP88" s="27">
        <v>0.1</v>
      </c>
      <c r="AQ88" s="27">
        <v>0.1</v>
      </c>
      <c r="AR88" s="26">
        <f>(S88+AH88)*AM88</f>
        <v>14.066008387199998</v>
      </c>
      <c r="AS88" s="26">
        <f>(T88+AI88)*AN88</f>
        <v>20.795991215999997</v>
      </c>
      <c r="AT88" s="26">
        <f>(U88+AJ88)*AO88</f>
        <v>16.671983644800001</v>
      </c>
      <c r="AU88" s="26">
        <f>(V88+AK88)*AP88</f>
        <v>0.26576730400000004</v>
      </c>
      <c r="AV88" s="26">
        <f>(W88+AL88)*AQ88</f>
        <v>5.3153460799999996E-2</v>
      </c>
      <c r="AW88" s="26">
        <f>S88+AH88-AR88</f>
        <v>1.5628898207999988</v>
      </c>
      <c r="AX88" s="26">
        <f>T88+AI88-AS88</f>
        <v>6.9319970720000015</v>
      </c>
      <c r="AY88" s="26">
        <f>U88+AJ88-AT88</f>
        <v>1.8524426271999985</v>
      </c>
      <c r="AZ88" s="26">
        <f>V88+AK88-AU88</f>
        <v>2.391905736</v>
      </c>
      <c r="BA88" s="40">
        <f>W88+AL88-AV88</f>
        <v>0.47838114719999997</v>
      </c>
      <c r="BB88" s="37">
        <f>N88+AH88</f>
        <v>42.398399999999995</v>
      </c>
      <c r="BC88" s="28">
        <f>O88+AI88</f>
        <v>77.730399999999989</v>
      </c>
      <c r="BD88" s="28">
        <f>P88+AJ88</f>
        <v>49.464799999999997</v>
      </c>
      <c r="BE88" s="29">
        <f>Q88+AK88</f>
        <v>7.0663999999999998</v>
      </c>
      <c r="BF88" s="29">
        <f>R88+AL88</f>
        <v>1.4132800000000001</v>
      </c>
      <c r="BG88" s="28">
        <f>AC88+AW88</f>
        <v>25.319561308800001</v>
      </c>
      <c r="BH88" s="28">
        <f>AD88+AX88</f>
        <v>52.811588367999988</v>
      </c>
      <c r="BI88" s="28">
        <f>AE88+AY88</f>
        <v>29.938556067199997</v>
      </c>
      <c r="BJ88" s="29">
        <f>AF88+AZ88</f>
        <v>6.8006326959999992</v>
      </c>
      <c r="BK88" s="29">
        <f>AG88+BA88</f>
        <v>1.3601265391999999</v>
      </c>
      <c r="BL88" s="28">
        <f>X88+AR88</f>
        <v>17.078838691199998</v>
      </c>
      <c r="BM88" s="28">
        <f>Y88+AS88</f>
        <v>24.918811631999997</v>
      </c>
      <c r="BN88" s="28">
        <f>Z88+AT88</f>
        <v>19.5262439328</v>
      </c>
      <c r="BO88" s="29">
        <f>AA88+AU88</f>
        <v>0.26576730400000004</v>
      </c>
      <c r="BP88" s="30">
        <f>AB88+AV88</f>
        <v>5.3153460799999996E-2</v>
      </c>
      <c r="BQ88" s="10">
        <v>1748218</v>
      </c>
      <c r="BR88" s="6">
        <v>132400</v>
      </c>
      <c r="BS88" t="s">
        <v>192</v>
      </c>
    </row>
    <row r="89" spans="1:71" ht="75" x14ac:dyDescent="0.25">
      <c r="A89" s="18"/>
      <c r="B89" s="18">
        <v>80</v>
      </c>
      <c r="C89" s="19" t="s">
        <v>117</v>
      </c>
      <c r="D89" s="60">
        <v>1706</v>
      </c>
      <c r="E89" s="57" t="s">
        <v>197</v>
      </c>
      <c r="F89" s="14" t="s">
        <v>207</v>
      </c>
      <c r="G89" s="53">
        <v>2047</v>
      </c>
      <c r="H89" s="54">
        <v>0</v>
      </c>
      <c r="I89" s="50">
        <f>G89+H89</f>
        <v>2047</v>
      </c>
      <c r="J89" s="45">
        <v>0.55000000000000004</v>
      </c>
      <c r="K89" s="65">
        <f>ROUND(G89*J89,2)</f>
        <v>1125.8499999999999</v>
      </c>
      <c r="L89" s="66">
        <f>1-J89</f>
        <v>0.44999999999999996</v>
      </c>
      <c r="M89" s="67">
        <f>G89-K89</f>
        <v>921.15000000000009</v>
      </c>
      <c r="N89" s="43">
        <f>M89*60*365/1000000</f>
        <v>20.173185000000004</v>
      </c>
      <c r="O89" s="92">
        <f>M89*110*365/1000000</f>
        <v>36.984172500000007</v>
      </c>
      <c r="P89" s="72">
        <f>M89*70*365/1000000</f>
        <v>23.535382500000004</v>
      </c>
      <c r="Q89" s="72">
        <f>M89*10*365/1000000</f>
        <v>3.3621975000000002</v>
      </c>
      <c r="R89" s="25">
        <f>M89*2*365/1000000</f>
        <v>0.67243950000000008</v>
      </c>
      <c r="S89" s="72">
        <f>M89*13*365/1000000*0.33</f>
        <v>1.4423827275000001</v>
      </c>
      <c r="T89" s="72">
        <f>M89*18*365/1000000*0.33</f>
        <v>1.997145315</v>
      </c>
      <c r="U89" s="72">
        <f>M89*17*365/1000000*0.33</f>
        <v>1.8861927975000001</v>
      </c>
      <c r="V89" s="72">
        <f>M89*2.5*365/1000000*0.33</f>
        <v>0.27738129375000004</v>
      </c>
      <c r="W89" s="72">
        <f>M89*0.5*365/1000000*0.33</f>
        <v>5.5476258750000007E-2</v>
      </c>
      <c r="X89" s="72">
        <f>M89*19*365/1000000*0.33</f>
        <v>2.1080978325000004</v>
      </c>
      <c r="Y89" s="72">
        <f>M89*26*365/1000000*0.33</f>
        <v>2.8847654550000001</v>
      </c>
      <c r="Z89" s="72">
        <f>M89*18*365/1000000*0.33</f>
        <v>1.997145315</v>
      </c>
      <c r="AA89" s="72">
        <f>M89*0*365/1000000*0.33</f>
        <v>0</v>
      </c>
      <c r="AB89" s="72">
        <f>M89*0*365/1000000*0.33</f>
        <v>0</v>
      </c>
      <c r="AC89" s="91">
        <f>N89-S89-X89</f>
        <v>16.622704440000003</v>
      </c>
      <c r="AD89" s="91">
        <f>O89-T89-Y89</f>
        <v>32.102261730000009</v>
      </c>
      <c r="AE89" s="91">
        <f>P89-U89-Z89</f>
        <v>19.652044387500002</v>
      </c>
      <c r="AF89" s="91">
        <f>Q89-V89-AA89</f>
        <v>3.0848162062500002</v>
      </c>
      <c r="AG89" s="91">
        <f>R89-W89-AB89</f>
        <v>0.61696324125000013</v>
      </c>
      <c r="AH89" s="39">
        <f>(K89+H89)*60*365/1000000</f>
        <v>24.656115</v>
      </c>
      <c r="AI89" s="77">
        <f>($K89+$H89)*110*365/1000000</f>
        <v>45.202877499999992</v>
      </c>
      <c r="AJ89" s="77">
        <f>($K89+$H89)*70*365/1000000</f>
        <v>28.7654675</v>
      </c>
      <c r="AK89" s="77">
        <f>($K89+$H89)*10*365/1000000</f>
        <v>4.1093525</v>
      </c>
      <c r="AL89" s="26">
        <f>($K89+$H89)*2*365/1000000</f>
        <v>0.82187049999999984</v>
      </c>
      <c r="AM89" s="27">
        <v>0.9</v>
      </c>
      <c r="AN89" s="27">
        <v>0.75</v>
      </c>
      <c r="AO89" s="27">
        <v>0.9</v>
      </c>
      <c r="AP89" s="27">
        <v>0.1</v>
      </c>
      <c r="AQ89" s="27">
        <v>0.1</v>
      </c>
      <c r="AR89" s="26">
        <f>(S89+AH89)*AM89</f>
        <v>23.48864795475</v>
      </c>
      <c r="AS89" s="26">
        <f>(T89+AI89)*AN89</f>
        <v>35.400017111249994</v>
      </c>
      <c r="AT89" s="26">
        <f>(U89+AJ89)*AO89</f>
        <v>27.586494267750002</v>
      </c>
      <c r="AU89" s="26">
        <f>(V89+AK89)*AP89</f>
        <v>0.43867337937500006</v>
      </c>
      <c r="AV89" s="26">
        <f>(W89+AL89)*AQ89</f>
        <v>8.7734675875000001E-2</v>
      </c>
      <c r="AW89" s="26">
        <f>S89+AH89-AR89</f>
        <v>2.6098497727499996</v>
      </c>
      <c r="AX89" s="26">
        <f>T89+AI89-AS89</f>
        <v>11.800005703749996</v>
      </c>
      <c r="AY89" s="26">
        <f>U89+AJ89-AT89</f>
        <v>3.0651660297499994</v>
      </c>
      <c r="AZ89" s="26">
        <f>V89+AK89-AU89</f>
        <v>3.9480604143750004</v>
      </c>
      <c r="BA89" s="40">
        <f>W89+AL89-AV89</f>
        <v>0.78961208287499995</v>
      </c>
      <c r="BB89" s="37">
        <f>N89+AH89</f>
        <v>44.829300000000003</v>
      </c>
      <c r="BC89" s="28">
        <f>O89+AI89</f>
        <v>82.187049999999999</v>
      </c>
      <c r="BD89" s="28">
        <f>P89+AJ89</f>
        <v>52.300850000000004</v>
      </c>
      <c r="BE89" s="29">
        <f>Q89+AK89</f>
        <v>7.4715500000000006</v>
      </c>
      <c r="BF89" s="29">
        <f>R89+AL89</f>
        <v>1.49431</v>
      </c>
      <c r="BG89" s="28">
        <f>AC89+AW89</f>
        <v>19.232554212750003</v>
      </c>
      <c r="BH89" s="28">
        <f>AD89+AX89</f>
        <v>43.902267433750005</v>
      </c>
      <c r="BI89" s="28">
        <f>AE89+AY89</f>
        <v>22.717210417250001</v>
      </c>
      <c r="BJ89" s="29">
        <f>AF89+AZ89</f>
        <v>7.0328766206250002</v>
      </c>
      <c r="BK89" s="29">
        <f>AG89+BA89</f>
        <v>1.4065753241250001</v>
      </c>
      <c r="BL89" s="28">
        <f>X89+AR89</f>
        <v>25.596745787250001</v>
      </c>
      <c r="BM89" s="28">
        <f>Y89+AS89</f>
        <v>38.284782566249994</v>
      </c>
      <c r="BN89" s="28">
        <f>Z89+AT89</f>
        <v>29.583639582750003</v>
      </c>
      <c r="BO89" s="29">
        <f>AA89+AU89</f>
        <v>0.43867337937500006</v>
      </c>
      <c r="BP89" s="30">
        <f>AB89+AV89</f>
        <v>8.7734675875000001E-2</v>
      </c>
      <c r="BQ89" s="10">
        <v>281006</v>
      </c>
      <c r="BR89" s="6">
        <v>80776</v>
      </c>
      <c r="BS89" t="s">
        <v>128</v>
      </c>
    </row>
    <row r="90" spans="1:71" x14ac:dyDescent="0.25">
      <c r="A90" s="18"/>
      <c r="B90" s="18">
        <v>81</v>
      </c>
      <c r="C90" s="19" t="s">
        <v>118</v>
      </c>
      <c r="D90" s="60">
        <v>1679</v>
      </c>
      <c r="E90" s="47" t="s">
        <v>193</v>
      </c>
      <c r="F90" s="13" t="s">
        <v>209</v>
      </c>
      <c r="G90" s="53">
        <v>2094</v>
      </c>
      <c r="H90" s="54">
        <v>615</v>
      </c>
      <c r="I90" s="50">
        <f>G90+H90</f>
        <v>2709</v>
      </c>
      <c r="J90" s="45">
        <v>0.48</v>
      </c>
      <c r="K90" s="65">
        <f>ROUND(G90*J90,2)</f>
        <v>1005.12</v>
      </c>
      <c r="L90" s="66">
        <f>1-J90</f>
        <v>0.52</v>
      </c>
      <c r="M90" s="67">
        <f>G90-K90</f>
        <v>1088.8800000000001</v>
      </c>
      <c r="N90" s="43">
        <f>M90*60*365/1000000</f>
        <v>23.846471999999999</v>
      </c>
      <c r="O90" s="92">
        <f>M90*110*365/1000000</f>
        <v>43.71853200000001</v>
      </c>
      <c r="P90" s="72">
        <f>M90*70*365/1000000</f>
        <v>27.820884000000003</v>
      </c>
      <c r="Q90" s="72">
        <f>M90*10*365/1000000</f>
        <v>3.9744120000000005</v>
      </c>
      <c r="R90" s="25">
        <f>M90*2*365/1000000</f>
        <v>0.79488239999999999</v>
      </c>
      <c r="S90" s="72">
        <f>M90*13*365/1000000*0.33</f>
        <v>1.7050227480000004</v>
      </c>
      <c r="T90" s="72">
        <f>M90*18*365/1000000*0.33</f>
        <v>2.3608007280000005</v>
      </c>
      <c r="U90" s="72">
        <f>M90*17*365/1000000*0.33</f>
        <v>2.2296451320000004</v>
      </c>
      <c r="V90" s="72">
        <f>M90*2.5*365/1000000*0.33</f>
        <v>0.32788899000000005</v>
      </c>
      <c r="W90" s="72">
        <f>M90*0.5*365/1000000*0.33</f>
        <v>6.5577798000000007E-2</v>
      </c>
      <c r="X90" s="72">
        <f>M90*19*365/1000000*0.33</f>
        <v>2.4919563240000002</v>
      </c>
      <c r="Y90" s="72">
        <f>M90*26*365/1000000*0.33</f>
        <v>3.4100454960000008</v>
      </c>
      <c r="Z90" s="72">
        <f>M90*18*365/1000000*0.33</f>
        <v>2.3608007280000005</v>
      </c>
      <c r="AA90" s="72">
        <f>M90*0*365/1000000*0.33</f>
        <v>0</v>
      </c>
      <c r="AB90" s="72">
        <f>M90*0*365/1000000*0.33</f>
        <v>0</v>
      </c>
      <c r="AC90" s="91">
        <f>N90-S90-X90</f>
        <v>19.649492927999997</v>
      </c>
      <c r="AD90" s="91">
        <f>O90-T90-Y90</f>
        <v>37.947685776000007</v>
      </c>
      <c r="AE90" s="91">
        <f>P90-U90-Z90</f>
        <v>23.23043814</v>
      </c>
      <c r="AF90" s="91">
        <f>Q90-V90-AA90</f>
        <v>3.6465230100000006</v>
      </c>
      <c r="AG90" s="91">
        <f>R90-W90-AB90</f>
        <v>0.72930460200000002</v>
      </c>
      <c r="AH90" s="39">
        <f>(K90+H90)*60*365/1000000</f>
        <v>35.480628000000003</v>
      </c>
      <c r="AI90" s="77">
        <f>($K90+$H90)*110*365/1000000</f>
        <v>65.047817999999992</v>
      </c>
      <c r="AJ90" s="77">
        <f>($K90+$H90)*70*365/1000000</f>
        <v>41.394066000000002</v>
      </c>
      <c r="AK90" s="77">
        <f>($K90+$H90)*10*365/1000000</f>
        <v>5.9134380000000002</v>
      </c>
      <c r="AL90" s="26">
        <f>($K90+$H90)*2*365/1000000</f>
        <v>1.1826876</v>
      </c>
      <c r="AM90" s="27">
        <v>0.9</v>
      </c>
      <c r="AN90" s="27">
        <v>0.75</v>
      </c>
      <c r="AO90" s="27">
        <v>0.9</v>
      </c>
      <c r="AP90" s="27">
        <v>0.1</v>
      </c>
      <c r="AQ90" s="27">
        <v>0.1</v>
      </c>
      <c r="AR90" s="26">
        <f>(S90+AH90)*AM90</f>
        <v>33.467085673200003</v>
      </c>
      <c r="AS90" s="26">
        <f>(T90+AI90)*AN90</f>
        <v>50.556464045999995</v>
      </c>
      <c r="AT90" s="26">
        <f>(U90+AJ90)*AO90</f>
        <v>39.261340018800006</v>
      </c>
      <c r="AU90" s="26">
        <f>(V90+AK90)*AP90</f>
        <v>0.62413269900000001</v>
      </c>
      <c r="AV90" s="26">
        <f>(W90+AL90)*AQ90</f>
        <v>0.12482653980000001</v>
      </c>
      <c r="AW90" s="26">
        <f>S90+AH90-AR90</f>
        <v>3.7185650747999972</v>
      </c>
      <c r="AX90" s="26">
        <f>T90+AI90-AS90</f>
        <v>16.852154681999998</v>
      </c>
      <c r="AY90" s="26">
        <f>U90+AJ90-AT90</f>
        <v>4.3623711131999983</v>
      </c>
      <c r="AZ90" s="26">
        <f>V90+AK90-AU90</f>
        <v>5.6171942910000006</v>
      </c>
      <c r="BA90" s="40">
        <f>W90+AL90-AV90</f>
        <v>1.1234388582000001</v>
      </c>
      <c r="BB90" s="37">
        <f>N90+AH90</f>
        <v>59.327100000000002</v>
      </c>
      <c r="BC90" s="28">
        <f>O90+AI90</f>
        <v>108.76635</v>
      </c>
      <c r="BD90" s="28">
        <f>P90+AJ90</f>
        <v>69.214950000000002</v>
      </c>
      <c r="BE90" s="29">
        <f>Q90+AK90</f>
        <v>9.8878500000000003</v>
      </c>
      <c r="BF90" s="29">
        <f>R90+AL90</f>
        <v>1.9775700000000001</v>
      </c>
      <c r="BG90" s="28">
        <f>AC90+AW90</f>
        <v>23.368058002799994</v>
      </c>
      <c r="BH90" s="28">
        <f>AD90+AX90</f>
        <v>54.799840458000006</v>
      </c>
      <c r="BI90" s="28">
        <f>AE90+AY90</f>
        <v>27.592809253199999</v>
      </c>
      <c r="BJ90" s="29">
        <f>AF90+AZ90</f>
        <v>9.2637173010000016</v>
      </c>
      <c r="BK90" s="29">
        <f>AG90+BA90</f>
        <v>1.8527434602000001</v>
      </c>
      <c r="BL90" s="28">
        <f>X90+AR90</f>
        <v>35.959041997200003</v>
      </c>
      <c r="BM90" s="28">
        <f>Y90+AS90</f>
        <v>53.966509541999997</v>
      </c>
      <c r="BN90" s="28">
        <f>Z90+AT90</f>
        <v>41.622140746800007</v>
      </c>
      <c r="BO90" s="29">
        <f>AA90+AU90</f>
        <v>0.62413269900000001</v>
      </c>
      <c r="BP90" s="30">
        <f>AB90+AV90</f>
        <v>0.12482653980000001</v>
      </c>
      <c r="BQ90" s="10">
        <v>224655</v>
      </c>
      <c r="BR90" s="6">
        <v>133755</v>
      </c>
      <c r="BS90" t="s">
        <v>128</v>
      </c>
    </row>
    <row r="91" spans="1:71" ht="60" x14ac:dyDescent="0.25">
      <c r="A91" s="18"/>
      <c r="B91" s="18">
        <v>82</v>
      </c>
      <c r="C91" s="19" t="s">
        <v>119</v>
      </c>
      <c r="D91" s="60">
        <v>1673</v>
      </c>
      <c r="E91" s="57" t="s">
        <v>194</v>
      </c>
      <c r="F91" s="14" t="s">
        <v>206</v>
      </c>
      <c r="G91" s="53">
        <v>1996</v>
      </c>
      <c r="H91" s="54">
        <v>0</v>
      </c>
      <c r="I91" s="50">
        <f>G91+H91</f>
        <v>1996</v>
      </c>
      <c r="J91" s="45">
        <v>0.45</v>
      </c>
      <c r="K91" s="65">
        <f>ROUND(G91*J91,2)</f>
        <v>898.2</v>
      </c>
      <c r="L91" s="66">
        <f>1-J91</f>
        <v>0.55000000000000004</v>
      </c>
      <c r="M91" s="67">
        <f>G91-K91</f>
        <v>1097.8</v>
      </c>
      <c r="N91" s="43">
        <f>M91*60*365/1000000</f>
        <v>24.041820000000001</v>
      </c>
      <c r="O91" s="92">
        <f>M91*110*365/1000000</f>
        <v>44.07667</v>
      </c>
      <c r="P91" s="72">
        <f>M91*70*365/1000000</f>
        <v>28.04879</v>
      </c>
      <c r="Q91" s="72">
        <f>M91*10*365/1000000</f>
        <v>4.0069699999999999</v>
      </c>
      <c r="R91" s="25">
        <f>M91*2*365/1000000</f>
        <v>0.80139400000000005</v>
      </c>
      <c r="S91" s="72">
        <f>M91*13*365/1000000*0.33</f>
        <v>1.7189901300000001</v>
      </c>
      <c r="T91" s="72">
        <f>M91*18*365/1000000*0.33</f>
        <v>2.3801401799999997</v>
      </c>
      <c r="U91" s="72">
        <f>M91*17*365/1000000*0.33</f>
        <v>2.2479101699999995</v>
      </c>
      <c r="V91" s="72">
        <f>M91*2.5*365/1000000*0.33</f>
        <v>0.33057502500000002</v>
      </c>
      <c r="W91" s="72">
        <f>M91*0.5*365/1000000*0.33</f>
        <v>6.6115005000000004E-2</v>
      </c>
      <c r="X91" s="72">
        <f>M91*19*365/1000000*0.33</f>
        <v>2.5123701899999999</v>
      </c>
      <c r="Y91" s="72">
        <f>M91*26*365/1000000*0.33</f>
        <v>3.4379802600000002</v>
      </c>
      <c r="Z91" s="72">
        <f>M91*18*365/1000000*0.33</f>
        <v>2.3801401799999997</v>
      </c>
      <c r="AA91" s="72">
        <f>M91*0*365/1000000*0.33</f>
        <v>0</v>
      </c>
      <c r="AB91" s="72">
        <f>M91*0*365/1000000*0.33</f>
        <v>0</v>
      </c>
      <c r="AC91" s="91">
        <f>N91-S91-X91</f>
        <v>19.810459680000001</v>
      </c>
      <c r="AD91" s="91">
        <f>O91-T91-Y91</f>
        <v>38.258549559999999</v>
      </c>
      <c r="AE91" s="91">
        <f>P91-U91-Z91</f>
        <v>23.420739650000002</v>
      </c>
      <c r="AF91" s="91">
        <f>Q91-V91-AA91</f>
        <v>3.676394975</v>
      </c>
      <c r="AG91" s="91">
        <f>R91-W91-AB91</f>
        <v>0.73527899500000005</v>
      </c>
      <c r="AH91" s="39">
        <f>(K91+H91)*60*365/1000000</f>
        <v>19.670580000000001</v>
      </c>
      <c r="AI91" s="77">
        <f>($K91+$H91)*110*365/1000000</f>
        <v>36.062730000000002</v>
      </c>
      <c r="AJ91" s="77">
        <f>($K91+$H91)*70*365/1000000</f>
        <v>22.949010000000001</v>
      </c>
      <c r="AK91" s="77">
        <f>($K91+$H91)*10*365/1000000</f>
        <v>3.2784300000000002</v>
      </c>
      <c r="AL91" s="26">
        <f>($K91+$H91)*2*365/1000000</f>
        <v>0.65568599999999999</v>
      </c>
      <c r="AM91" s="27">
        <v>0.9</v>
      </c>
      <c r="AN91" s="27">
        <v>0.75</v>
      </c>
      <c r="AO91" s="27">
        <v>0.9</v>
      </c>
      <c r="AP91" s="27">
        <v>0.1</v>
      </c>
      <c r="AQ91" s="27">
        <v>0.1</v>
      </c>
      <c r="AR91" s="26">
        <f>(S91+AH91)*AM91</f>
        <v>19.250613117000004</v>
      </c>
      <c r="AS91" s="26">
        <f>(T91+AI91)*AN91</f>
        <v>28.832152635</v>
      </c>
      <c r="AT91" s="26">
        <f>(U91+AJ91)*AO91</f>
        <v>22.677228153000001</v>
      </c>
      <c r="AU91" s="26">
        <f>(V91+AK91)*AP91</f>
        <v>0.36090050250000005</v>
      </c>
      <c r="AV91" s="26">
        <f>(W91+AL91)*AQ91</f>
        <v>7.2180100499999997E-2</v>
      </c>
      <c r="AW91" s="26">
        <f>S91+AH91-AR91</f>
        <v>2.1389570129999989</v>
      </c>
      <c r="AX91" s="26">
        <f>T91+AI91-AS91</f>
        <v>9.610717545</v>
      </c>
      <c r="AY91" s="26">
        <f>U91+AJ91-AT91</f>
        <v>2.5196920170000006</v>
      </c>
      <c r="AZ91" s="26">
        <f>V91+AK91-AU91</f>
        <v>3.2481045225000003</v>
      </c>
      <c r="BA91" s="40">
        <f>W91+AL91-AV91</f>
        <v>0.64962090449999998</v>
      </c>
      <c r="BB91" s="37">
        <f>N91+AH91</f>
        <v>43.712400000000002</v>
      </c>
      <c r="BC91" s="28">
        <f>O91+AI91</f>
        <v>80.139399999999995</v>
      </c>
      <c r="BD91" s="28">
        <f>P91+AJ91</f>
        <v>50.997799999999998</v>
      </c>
      <c r="BE91" s="29">
        <f>Q91+AK91</f>
        <v>7.2854000000000001</v>
      </c>
      <c r="BF91" s="29">
        <f>R91+AL91</f>
        <v>1.4570799999999999</v>
      </c>
      <c r="BG91" s="28">
        <f>AC91+AW91</f>
        <v>21.949416693</v>
      </c>
      <c r="BH91" s="28">
        <f>AD91+AX91</f>
        <v>47.869267104999999</v>
      </c>
      <c r="BI91" s="28">
        <f>AE91+AY91</f>
        <v>25.940431667000002</v>
      </c>
      <c r="BJ91" s="29">
        <f>AF91+AZ91</f>
        <v>6.9244994975000003</v>
      </c>
      <c r="BK91" s="29">
        <f>AG91+BA91</f>
        <v>1.3848998995000001</v>
      </c>
      <c r="BL91" s="28">
        <f>X91+AR91</f>
        <v>21.762983307000002</v>
      </c>
      <c r="BM91" s="28">
        <f>Y91+AS91</f>
        <v>32.270132895000003</v>
      </c>
      <c r="BN91" s="28">
        <f>Z91+AT91</f>
        <v>25.057368332999999</v>
      </c>
      <c r="BO91" s="29">
        <f>AA91+AU91</f>
        <v>0.36090050250000005</v>
      </c>
      <c r="BP91" s="30">
        <f>AB91+AV91</f>
        <v>7.2180100499999997E-2</v>
      </c>
      <c r="BQ91" s="10">
        <f>755650+16000+31850</f>
        <v>803500</v>
      </c>
      <c r="BR91" s="6">
        <v>214000</v>
      </c>
      <c r="BS91" t="s">
        <v>128</v>
      </c>
    </row>
    <row r="92" spans="1:71" x14ac:dyDescent="0.25">
      <c r="A92" s="18"/>
      <c r="B92" s="18">
        <v>83</v>
      </c>
      <c r="C92" s="19" t="s">
        <v>120</v>
      </c>
      <c r="D92" s="60">
        <v>1619</v>
      </c>
      <c r="E92" s="57" t="s">
        <v>200</v>
      </c>
      <c r="F92" s="14" t="s">
        <v>206</v>
      </c>
      <c r="G92" s="53">
        <v>1981</v>
      </c>
      <c r="H92" s="54">
        <v>35</v>
      </c>
      <c r="I92" s="50">
        <f>G92+H92</f>
        <v>2016</v>
      </c>
      <c r="J92" s="45">
        <v>0.32</v>
      </c>
      <c r="K92" s="65">
        <f>ROUND(G92*J92,2)</f>
        <v>633.91999999999996</v>
      </c>
      <c r="L92" s="66">
        <f>1-J92</f>
        <v>0.67999999999999994</v>
      </c>
      <c r="M92" s="67">
        <f>G92-K92</f>
        <v>1347.08</v>
      </c>
      <c r="N92" s="43">
        <f>M92*60*365/1000000</f>
        <v>29.501051999999998</v>
      </c>
      <c r="O92" s="92">
        <f>M92*110*365/1000000</f>
        <v>54.085261999999993</v>
      </c>
      <c r="P92" s="72">
        <f>M92*70*365/1000000</f>
        <v>34.417893999999997</v>
      </c>
      <c r="Q92" s="72">
        <f>M92*10*365/1000000</f>
        <v>4.9168419999999999</v>
      </c>
      <c r="R92" s="25">
        <f>M92*2*365/1000000</f>
        <v>0.98336839999999992</v>
      </c>
      <c r="S92" s="72">
        <f>M92*13*365/1000000*0.33</f>
        <v>2.1093252180000004</v>
      </c>
      <c r="T92" s="72">
        <f>M92*18*365/1000000*0.33</f>
        <v>2.9206041480000002</v>
      </c>
      <c r="U92" s="72">
        <f>M92*17*365/1000000*0.33</f>
        <v>2.758348362</v>
      </c>
      <c r="V92" s="72">
        <f>M92*2.5*365/1000000*0.33</f>
        <v>0.40563946500000003</v>
      </c>
      <c r="W92" s="72">
        <f>M92*0.5*365/1000000*0.33</f>
        <v>8.1127892999999993E-2</v>
      </c>
      <c r="X92" s="72">
        <f>M92*19*365/1000000*0.33</f>
        <v>3.0828599339999996</v>
      </c>
      <c r="Y92" s="72">
        <f>M92*26*365/1000000*0.33</f>
        <v>4.2186504360000008</v>
      </c>
      <c r="Z92" s="72">
        <f>M92*18*365/1000000*0.33</f>
        <v>2.9206041480000002</v>
      </c>
      <c r="AA92" s="72">
        <f>M92*0*365/1000000*0.33</f>
        <v>0</v>
      </c>
      <c r="AB92" s="72">
        <f>M92*0*365/1000000*0.33</f>
        <v>0</v>
      </c>
      <c r="AC92" s="91">
        <f>N92-S92-X92</f>
        <v>24.308866848000001</v>
      </c>
      <c r="AD92" s="91">
        <f>O92-T92-Y92</f>
        <v>46.946007415999986</v>
      </c>
      <c r="AE92" s="91">
        <f>P92-U92-Z92</f>
        <v>28.738941489999998</v>
      </c>
      <c r="AF92" s="91">
        <f>Q92-V92-AA92</f>
        <v>4.5112025349999998</v>
      </c>
      <c r="AG92" s="91">
        <f>R92-W92-AB92</f>
        <v>0.90224050699999991</v>
      </c>
      <c r="AH92" s="39">
        <f>(K92+H92)*60*365/1000000</f>
        <v>14.649347999999998</v>
      </c>
      <c r="AI92" s="77">
        <f>($K92+$H92)*110*365/1000000</f>
        <v>26.857137999999999</v>
      </c>
      <c r="AJ92" s="77">
        <f>($K92+$H92)*70*365/1000000</f>
        <v>17.090905999999997</v>
      </c>
      <c r="AK92" s="77">
        <f>($K92+$H92)*10*365/1000000</f>
        <v>2.4415580000000001</v>
      </c>
      <c r="AL92" s="26">
        <f>($K92+$H92)*2*365/1000000</f>
        <v>0.48831159999999996</v>
      </c>
      <c r="AM92" s="27">
        <v>0.9</v>
      </c>
      <c r="AN92" s="27">
        <v>0.75</v>
      </c>
      <c r="AO92" s="27">
        <v>0.9</v>
      </c>
      <c r="AP92" s="27">
        <v>0.1</v>
      </c>
      <c r="AQ92" s="27">
        <v>0.1</v>
      </c>
      <c r="AR92" s="26">
        <f>(S92+AH92)*AM92</f>
        <v>15.082805896199998</v>
      </c>
      <c r="AS92" s="26">
        <f>(T92+AI92)*AN92</f>
        <v>22.333306610999998</v>
      </c>
      <c r="AT92" s="26">
        <f>(U92+AJ92)*AO92</f>
        <v>17.864328925799999</v>
      </c>
      <c r="AU92" s="26">
        <f>(V92+AK92)*AP92</f>
        <v>0.28471974650000004</v>
      </c>
      <c r="AV92" s="26">
        <f>(W92+AL92)*AQ92</f>
        <v>5.6943949299999998E-2</v>
      </c>
      <c r="AW92" s="26">
        <f>S92+AH92-AR92</f>
        <v>1.6758673218000002</v>
      </c>
      <c r="AX92" s="26">
        <f>T92+AI92-AS92</f>
        <v>7.4444355370000004</v>
      </c>
      <c r="AY92" s="26">
        <f>U92+AJ92-AT92</f>
        <v>1.9849254361999975</v>
      </c>
      <c r="AZ92" s="26">
        <f>V92+AK92-AU92</f>
        <v>2.5624777185000003</v>
      </c>
      <c r="BA92" s="40">
        <f>W92+AL92-AV92</f>
        <v>0.51249554369999994</v>
      </c>
      <c r="BB92" s="37">
        <f>N92+AH92</f>
        <v>44.150399999999998</v>
      </c>
      <c r="BC92" s="28">
        <f>O92+AI92</f>
        <v>80.942399999999992</v>
      </c>
      <c r="BD92" s="28">
        <f>P92+AJ92</f>
        <v>51.508799999999994</v>
      </c>
      <c r="BE92" s="29">
        <f>Q92+AK92</f>
        <v>7.3583999999999996</v>
      </c>
      <c r="BF92" s="29">
        <f>R92+AL92</f>
        <v>1.4716799999999999</v>
      </c>
      <c r="BG92" s="28">
        <f>AC92+AW92</f>
        <v>25.984734169799999</v>
      </c>
      <c r="BH92" s="28">
        <f>AD92+AX92</f>
        <v>54.39044295299999</v>
      </c>
      <c r="BI92" s="28">
        <f>AE92+AY92</f>
        <v>30.723866926199996</v>
      </c>
      <c r="BJ92" s="29">
        <f>AF92+AZ92</f>
        <v>7.0736802535000001</v>
      </c>
      <c r="BK92" s="29">
        <f>AG92+BA92</f>
        <v>1.4147360506999997</v>
      </c>
      <c r="BL92" s="28">
        <f>X92+AR92</f>
        <v>18.165665830199998</v>
      </c>
      <c r="BM92" s="28">
        <f>Y92+AS92</f>
        <v>26.551957046999998</v>
      </c>
      <c r="BN92" s="28">
        <f>Z92+AT92</f>
        <v>20.784933073799998</v>
      </c>
      <c r="BO92" s="29">
        <f>AA92+AU92</f>
        <v>0.28471974650000004</v>
      </c>
      <c r="BP92" s="30">
        <f>AB92+AV92</f>
        <v>5.6943949299999998E-2</v>
      </c>
      <c r="BQ92" s="10">
        <v>579500</v>
      </c>
      <c r="BR92" s="6">
        <v>16000</v>
      </c>
      <c r="BS92" t="s">
        <v>128</v>
      </c>
    </row>
    <row r="93" spans="1:71" x14ac:dyDescent="0.25">
      <c r="A93" s="18"/>
      <c r="B93" s="18">
        <v>84</v>
      </c>
      <c r="C93" s="19" t="s">
        <v>121</v>
      </c>
      <c r="D93" s="60">
        <v>1534</v>
      </c>
      <c r="E93" s="47" t="s">
        <v>195</v>
      </c>
      <c r="F93" s="13" t="s">
        <v>206</v>
      </c>
      <c r="G93" s="53">
        <v>1871</v>
      </c>
      <c r="H93" s="53">
        <v>18700</v>
      </c>
      <c r="I93" s="50">
        <f>G93+H93</f>
        <v>20571</v>
      </c>
      <c r="J93" s="45">
        <v>0.56000000000000005</v>
      </c>
      <c r="K93" s="65">
        <f>ROUND(G93*J93,2)</f>
        <v>1047.76</v>
      </c>
      <c r="L93" s="66">
        <f>1-J93</f>
        <v>0.43999999999999995</v>
      </c>
      <c r="M93" s="67">
        <f>G93-K93</f>
        <v>823.24</v>
      </c>
      <c r="N93" s="43">
        <f>M93*60*365/1000000</f>
        <v>18.028956000000001</v>
      </c>
      <c r="O93" s="92">
        <f>M93*110*365/1000000</f>
        <v>33.053085999999993</v>
      </c>
      <c r="P93" s="72">
        <f>M93*70*365/1000000</f>
        <v>21.033781999999999</v>
      </c>
      <c r="Q93" s="72">
        <f>M93*10*365/1000000</f>
        <v>3.004826</v>
      </c>
      <c r="R93" s="25">
        <f>M93*2*365/1000000</f>
        <v>0.60096519999999998</v>
      </c>
      <c r="S93" s="72">
        <f>M93*13*365/1000000*0.33</f>
        <v>1.2890703540000001</v>
      </c>
      <c r="T93" s="72">
        <f>M93*18*365/1000000*0.33</f>
        <v>1.7848666440000001</v>
      </c>
      <c r="U93" s="72">
        <f>M93*17*365/1000000*0.33</f>
        <v>1.6857073860000003</v>
      </c>
      <c r="V93" s="72">
        <f>M93*2.5*365/1000000*0.33</f>
        <v>0.24789814500000001</v>
      </c>
      <c r="W93" s="72">
        <f>M93*0.5*365/1000000*0.33</f>
        <v>4.9579629E-2</v>
      </c>
      <c r="X93" s="72">
        <f>M93*19*365/1000000*0.33</f>
        <v>1.8840259019999999</v>
      </c>
      <c r="Y93" s="72">
        <f>M93*26*365/1000000*0.33</f>
        <v>2.5781407080000003</v>
      </c>
      <c r="Z93" s="72">
        <f>M93*18*365/1000000*0.33</f>
        <v>1.7848666440000001</v>
      </c>
      <c r="AA93" s="72">
        <f>M93*0*365/1000000*0.33</f>
        <v>0</v>
      </c>
      <c r="AB93" s="72">
        <f>M93*0*365/1000000*0.33</f>
        <v>0</v>
      </c>
      <c r="AC93" s="91">
        <f>N93-S93-X93</f>
        <v>14.855859744000002</v>
      </c>
      <c r="AD93" s="91">
        <f>O93-T93-Y93</f>
        <v>28.690078647999993</v>
      </c>
      <c r="AE93" s="91">
        <f>P93-U93-Z93</f>
        <v>17.563207969999997</v>
      </c>
      <c r="AF93" s="91">
        <f>Q93-V93-AA93</f>
        <v>2.7569278549999998</v>
      </c>
      <c r="AG93" s="91">
        <f>R93-W93-AB93</f>
        <v>0.55138557099999996</v>
      </c>
      <c r="AH93" s="39">
        <f>(K93+H93)*60*365/1000000</f>
        <v>432.47594399999991</v>
      </c>
      <c r="AI93" s="77">
        <f>($K93+$H93)*110*365/1000000</f>
        <v>792.8725639999999</v>
      </c>
      <c r="AJ93" s="77">
        <f>($K93+$H93)*70*365/1000000</f>
        <v>504.55526800000001</v>
      </c>
      <c r="AK93" s="77">
        <f>($K93+$H93)*10*365/1000000</f>
        <v>72.079323999999986</v>
      </c>
      <c r="AL93" s="26">
        <f>($K93+$H93)*2*365/1000000</f>
        <v>14.4158648</v>
      </c>
      <c r="AM93" s="27">
        <v>0.9</v>
      </c>
      <c r="AN93" s="27">
        <v>0.75</v>
      </c>
      <c r="AO93" s="27">
        <v>0.9</v>
      </c>
      <c r="AP93" s="27">
        <v>0.1</v>
      </c>
      <c r="AQ93" s="27">
        <v>0.1</v>
      </c>
      <c r="AR93" s="26">
        <f>(S93+AH93)*AM93</f>
        <v>390.38851291859993</v>
      </c>
      <c r="AS93" s="26">
        <f>(T93+AI93)*AN93</f>
        <v>595.99307298299993</v>
      </c>
      <c r="AT93" s="26">
        <f>(U93+AJ93)*AO93</f>
        <v>455.61687784740002</v>
      </c>
      <c r="AU93" s="26">
        <f>(V93+AK93)*AP93</f>
        <v>7.2327222144999981</v>
      </c>
      <c r="AV93" s="26">
        <f>(W93+AL93)*AQ93</f>
        <v>1.4465444429000001</v>
      </c>
      <c r="AW93" s="26">
        <f>S93+AH93-AR93</f>
        <v>43.376501435399973</v>
      </c>
      <c r="AX93" s="26">
        <f>T93+AI93-AS93</f>
        <v>198.66435766099994</v>
      </c>
      <c r="AY93" s="26">
        <f>U93+AJ93-AT93</f>
        <v>50.624097538599983</v>
      </c>
      <c r="AZ93" s="26">
        <f>V93+AK93-AU93</f>
        <v>65.094499930499978</v>
      </c>
      <c r="BA93" s="40">
        <f>W93+AL93-AV93</f>
        <v>13.018899986099999</v>
      </c>
      <c r="BB93" s="37">
        <f>N93+AH93</f>
        <v>450.50489999999991</v>
      </c>
      <c r="BC93" s="28">
        <f>O93+AI93</f>
        <v>825.92564999999991</v>
      </c>
      <c r="BD93" s="28">
        <f>P93+AJ93</f>
        <v>525.58905000000004</v>
      </c>
      <c r="BE93" s="29">
        <f>Q93+AK93</f>
        <v>75.08414999999998</v>
      </c>
      <c r="BF93" s="29">
        <f>R93+AL93</f>
        <v>15.016829999999999</v>
      </c>
      <c r="BG93" s="28">
        <f>AC93+AW93</f>
        <v>58.232361179399973</v>
      </c>
      <c r="BH93" s="28">
        <f>AD93+AX93</f>
        <v>227.35443630899994</v>
      </c>
      <c r="BI93" s="28">
        <f>AE93+AY93</f>
        <v>68.187305508599977</v>
      </c>
      <c r="BJ93" s="29">
        <f>AF93+AZ93</f>
        <v>67.851427785499979</v>
      </c>
      <c r="BK93" s="29">
        <f>AG93+BA93</f>
        <v>13.5702855571</v>
      </c>
      <c r="BL93" s="28">
        <f>X93+AR93</f>
        <v>392.27253882059995</v>
      </c>
      <c r="BM93" s="28">
        <f>Y93+AS93</f>
        <v>598.57121369099991</v>
      </c>
      <c r="BN93" s="28">
        <f>Z93+AT93</f>
        <v>457.4017444914</v>
      </c>
      <c r="BO93" s="29">
        <f>AA93+AU93</f>
        <v>7.2327222144999981</v>
      </c>
      <c r="BP93" s="30">
        <f>AB93+AV93</f>
        <v>1.4465444429000001</v>
      </c>
      <c r="BQ93" s="10">
        <v>0</v>
      </c>
      <c r="BR93" s="6">
        <v>32000</v>
      </c>
      <c r="BS93" t="s">
        <v>170</v>
      </c>
    </row>
    <row r="94" spans="1:71" x14ac:dyDescent="0.25">
      <c r="A94" s="18"/>
      <c r="B94" s="18">
        <v>85</v>
      </c>
      <c r="C94" s="19" t="s">
        <v>122</v>
      </c>
      <c r="D94" s="60">
        <v>1443</v>
      </c>
      <c r="E94" s="47" t="s">
        <v>196</v>
      </c>
      <c r="F94" s="13" t="s">
        <v>206</v>
      </c>
      <c r="G94" s="53">
        <v>1859</v>
      </c>
      <c r="H94" s="54">
        <v>325</v>
      </c>
      <c r="I94" s="50">
        <f>G94+H94</f>
        <v>2184</v>
      </c>
      <c r="J94" s="45">
        <v>0.3</v>
      </c>
      <c r="K94" s="65">
        <f>ROUND(G94*J94,2)</f>
        <v>557.70000000000005</v>
      </c>
      <c r="L94" s="66">
        <f>1-J94</f>
        <v>0.7</v>
      </c>
      <c r="M94" s="67">
        <f>G94-K94</f>
        <v>1301.3</v>
      </c>
      <c r="N94" s="43">
        <f>M94*60*365/1000000</f>
        <v>28.498470000000001</v>
      </c>
      <c r="O94" s="92">
        <f>M94*110*365/1000000</f>
        <v>52.247194999999998</v>
      </c>
      <c r="P94" s="72">
        <f>M94*70*365/1000000</f>
        <v>33.248215000000002</v>
      </c>
      <c r="Q94" s="72">
        <f>M94*10*365/1000000</f>
        <v>4.7497449999999999</v>
      </c>
      <c r="R94" s="25">
        <f>M94*2*365/1000000</f>
        <v>0.94994900000000004</v>
      </c>
      <c r="S94" s="72">
        <f>M94*13*365/1000000*0.33</f>
        <v>2.037640605</v>
      </c>
      <c r="T94" s="72">
        <f>M94*18*365/1000000*0.33</f>
        <v>2.8213485299999999</v>
      </c>
      <c r="U94" s="72">
        <f>M94*17*365/1000000*0.33</f>
        <v>2.6646069450000001</v>
      </c>
      <c r="V94" s="72">
        <f>M94*2.5*365/1000000*0.33</f>
        <v>0.39185396249999999</v>
      </c>
      <c r="W94" s="72">
        <f>M94*0.5*365/1000000*0.33</f>
        <v>7.8370792500000008E-2</v>
      </c>
      <c r="X94" s="72">
        <f>M94*19*365/1000000*0.33</f>
        <v>2.9780901150000001</v>
      </c>
      <c r="Y94" s="72">
        <f>M94*26*365/1000000*0.33</f>
        <v>4.07528121</v>
      </c>
      <c r="Z94" s="72">
        <f>M94*18*365/1000000*0.33</f>
        <v>2.8213485299999999</v>
      </c>
      <c r="AA94" s="72">
        <f>M94*0*365/1000000*0.33</f>
        <v>0</v>
      </c>
      <c r="AB94" s="72">
        <f>M94*0*365/1000000*0.33</f>
        <v>0</v>
      </c>
      <c r="AC94" s="91">
        <f>N94-S94-X94</f>
        <v>23.482739280000001</v>
      </c>
      <c r="AD94" s="91">
        <f>O94-T94-Y94</f>
        <v>45.350565259999996</v>
      </c>
      <c r="AE94" s="91">
        <f>P94-U94-Z94</f>
        <v>27.762259525000005</v>
      </c>
      <c r="AF94" s="91">
        <f>Q94-V94-AA94</f>
        <v>4.3578910375</v>
      </c>
      <c r="AG94" s="91">
        <f>R94-W94-AB94</f>
        <v>0.87157820750000004</v>
      </c>
      <c r="AH94" s="39">
        <f>(K94+H94)*60*365/1000000</f>
        <v>19.331130000000002</v>
      </c>
      <c r="AI94" s="77">
        <f>($K94+$H94)*110*365/1000000</f>
        <v>35.440404999999998</v>
      </c>
      <c r="AJ94" s="77">
        <f>($K94+$H94)*70*365/1000000</f>
        <v>22.552985</v>
      </c>
      <c r="AK94" s="77">
        <f>($K94+$H94)*10*365/1000000</f>
        <v>3.2218550000000001</v>
      </c>
      <c r="AL94" s="26">
        <f>($K94+$H94)*2*365/1000000</f>
        <v>0.64437100000000003</v>
      </c>
      <c r="AM94" s="27">
        <v>0.9</v>
      </c>
      <c r="AN94" s="27">
        <v>0.75</v>
      </c>
      <c r="AO94" s="27">
        <v>0.9</v>
      </c>
      <c r="AP94" s="27">
        <v>0.1</v>
      </c>
      <c r="AQ94" s="27">
        <v>0.1</v>
      </c>
      <c r="AR94" s="26">
        <f>(S94+AH94)*AM94</f>
        <v>19.231893544500004</v>
      </c>
      <c r="AS94" s="26">
        <f>(T94+AI94)*AN94</f>
        <v>28.696315147500002</v>
      </c>
      <c r="AT94" s="26">
        <f>(U94+AJ94)*AO94</f>
        <v>22.695832750499999</v>
      </c>
      <c r="AU94" s="26">
        <f>(V94+AK94)*AP94</f>
        <v>0.36137089625000002</v>
      </c>
      <c r="AV94" s="26">
        <f>(W94+AL94)*AQ94</f>
        <v>7.2274179250000001E-2</v>
      </c>
      <c r="AW94" s="26">
        <f>S94+AH94-AR94</f>
        <v>2.136877060499998</v>
      </c>
      <c r="AX94" s="26">
        <f>T94+AI94-AS94</f>
        <v>9.5654383824999982</v>
      </c>
      <c r="AY94" s="26">
        <f>U94+AJ94-AT94</f>
        <v>2.5217591944999995</v>
      </c>
      <c r="AZ94" s="26">
        <f>V94+AK94-AU94</f>
        <v>3.2523380662500001</v>
      </c>
      <c r="BA94" s="40">
        <f>W94+AL94-AV94</f>
        <v>0.65046761325000002</v>
      </c>
      <c r="BB94" s="37">
        <f>N94+AH94</f>
        <v>47.829599999999999</v>
      </c>
      <c r="BC94" s="28">
        <f>O94+AI94</f>
        <v>87.687600000000003</v>
      </c>
      <c r="BD94" s="28">
        <f>P94+AJ94</f>
        <v>55.801200000000001</v>
      </c>
      <c r="BE94" s="29">
        <f>Q94+AK94</f>
        <v>7.9716000000000005</v>
      </c>
      <c r="BF94" s="29">
        <f>R94+AL94</f>
        <v>1.5943200000000002</v>
      </c>
      <c r="BG94" s="28">
        <f>AC94+AW94</f>
        <v>25.619616340499999</v>
      </c>
      <c r="BH94" s="28">
        <f>AD94+AX94</f>
        <v>54.916003642499994</v>
      </c>
      <c r="BI94" s="28">
        <f>AE94+AY94</f>
        <v>30.284018719500004</v>
      </c>
      <c r="BJ94" s="29">
        <f>AF94+AZ94</f>
        <v>7.6102291037500001</v>
      </c>
      <c r="BK94" s="29">
        <f>AG94+BA94</f>
        <v>1.5220458207500001</v>
      </c>
      <c r="BL94" s="28">
        <f>X94+AR94</f>
        <v>22.209983659500004</v>
      </c>
      <c r="BM94" s="28">
        <f>Y94+AS94</f>
        <v>32.771596357500002</v>
      </c>
      <c r="BN94" s="28">
        <f>Z94+AT94</f>
        <v>25.517181280499997</v>
      </c>
      <c r="BO94" s="29">
        <f>AA94+AU94</f>
        <v>0.36137089625000002</v>
      </c>
      <c r="BP94" s="30">
        <f>AB94+AV94</f>
        <v>7.2274179250000001E-2</v>
      </c>
      <c r="BQ94" s="10">
        <f>683949+165000</f>
        <v>848949</v>
      </c>
      <c r="BR94" s="6">
        <v>144000</v>
      </c>
      <c r="BS94" t="s">
        <v>128</v>
      </c>
    </row>
    <row r="95" spans="1:71" x14ac:dyDescent="0.25">
      <c r="A95" s="18"/>
      <c r="B95" s="18">
        <v>86</v>
      </c>
      <c r="C95" s="19" t="s">
        <v>123</v>
      </c>
      <c r="D95" s="60">
        <v>1325</v>
      </c>
      <c r="E95" s="47" t="s">
        <v>165</v>
      </c>
      <c r="F95" s="13" t="s">
        <v>208</v>
      </c>
      <c r="G95" s="53">
        <v>1558</v>
      </c>
      <c r="H95" s="54">
        <v>16</v>
      </c>
      <c r="I95" s="50">
        <f>G95+H95</f>
        <v>1574</v>
      </c>
      <c r="J95" s="45">
        <v>0.39</v>
      </c>
      <c r="K95" s="65">
        <f>ROUND(G95*J95,2)</f>
        <v>607.62</v>
      </c>
      <c r="L95" s="66">
        <f>1-J95</f>
        <v>0.61</v>
      </c>
      <c r="M95" s="67">
        <f>G95-K95</f>
        <v>950.38</v>
      </c>
      <c r="N95" s="43">
        <f>M95*60*365/1000000</f>
        <v>20.813321999999999</v>
      </c>
      <c r="O95" s="92">
        <f>M95*110*365/1000000</f>
        <v>38.157756999999997</v>
      </c>
      <c r="P95" s="72">
        <f>M95*70*365/1000000</f>
        <v>24.282209000000005</v>
      </c>
      <c r="Q95" s="72">
        <f>M95*10*365/1000000</f>
        <v>3.4688869999999996</v>
      </c>
      <c r="R95" s="25">
        <f>M95*2*365/1000000</f>
        <v>0.69377739999999999</v>
      </c>
      <c r="S95" s="72">
        <f>M95*13*365/1000000*0.33</f>
        <v>1.4881525230000003</v>
      </c>
      <c r="T95" s="72">
        <f>M95*18*365/1000000*0.33</f>
        <v>2.0605188779999999</v>
      </c>
      <c r="U95" s="72">
        <f>M95*17*365/1000000*0.33</f>
        <v>1.9460456069999998</v>
      </c>
      <c r="V95" s="72">
        <f>M95*2.5*365/1000000*0.33</f>
        <v>0.2861831775</v>
      </c>
      <c r="W95" s="72">
        <f>M95*0.5*365/1000000*0.33</f>
        <v>5.7236635500000001E-2</v>
      </c>
      <c r="X95" s="72">
        <f>M95*19*365/1000000*0.33</f>
        <v>2.1749921490000004</v>
      </c>
      <c r="Y95" s="72">
        <f>M95*26*365/1000000*0.33</f>
        <v>2.9763050460000007</v>
      </c>
      <c r="Z95" s="72">
        <f>M95*18*365/1000000*0.33</f>
        <v>2.0605188779999999</v>
      </c>
      <c r="AA95" s="72">
        <f>M95*0*365/1000000*0.33</f>
        <v>0</v>
      </c>
      <c r="AB95" s="72">
        <f>M95*0*365/1000000*0.33</f>
        <v>0</v>
      </c>
      <c r="AC95" s="91">
        <f>N95-S95-X95</f>
        <v>17.150177327999998</v>
      </c>
      <c r="AD95" s="91">
        <f>O95-T95-Y95</f>
        <v>33.120933075999993</v>
      </c>
      <c r="AE95" s="91">
        <f>P95-U95-Z95</f>
        <v>20.275644515000007</v>
      </c>
      <c r="AF95" s="91">
        <f>Q95-V95-AA95</f>
        <v>3.1827038224999997</v>
      </c>
      <c r="AG95" s="91">
        <f>R95-W95-AB95</f>
        <v>0.63654076449999997</v>
      </c>
      <c r="AH95" s="39">
        <f>(K95+H95)*60*365/1000000</f>
        <v>13.657277999999998</v>
      </c>
      <c r="AI95" s="77">
        <f>($K95+$H95)*110*365/1000000</f>
        <v>25.038343000000001</v>
      </c>
      <c r="AJ95" s="77">
        <f>($K95+$H95)*70*365/1000000</f>
        <v>15.933491</v>
      </c>
      <c r="AK95" s="77">
        <f>($K95+$H95)*10*365/1000000</f>
        <v>2.2762129999999998</v>
      </c>
      <c r="AL95" s="26">
        <f>($K95+$H95)*2*365/1000000</f>
        <v>0.4552426</v>
      </c>
      <c r="AM95" s="27">
        <v>0.9</v>
      </c>
      <c r="AN95" s="27">
        <v>0.75</v>
      </c>
      <c r="AO95" s="27">
        <v>0.9</v>
      </c>
      <c r="AP95" s="27">
        <v>0.1</v>
      </c>
      <c r="AQ95" s="27">
        <v>0.1</v>
      </c>
      <c r="AR95" s="26">
        <f>(S95+AH95)*AM95</f>
        <v>13.630887470699999</v>
      </c>
      <c r="AS95" s="26">
        <f>(T95+AI95)*AN95</f>
        <v>20.324146408499999</v>
      </c>
      <c r="AT95" s="26">
        <f>(U95+AJ95)*AO95</f>
        <v>16.091582946300001</v>
      </c>
      <c r="AU95" s="26">
        <f>(V95+AK95)*AP95</f>
        <v>0.25623961774999998</v>
      </c>
      <c r="AV95" s="26">
        <f>(W95+AL95)*AQ95</f>
        <v>5.1247923549999998E-2</v>
      </c>
      <c r="AW95" s="26">
        <f>S95+AH95-AR95</f>
        <v>1.5145430522999987</v>
      </c>
      <c r="AX95" s="26">
        <f>T95+AI95-AS95</f>
        <v>6.774715469500002</v>
      </c>
      <c r="AY95" s="26">
        <f>U95+AJ95-AT95</f>
        <v>1.7879536606999977</v>
      </c>
      <c r="AZ95" s="26">
        <f>V95+AK95-AU95</f>
        <v>2.3061565597499998</v>
      </c>
      <c r="BA95" s="40">
        <f>W95+AL95-AV95</f>
        <v>0.46123131194999994</v>
      </c>
      <c r="BB95" s="37">
        <f>N95+AH95</f>
        <v>34.470599999999997</v>
      </c>
      <c r="BC95" s="28">
        <f>O95+AI95</f>
        <v>63.196100000000001</v>
      </c>
      <c r="BD95" s="28">
        <f>P95+AJ95</f>
        <v>40.215700000000005</v>
      </c>
      <c r="BE95" s="29">
        <f>Q95+AK95</f>
        <v>5.745099999999999</v>
      </c>
      <c r="BF95" s="29">
        <f>R95+AL95</f>
        <v>1.1490199999999999</v>
      </c>
      <c r="BG95" s="28">
        <f>AC95+AW95</f>
        <v>18.664720380299997</v>
      </c>
      <c r="BH95" s="28">
        <f>AD95+AX95</f>
        <v>39.895648545499995</v>
      </c>
      <c r="BI95" s="28">
        <f>AE95+AY95</f>
        <v>22.063598175700005</v>
      </c>
      <c r="BJ95" s="29">
        <f>AF95+AZ95</f>
        <v>5.4888603822499995</v>
      </c>
      <c r="BK95" s="29">
        <f>AG95+BA95</f>
        <v>1.0977720764499999</v>
      </c>
      <c r="BL95" s="28">
        <f>X95+AR95</f>
        <v>15.805879619700001</v>
      </c>
      <c r="BM95" s="28">
        <f>Y95+AS95</f>
        <v>23.300451454499999</v>
      </c>
      <c r="BN95" s="28">
        <f>Z95+AT95</f>
        <v>18.152101824300001</v>
      </c>
      <c r="BO95" s="29">
        <f>AA95+AU95</f>
        <v>0.25623961774999998</v>
      </c>
      <c r="BP95" s="30">
        <f>AB95+AV95</f>
        <v>5.1247923549999998E-2</v>
      </c>
      <c r="BQ95" s="10">
        <v>192000</v>
      </c>
      <c r="BR95" s="6">
        <v>501350</v>
      </c>
      <c r="BS95" t="s">
        <v>159</v>
      </c>
    </row>
    <row r="96" spans="1:71" x14ac:dyDescent="0.25">
      <c r="A96" s="18"/>
      <c r="B96" s="18">
        <v>87</v>
      </c>
      <c r="C96" s="19" t="s">
        <v>124</v>
      </c>
      <c r="D96" s="60">
        <v>1280</v>
      </c>
      <c r="E96" s="47" t="s">
        <v>13</v>
      </c>
      <c r="F96" s="13" t="s">
        <v>208</v>
      </c>
      <c r="G96" s="53">
        <v>1934</v>
      </c>
      <c r="H96" s="53">
        <v>1454</v>
      </c>
      <c r="I96" s="50">
        <f>G96+H96</f>
        <v>3388</v>
      </c>
      <c r="J96" s="45">
        <v>0.3</v>
      </c>
      <c r="K96" s="65">
        <f>ROUND(G96*J96,2)</f>
        <v>580.20000000000005</v>
      </c>
      <c r="L96" s="66">
        <f>1-J96</f>
        <v>0.7</v>
      </c>
      <c r="M96" s="67">
        <f>G96-K96</f>
        <v>1353.8</v>
      </c>
      <c r="N96" s="43">
        <f>M96*60*365/1000000</f>
        <v>29.648219999999998</v>
      </c>
      <c r="O96" s="92">
        <f>M96*110*365/1000000</f>
        <v>54.355069999999998</v>
      </c>
      <c r="P96" s="72">
        <f>M96*70*365/1000000</f>
        <v>34.589590000000001</v>
      </c>
      <c r="Q96" s="72">
        <f>M96*10*365/1000000</f>
        <v>4.94137</v>
      </c>
      <c r="R96" s="25">
        <f>M96*2*365/1000000</f>
        <v>0.98827399999999999</v>
      </c>
      <c r="S96" s="72">
        <f>M96*13*365/1000000*0.33</f>
        <v>2.1198477299999996</v>
      </c>
      <c r="T96" s="72">
        <f>M96*18*365/1000000*0.33</f>
        <v>2.93517378</v>
      </c>
      <c r="U96" s="72">
        <f>M96*17*365/1000000*0.33</f>
        <v>2.7721085699999999</v>
      </c>
      <c r="V96" s="72">
        <f>M96*2.5*365/1000000*0.33</f>
        <v>0.40766302500000001</v>
      </c>
      <c r="W96" s="72">
        <f>M96*0.5*365/1000000*0.33</f>
        <v>8.1532605000000008E-2</v>
      </c>
      <c r="X96" s="72">
        <f>M96*19*365/1000000*0.33</f>
        <v>3.09823899</v>
      </c>
      <c r="Y96" s="72">
        <f>M96*26*365/1000000*0.33</f>
        <v>4.2396954599999992</v>
      </c>
      <c r="Z96" s="72">
        <f>M96*18*365/1000000*0.33</f>
        <v>2.93517378</v>
      </c>
      <c r="AA96" s="72">
        <f>M96*0*365/1000000*0.33</f>
        <v>0</v>
      </c>
      <c r="AB96" s="72">
        <f>M96*0*365/1000000*0.33</f>
        <v>0</v>
      </c>
      <c r="AC96" s="91">
        <f>N96-S96-X96</f>
        <v>24.43013328</v>
      </c>
      <c r="AD96" s="91">
        <f>O96-T96-Y96</f>
        <v>47.180200759999998</v>
      </c>
      <c r="AE96" s="91">
        <f>P96-U96-Z96</f>
        <v>28.882307650000001</v>
      </c>
      <c r="AF96" s="91">
        <f>Q96-V96-AA96</f>
        <v>4.5337069750000003</v>
      </c>
      <c r="AG96" s="91">
        <f>R96-W96-AB96</f>
        <v>0.90674139499999995</v>
      </c>
      <c r="AH96" s="39">
        <f>(K96+H96)*60*365/1000000</f>
        <v>44.54898</v>
      </c>
      <c r="AI96" s="77">
        <f>($K96+$H96)*110*365/1000000</f>
        <v>81.67313</v>
      </c>
      <c r="AJ96" s="77">
        <f>($K96+$H96)*70*365/1000000</f>
        <v>51.97381</v>
      </c>
      <c r="AK96" s="77">
        <f>($K96+$H96)*10*365/1000000</f>
        <v>7.42483</v>
      </c>
      <c r="AL96" s="26">
        <f>($K96+$H96)*2*365/1000000</f>
        <v>1.484966</v>
      </c>
      <c r="AM96" s="27">
        <v>0.9</v>
      </c>
      <c r="AN96" s="27">
        <v>0.75</v>
      </c>
      <c r="AO96" s="27">
        <v>0.9</v>
      </c>
      <c r="AP96" s="27">
        <v>0.1</v>
      </c>
      <c r="AQ96" s="27">
        <v>0.1</v>
      </c>
      <c r="AR96" s="26">
        <f>(S96+AH96)*AM96</f>
        <v>42.001944956999999</v>
      </c>
      <c r="AS96" s="26">
        <f>(T96+AI96)*AN96</f>
        <v>63.456227835</v>
      </c>
      <c r="AT96" s="26">
        <f>(U96+AJ96)*AO96</f>
        <v>49.271326713000001</v>
      </c>
      <c r="AU96" s="26">
        <f>(V96+AK96)*AP96</f>
        <v>0.78324930250000002</v>
      </c>
      <c r="AV96" s="26">
        <f>(W96+AL96)*AQ96</f>
        <v>0.15664986050000002</v>
      </c>
      <c r="AW96" s="26">
        <f>S96+AH96-AR96</f>
        <v>4.6668827729999975</v>
      </c>
      <c r="AX96" s="26">
        <f>T96+AI96-AS96</f>
        <v>21.152075945</v>
      </c>
      <c r="AY96" s="26">
        <f>U96+AJ96-AT96</f>
        <v>5.4745918570000001</v>
      </c>
      <c r="AZ96" s="26">
        <f>V96+AK96-AU96</f>
        <v>7.0492437225</v>
      </c>
      <c r="BA96" s="40">
        <f>W96+AL96-AV96</f>
        <v>1.4098487445000001</v>
      </c>
      <c r="BB96" s="37">
        <f>N96+AH96</f>
        <v>74.197199999999995</v>
      </c>
      <c r="BC96" s="28">
        <f>O96+AI96</f>
        <v>136.0282</v>
      </c>
      <c r="BD96" s="28">
        <f>P96+AJ96</f>
        <v>86.563400000000001</v>
      </c>
      <c r="BE96" s="29">
        <f>Q96+AK96</f>
        <v>12.366199999999999</v>
      </c>
      <c r="BF96" s="29">
        <f>R96+AL96</f>
        <v>2.4732400000000001</v>
      </c>
      <c r="BG96" s="28">
        <f>AC96+AW96</f>
        <v>29.097016052999997</v>
      </c>
      <c r="BH96" s="28">
        <f>AD96+AX96</f>
        <v>68.332276704999998</v>
      </c>
      <c r="BI96" s="28">
        <f>AE96+AY96</f>
        <v>34.356899507000001</v>
      </c>
      <c r="BJ96" s="29">
        <f>AF96+AZ96</f>
        <v>11.582950697499999</v>
      </c>
      <c r="BK96" s="29">
        <f>AG96+BA96</f>
        <v>2.3165901395000001</v>
      </c>
      <c r="BL96" s="28">
        <f>X96+AR96</f>
        <v>45.100183946999998</v>
      </c>
      <c r="BM96" s="28">
        <f>Y96+AS96</f>
        <v>67.695923295</v>
      </c>
      <c r="BN96" s="28">
        <f>Z96+AT96</f>
        <v>52.206500493</v>
      </c>
      <c r="BO96" s="29">
        <f>AA96+AU96</f>
        <v>0.78324930250000002</v>
      </c>
      <c r="BP96" s="30">
        <f>AB96+AV96</f>
        <v>0.15664986050000002</v>
      </c>
      <c r="BQ96" s="10">
        <v>615190</v>
      </c>
      <c r="BR96" s="6">
        <v>36000</v>
      </c>
      <c r="BS96" t="s">
        <v>132</v>
      </c>
    </row>
    <row r="97" spans="1:71" x14ac:dyDescent="0.25">
      <c r="A97" s="18"/>
      <c r="B97" s="18">
        <v>88</v>
      </c>
      <c r="C97" s="19" t="s">
        <v>125</v>
      </c>
      <c r="D97" s="60">
        <v>1137</v>
      </c>
      <c r="E97" s="47" t="s">
        <v>166</v>
      </c>
      <c r="F97" s="13" t="s">
        <v>208</v>
      </c>
      <c r="G97" s="53">
        <v>1475</v>
      </c>
      <c r="H97" s="54">
        <v>0</v>
      </c>
      <c r="I97" s="50">
        <f>G97+H97</f>
        <v>1475</v>
      </c>
      <c r="J97" s="45">
        <v>0.27</v>
      </c>
      <c r="K97" s="65">
        <f>ROUND(G97*J97,2)</f>
        <v>398.25</v>
      </c>
      <c r="L97" s="66">
        <f>1-J97</f>
        <v>0.73</v>
      </c>
      <c r="M97" s="67">
        <f>G97-K97</f>
        <v>1076.75</v>
      </c>
      <c r="N97" s="43">
        <f>M97*60*365/1000000</f>
        <v>23.580825000000001</v>
      </c>
      <c r="O97" s="92">
        <f>M97*110*365/1000000</f>
        <v>43.231512500000001</v>
      </c>
      <c r="P97" s="72">
        <f>M97*70*365/1000000</f>
        <v>27.510962500000002</v>
      </c>
      <c r="Q97" s="72">
        <f>M97*10*365/1000000</f>
        <v>3.9301374999999998</v>
      </c>
      <c r="R97" s="25">
        <f>M97*2*365/1000000</f>
        <v>0.78602749999999999</v>
      </c>
      <c r="S97" s="72">
        <f>M97*13*365/1000000*0.33</f>
        <v>1.6860289875000001</v>
      </c>
      <c r="T97" s="72">
        <f>M97*18*365/1000000*0.33</f>
        <v>2.3345016750000003</v>
      </c>
      <c r="U97" s="72">
        <f>M97*17*365/1000000*0.33</f>
        <v>2.2048071375</v>
      </c>
      <c r="V97" s="72">
        <f>M97*2.5*365/1000000*0.33</f>
        <v>0.32423634374999999</v>
      </c>
      <c r="W97" s="72">
        <f>M97*0.5*365/1000000*0.33</f>
        <v>6.4847268750000006E-2</v>
      </c>
      <c r="X97" s="72">
        <f>M97*19*365/1000000*0.33</f>
        <v>2.4641962125000001</v>
      </c>
      <c r="Y97" s="72">
        <f>M97*26*365/1000000*0.33</f>
        <v>3.3720579750000002</v>
      </c>
      <c r="Z97" s="72">
        <f>M97*18*365/1000000*0.33</f>
        <v>2.3345016750000003</v>
      </c>
      <c r="AA97" s="72">
        <f>M97*0*365/1000000*0.33</f>
        <v>0</v>
      </c>
      <c r="AB97" s="72">
        <f>M97*0*365/1000000*0.33</f>
        <v>0</v>
      </c>
      <c r="AC97" s="91">
        <f>N97-S97-X97</f>
        <v>19.430599800000003</v>
      </c>
      <c r="AD97" s="91">
        <f>O97-T97-Y97</f>
        <v>37.524952850000005</v>
      </c>
      <c r="AE97" s="91">
        <f>P97-U97-Z97</f>
        <v>22.971653687500002</v>
      </c>
      <c r="AF97" s="91">
        <f>Q97-V97-AA97</f>
        <v>3.6059011562499999</v>
      </c>
      <c r="AG97" s="91">
        <f>R97-W97-AB97</f>
        <v>0.72118023124999997</v>
      </c>
      <c r="AH97" s="39">
        <f>(K97+H97)*60*365/1000000</f>
        <v>8.7216749999999994</v>
      </c>
      <c r="AI97" s="77">
        <f>($K97+$H97)*110*365/1000000</f>
        <v>15.9897375</v>
      </c>
      <c r="AJ97" s="77">
        <f>($K97+$H97)*70*365/1000000</f>
        <v>10.1752875</v>
      </c>
      <c r="AK97" s="77">
        <f>($K97+$H97)*10*365/1000000</f>
        <v>1.4536125</v>
      </c>
      <c r="AL97" s="26">
        <f>($K97+$H97)*2*365/1000000</f>
        <v>0.29072249999999999</v>
      </c>
      <c r="AM97" s="27">
        <v>0.9</v>
      </c>
      <c r="AN97" s="27">
        <v>0.75</v>
      </c>
      <c r="AO97" s="27">
        <v>0.9</v>
      </c>
      <c r="AP97" s="27">
        <v>0.1</v>
      </c>
      <c r="AQ97" s="27">
        <v>0.1</v>
      </c>
      <c r="AR97" s="26">
        <f>(S97+AH97)*AM97</f>
        <v>9.3669335887499994</v>
      </c>
      <c r="AS97" s="26">
        <f>(T97+AI97)*AN97</f>
        <v>13.743179381250002</v>
      </c>
      <c r="AT97" s="26">
        <f>(U97+AJ97)*AO97</f>
        <v>11.142085173749999</v>
      </c>
      <c r="AU97" s="26">
        <f>(V97+AK97)*AP97</f>
        <v>0.17778488437500001</v>
      </c>
      <c r="AV97" s="26">
        <f>(W97+AL97)*AQ97</f>
        <v>3.5556976875E-2</v>
      </c>
      <c r="AW97" s="26">
        <f>S97+AH97-AR97</f>
        <v>1.0407703987500003</v>
      </c>
      <c r="AX97" s="26">
        <f>T97+AI97-AS97</f>
        <v>4.5810597937500006</v>
      </c>
      <c r="AY97" s="26">
        <f>U97+AJ97-AT97</f>
        <v>1.2380094637500001</v>
      </c>
      <c r="AZ97" s="26">
        <f>V97+AK97-AU97</f>
        <v>1.6000639593749999</v>
      </c>
      <c r="BA97" s="40">
        <f>W97+AL97-AV97</f>
        <v>0.32001279187500004</v>
      </c>
      <c r="BB97" s="37">
        <f>N97+AH97</f>
        <v>32.302500000000002</v>
      </c>
      <c r="BC97" s="28">
        <f>O97+AI97</f>
        <v>59.221249999999998</v>
      </c>
      <c r="BD97" s="28">
        <f>P97+AJ97</f>
        <v>37.686250000000001</v>
      </c>
      <c r="BE97" s="29">
        <f>Q97+AK97</f>
        <v>5.38375</v>
      </c>
      <c r="BF97" s="29">
        <f>R97+AL97</f>
        <v>1.0767500000000001</v>
      </c>
      <c r="BG97" s="28">
        <f>AC97+AW97</f>
        <v>20.471370198750002</v>
      </c>
      <c r="BH97" s="28">
        <f>AD97+AX97</f>
        <v>42.106012643750006</v>
      </c>
      <c r="BI97" s="28">
        <f>AE97+AY97</f>
        <v>24.209663151250002</v>
      </c>
      <c r="BJ97" s="29">
        <f>AF97+AZ97</f>
        <v>5.2059651156250002</v>
      </c>
      <c r="BK97" s="29">
        <f>AG97+BA97</f>
        <v>1.041193023125</v>
      </c>
      <c r="BL97" s="28">
        <f>X97+AR97</f>
        <v>11.83112980125</v>
      </c>
      <c r="BM97" s="28">
        <f>Y97+AS97</f>
        <v>17.115237356250002</v>
      </c>
      <c r="BN97" s="28">
        <f>Z97+AT97</f>
        <v>13.476586848749999</v>
      </c>
      <c r="BO97" s="29">
        <f>AA97+AU97</f>
        <v>0.17778488437500001</v>
      </c>
      <c r="BP97" s="30">
        <f>AB97+AV97</f>
        <v>3.5556976875E-2</v>
      </c>
      <c r="BQ97" s="10">
        <v>0</v>
      </c>
      <c r="BR97" s="6">
        <v>118300</v>
      </c>
      <c r="BS97" t="s">
        <v>128</v>
      </c>
    </row>
    <row r="98" spans="1:71" ht="15.75" thickBot="1" x14ac:dyDescent="0.3">
      <c r="A98" s="18"/>
      <c r="B98" s="21">
        <v>89</v>
      </c>
      <c r="C98" s="23" t="s">
        <v>126</v>
      </c>
      <c r="D98" s="62">
        <v>1085</v>
      </c>
      <c r="E98" s="48" t="s">
        <v>2</v>
      </c>
      <c r="F98" s="22" t="s">
        <v>208</v>
      </c>
      <c r="G98" s="56">
        <v>1010</v>
      </c>
      <c r="H98" s="90">
        <v>5206</v>
      </c>
      <c r="I98" s="51">
        <f>G98+H98</f>
        <v>6216</v>
      </c>
      <c r="J98" s="46">
        <v>0.38</v>
      </c>
      <c r="K98" s="235">
        <f>ROUND(G98*J98,2)</f>
        <v>383.8</v>
      </c>
      <c r="L98" s="234">
        <f>1-J98</f>
        <v>0.62</v>
      </c>
      <c r="M98" s="236">
        <f>G98-K98</f>
        <v>626.20000000000005</v>
      </c>
      <c r="N98" s="44">
        <f>M98*60*365/1000000</f>
        <v>13.71378</v>
      </c>
      <c r="O98" s="237">
        <f>M98*110*365/1000000</f>
        <v>25.141929999999999</v>
      </c>
      <c r="P98" s="238">
        <f>M98*70*365/1000000</f>
        <v>15.999409999999999</v>
      </c>
      <c r="Q98" s="238">
        <f>M98*10*365/1000000</f>
        <v>2.2856299999999998</v>
      </c>
      <c r="R98" s="31">
        <f>M98*2*365/1000000</f>
        <v>0.45712600000000003</v>
      </c>
      <c r="S98" s="238">
        <f>M98*13*365/1000000*0.33</f>
        <v>0.98053526999999996</v>
      </c>
      <c r="T98" s="238">
        <f>M98*18*365/1000000*0.33</f>
        <v>1.35766422</v>
      </c>
      <c r="U98" s="238">
        <f>M98*17*365/1000000*0.33</f>
        <v>1.2822384300000003</v>
      </c>
      <c r="V98" s="238">
        <f>M98*2.5*365/1000000*0.33</f>
        <v>0.18856447499999998</v>
      </c>
      <c r="W98" s="238">
        <f>M98*0.5*365/1000000*0.33</f>
        <v>3.7712895000000003E-2</v>
      </c>
      <c r="X98" s="238">
        <f>M98*19*365/1000000*0.33</f>
        <v>1.4330900100000001</v>
      </c>
      <c r="Y98" s="238">
        <f>M98*26*365/1000000*0.33</f>
        <v>1.9610705399999999</v>
      </c>
      <c r="Z98" s="238">
        <f>M98*18*365/1000000*0.33</f>
        <v>1.35766422</v>
      </c>
      <c r="AA98" s="238">
        <f>M98*0*365/1000000*0.33</f>
        <v>0</v>
      </c>
      <c r="AB98" s="238">
        <f>M98*0*365/1000000*0.33</f>
        <v>0</v>
      </c>
      <c r="AC98" s="239">
        <f>N98-S98-X98</f>
        <v>11.300154719999998</v>
      </c>
      <c r="AD98" s="239">
        <f>O98-T98-Y98</f>
        <v>21.823195239999997</v>
      </c>
      <c r="AE98" s="239">
        <f>P98-U98-Z98</f>
        <v>13.359507349999999</v>
      </c>
      <c r="AF98" s="239">
        <f>Q98-V98-AA98</f>
        <v>2.0970655249999997</v>
      </c>
      <c r="AG98" s="239">
        <f>R98-W98-AB98</f>
        <v>0.41941310500000001</v>
      </c>
      <c r="AH98" s="41">
        <f>(K98+H98)*60*365/1000000</f>
        <v>122.41661999999999</v>
      </c>
      <c r="AI98" s="240">
        <f>($K98+$H98)*110*365/1000000</f>
        <v>224.43047000000001</v>
      </c>
      <c r="AJ98" s="240">
        <f>($K98+$H98)*70*365/1000000</f>
        <v>142.81939</v>
      </c>
      <c r="AK98" s="240">
        <f>($K98+$H98)*10*365/1000000</f>
        <v>20.40277</v>
      </c>
      <c r="AL98" s="32">
        <f>($K98+$H98)*2*365/1000000</f>
        <v>4.0805540000000002</v>
      </c>
      <c r="AM98" s="33">
        <v>0.9</v>
      </c>
      <c r="AN98" s="33">
        <v>0.75</v>
      </c>
      <c r="AO98" s="33">
        <v>0.9</v>
      </c>
      <c r="AP98" s="33">
        <v>0.1</v>
      </c>
      <c r="AQ98" s="33">
        <v>0.1</v>
      </c>
      <c r="AR98" s="32">
        <f>(S98+AH98)*AM98</f>
        <v>111.057439743</v>
      </c>
      <c r="AS98" s="32">
        <f>(T98+AI98)*AN98</f>
        <v>169.341100665</v>
      </c>
      <c r="AT98" s="32">
        <f>(U98+AJ98)*AO98</f>
        <v>129.69146558700001</v>
      </c>
      <c r="AU98" s="32">
        <f>(V98+AK98)*AP98</f>
        <v>2.0591334475000003</v>
      </c>
      <c r="AV98" s="32">
        <f>(W98+AL98)*AQ98</f>
        <v>0.41182668950000006</v>
      </c>
      <c r="AW98" s="32">
        <f>S98+AH98-AR98</f>
        <v>12.339715526999996</v>
      </c>
      <c r="AX98" s="32">
        <f>T98+AI98-AS98</f>
        <v>56.447033555000019</v>
      </c>
      <c r="AY98" s="32">
        <f>U98+AJ98-AT98</f>
        <v>14.410162842999995</v>
      </c>
      <c r="AZ98" s="32">
        <f>V98+AK98-AU98</f>
        <v>18.532201027500001</v>
      </c>
      <c r="BA98" s="42">
        <f>W98+AL98-AV98</f>
        <v>3.7064402055000003</v>
      </c>
      <c r="BB98" s="38">
        <f>N98+AH98</f>
        <v>136.13040000000001</v>
      </c>
      <c r="BC98" s="34">
        <f>O98+AI98</f>
        <v>249.57240000000002</v>
      </c>
      <c r="BD98" s="34">
        <f>P98+AJ98</f>
        <v>158.81880000000001</v>
      </c>
      <c r="BE98" s="35">
        <f>Q98+AK98</f>
        <v>22.688400000000001</v>
      </c>
      <c r="BF98" s="35">
        <f>R98+AL98</f>
        <v>4.5376799999999999</v>
      </c>
      <c r="BG98" s="34">
        <f>AC98+AW98</f>
        <v>23.639870246999994</v>
      </c>
      <c r="BH98" s="34">
        <f>AD98+AX98</f>
        <v>78.270228795000008</v>
      </c>
      <c r="BI98" s="34">
        <f>AE98+AY98</f>
        <v>27.769670192999996</v>
      </c>
      <c r="BJ98" s="35">
        <f>AF98+AZ98</f>
        <v>20.629266552499999</v>
      </c>
      <c r="BK98" s="35">
        <f>AG98+BA98</f>
        <v>4.1258533105000001</v>
      </c>
      <c r="BL98" s="34">
        <f>X98+AR98</f>
        <v>112.490529753</v>
      </c>
      <c r="BM98" s="34">
        <f>Y98+AS98</f>
        <v>171.30217120500001</v>
      </c>
      <c r="BN98" s="34">
        <f>Z98+AT98</f>
        <v>131.04912980700001</v>
      </c>
      <c r="BO98" s="35">
        <f>AA98+AU98</f>
        <v>2.0591334475000003</v>
      </c>
      <c r="BP98" s="36">
        <f>AB98+AV98</f>
        <v>0.41182668950000006</v>
      </c>
      <c r="BQ98" s="10">
        <v>101640</v>
      </c>
      <c r="BR98" s="6">
        <v>0</v>
      </c>
      <c r="BS98" t="s">
        <v>159</v>
      </c>
    </row>
    <row r="99" spans="1:71" ht="15.75" customHeight="1" thickBot="1" x14ac:dyDescent="0.3">
      <c r="A99" s="21"/>
      <c r="B99" s="268" t="s">
        <v>222</v>
      </c>
      <c r="C99" s="269"/>
      <c r="D99" s="313">
        <f>SUM(D28:D98)</f>
        <v>275147</v>
      </c>
      <c r="E99" s="314"/>
      <c r="F99" s="315"/>
      <c r="G99" s="316">
        <f>SUM(G28:G98)</f>
        <v>312411</v>
      </c>
      <c r="H99" s="316">
        <f>SUM(H28:H98)</f>
        <v>129034</v>
      </c>
      <c r="I99" s="317">
        <f>SUM(I28:I98)</f>
        <v>441445</v>
      </c>
      <c r="J99" s="318">
        <f>K99/G99</f>
        <v>0.65102483587325688</v>
      </c>
      <c r="K99" s="319">
        <f>SUM(K28:K98)</f>
        <v>203387.32000000007</v>
      </c>
      <c r="L99" s="320">
        <f>M99/G99</f>
        <v>0.3489751641267434</v>
      </c>
      <c r="M99" s="321">
        <f>SUM(M28:M98)</f>
        <v>109023.68000000004</v>
      </c>
      <c r="N99" s="278">
        <f>SUM(N28:N98)</f>
        <v>2387.6185920000003</v>
      </c>
      <c r="O99" s="279">
        <f>SUM(O28:O98)</f>
        <v>4377.3007519999974</v>
      </c>
      <c r="P99" s="279">
        <f t="shared" ref="P99:X99" si="12">SUM(P28:P98)</f>
        <v>2785.5550239999998</v>
      </c>
      <c r="Q99" s="279">
        <f t="shared" si="12"/>
        <v>397.93643199999991</v>
      </c>
      <c r="R99" s="279">
        <f t="shared" si="12"/>
        <v>79.587286400000039</v>
      </c>
      <c r="S99" s="279">
        <f t="shared" si="12"/>
        <v>170.71472932800003</v>
      </c>
      <c r="T99" s="279">
        <f t="shared" si="12"/>
        <v>236.37424060800001</v>
      </c>
      <c r="U99" s="279">
        <f t="shared" si="12"/>
        <v>223.2423383520001</v>
      </c>
      <c r="V99" s="279">
        <f t="shared" si="12"/>
        <v>32.829755640000002</v>
      </c>
      <c r="W99" s="279">
        <f t="shared" si="12"/>
        <v>6.5659511280000009</v>
      </c>
      <c r="X99" s="279">
        <f t="shared" si="12"/>
        <v>249.50614286399994</v>
      </c>
      <c r="Y99" s="279">
        <f>SUM(Y28:Y98)</f>
        <v>341.42945865600007</v>
      </c>
      <c r="Z99" s="279">
        <f t="shared" ref="Z99" si="13">SUM(Z28:Z98)</f>
        <v>236.37424060800001</v>
      </c>
      <c r="AA99" s="279">
        <f t="shared" ref="AA99" si="14">SUM(AA28:AA98)</f>
        <v>0</v>
      </c>
      <c r="AB99" s="279">
        <f t="shared" ref="AB99" si="15">SUM(AB28:AB98)</f>
        <v>0</v>
      </c>
      <c r="AC99" s="279">
        <f t="shared" ref="AC99" si="16">SUM(AC28:AC98)</f>
        <v>1967.3977198079992</v>
      </c>
      <c r="AD99" s="279">
        <f t="shared" ref="AD99" si="17">SUM(AD28:AD98)</f>
        <v>3799.4970527360015</v>
      </c>
      <c r="AE99" s="279">
        <f t="shared" ref="AE99" si="18">SUM(AE28:AE98)</f>
        <v>2325.9384450399984</v>
      </c>
      <c r="AF99" s="279">
        <f t="shared" ref="AF99" si="19">SUM(AF28:AF98)</f>
        <v>365.10667635999999</v>
      </c>
      <c r="AG99" s="292">
        <f>SUM(AG28:AG98)</f>
        <v>73.021335272000016</v>
      </c>
      <c r="AH99" s="293">
        <f>SUM(AH28:AH98)</f>
        <v>7280.0269079999953</v>
      </c>
      <c r="AI99" s="282">
        <f>SUM(AI28:AI98)</f>
        <v>13346.715998000005</v>
      </c>
      <c r="AJ99" s="282">
        <f t="shared" ref="AJ99:AL99" si="20">SUM(AJ28:AJ98)</f>
        <v>8493.3647260000016</v>
      </c>
      <c r="AK99" s="282">
        <f t="shared" si="20"/>
        <v>1213.337818</v>
      </c>
      <c r="AL99" s="282">
        <f t="shared" si="20"/>
        <v>242.66756360000002</v>
      </c>
      <c r="AM99" s="282"/>
      <c r="AN99" s="282"/>
      <c r="AO99" s="282"/>
      <c r="AP99" s="282"/>
      <c r="AQ99" s="282"/>
      <c r="AR99" s="282">
        <f>SUM(AR28:AR98)</f>
        <v>6705.6674735952029</v>
      </c>
      <c r="AS99" s="282">
        <f t="shared" ref="AS99:AZ99" si="21">SUM(AS28:AS98)</f>
        <v>10187.317678955998</v>
      </c>
      <c r="AT99" s="282">
        <f t="shared" si="21"/>
        <v>7844.9463579168005</v>
      </c>
      <c r="AU99" s="282">
        <f t="shared" si="21"/>
        <v>313.76981436230005</v>
      </c>
      <c r="AV99" s="282">
        <f t="shared" si="21"/>
        <v>68.064086348499998</v>
      </c>
      <c r="AW99" s="282">
        <f t="shared" si="21"/>
        <v>745.07416373279989</v>
      </c>
      <c r="AX99" s="282">
        <f t="shared" si="21"/>
        <v>3395.7725596519999</v>
      </c>
      <c r="AY99" s="282">
        <f t="shared" si="21"/>
        <v>871.66070643519993</v>
      </c>
      <c r="AZ99" s="282">
        <f t="shared" si="21"/>
        <v>932.39775927770029</v>
      </c>
      <c r="BA99" s="294">
        <f>SUM(BA28:BA98)</f>
        <v>181.16942837950003</v>
      </c>
      <c r="BB99" s="285">
        <f>SUM(BB28:BB98)</f>
        <v>9667.6455000000024</v>
      </c>
      <c r="BC99" s="286">
        <f>SUM(BC28:BC98)</f>
        <v>17724.01675000001</v>
      </c>
      <c r="BD99" s="286">
        <f t="shared" ref="BD99:BM99" si="22">SUM(BD28:BD98)</f>
        <v>11278.919749999997</v>
      </c>
      <c r="BE99" s="286">
        <f t="shared" si="22"/>
        <v>1611.2742500000004</v>
      </c>
      <c r="BF99" s="286">
        <f t="shared" si="22"/>
        <v>322.25485000000003</v>
      </c>
      <c r="BG99" s="286">
        <f t="shared" si="22"/>
        <v>2712.4718835408003</v>
      </c>
      <c r="BH99" s="286">
        <f t="shared" si="22"/>
        <v>7195.2696123879996</v>
      </c>
      <c r="BI99" s="286">
        <f t="shared" si="22"/>
        <v>3197.5991514751991</v>
      </c>
      <c r="BJ99" s="286">
        <f t="shared" si="22"/>
        <v>1297.5044356377002</v>
      </c>
      <c r="BK99" s="286">
        <f t="shared" si="22"/>
        <v>254.19076365149999</v>
      </c>
      <c r="BL99" s="286">
        <f t="shared" si="22"/>
        <v>6955.1736164591985</v>
      </c>
      <c r="BM99" s="286">
        <f t="shared" si="22"/>
        <v>10528.747137612001</v>
      </c>
      <c r="BN99" s="286">
        <f>SUM(BN28:BN98)</f>
        <v>8081.3205985248005</v>
      </c>
      <c r="BO99" s="286">
        <f t="shared" ref="BO99" si="23">SUM(BO28:BO98)</f>
        <v>313.76981436230005</v>
      </c>
      <c r="BP99" s="287">
        <f t="shared" ref="BP99" si="24">SUM(BP28:BP98)</f>
        <v>68.064086348499998</v>
      </c>
      <c r="BQ99" s="84"/>
      <c r="BR99" s="9"/>
      <c r="BS99" s="2"/>
    </row>
    <row r="100" spans="1:71" ht="16.5" thickBot="1" x14ac:dyDescent="0.3">
      <c r="B100" s="173" t="s">
        <v>222</v>
      </c>
      <c r="C100" s="174"/>
      <c r="D100" s="174"/>
      <c r="E100" s="174"/>
      <c r="F100" s="322"/>
      <c r="G100" s="123">
        <f>G99+G26+G8</f>
        <v>1670879</v>
      </c>
      <c r="H100" s="323">
        <f t="shared" ref="H100:N100" si="25">H99+H26+H8</f>
        <v>384278</v>
      </c>
      <c r="I100" s="123">
        <f t="shared" si="25"/>
        <v>2055157</v>
      </c>
      <c r="J100" s="325">
        <f>K100/G100</f>
        <v>0.79117064730599873</v>
      </c>
      <c r="K100" s="324">
        <f t="shared" si="25"/>
        <v>1321950.42</v>
      </c>
      <c r="L100" s="325">
        <f>M100/G100</f>
        <v>0.20882935269400119</v>
      </c>
      <c r="M100" s="324">
        <f t="shared" si="25"/>
        <v>348928.58</v>
      </c>
      <c r="N100" s="323">
        <f t="shared" si="25"/>
        <v>7641.5359019999996</v>
      </c>
      <c r="O100" s="323">
        <f t="shared" ref="O100" si="26">O99+O26+O8</f>
        <v>14009.482486999997</v>
      </c>
      <c r="P100" s="323">
        <f t="shared" ref="P100" si="27">P99+P26+P8</f>
        <v>8915.1252189999996</v>
      </c>
      <c r="Q100" s="323">
        <f t="shared" ref="Q100" si="28">Q99+Q26+Q8</f>
        <v>1273.5893169999999</v>
      </c>
      <c r="R100" s="323">
        <f t="shared" ref="R100" si="29">R99+R26+R8</f>
        <v>254.7178634</v>
      </c>
      <c r="S100" s="323">
        <f t="shared" ref="S100" si="30">S99+S26+S8</f>
        <v>546.36981699300009</v>
      </c>
      <c r="T100" s="323">
        <f t="shared" ref="T100" si="31">T99+T26+T8</f>
        <v>756.51205429800007</v>
      </c>
      <c r="U100" s="323">
        <f t="shared" ref="U100" si="32">U99+U26+U8</f>
        <v>714.48360683700014</v>
      </c>
      <c r="V100" s="323">
        <f t="shared" ref="V100" si="33">V99+V26+V8</f>
        <v>105.07111865249999</v>
      </c>
      <c r="W100" s="323">
        <f t="shared" ref="W100" si="34">W99+W26+W8</f>
        <v>21.014223730500003</v>
      </c>
      <c r="X100" s="323">
        <f t="shared" ref="X100" si="35">X99+X26+X8</f>
        <v>798.54050175899988</v>
      </c>
      <c r="Y100" s="323">
        <f t="shared" ref="Y100" si="36">Y99+Y26+Y8</f>
        <v>1092.7396339860002</v>
      </c>
      <c r="Z100" s="323">
        <f t="shared" ref="Z100" si="37">Z99+Z26+Z8</f>
        <v>756.51205429800007</v>
      </c>
      <c r="AA100" s="323">
        <f t="shared" ref="AA100" si="38">AA99+AA26+AA8</f>
        <v>0</v>
      </c>
      <c r="AB100" s="323">
        <f t="shared" ref="AB100" si="39">AB99+AB26+AB8</f>
        <v>0</v>
      </c>
      <c r="AC100" s="323">
        <f t="shared" ref="AC100" si="40">AC99+AC26+AC8</f>
        <v>6296.6255832479992</v>
      </c>
      <c r="AD100" s="323">
        <f t="shared" ref="AD100" si="41">AD99+AD26+AD8</f>
        <v>12160.230798716002</v>
      </c>
      <c r="AE100" s="323">
        <f t="shared" ref="AE100" si="42">AE99+AE26+AE8</f>
        <v>7444.1295578649988</v>
      </c>
      <c r="AF100" s="323">
        <f t="shared" ref="AF100" si="43">AF99+AF26+AF8</f>
        <v>1168.5181983474999</v>
      </c>
      <c r="AG100" s="323">
        <f t="shared" ref="AG100" si="44">AG99+AG26+AG8</f>
        <v>233.70363966950001</v>
      </c>
      <c r="AH100" s="326">
        <f t="shared" ref="AH100" si="45">AH99+AH26+AH8</f>
        <v>37366.402397999991</v>
      </c>
      <c r="AI100" s="323">
        <f t="shared" ref="AI100" si="46">AI99+AI26+AI8</f>
        <v>68505.07106300001</v>
      </c>
      <c r="AJ100" s="323">
        <f t="shared" ref="AJ100" si="47">AJ99+AJ26+AJ8</f>
        <v>43594.136131000007</v>
      </c>
      <c r="AK100" s="323">
        <f t="shared" ref="AK100" si="48">AK99+AK26+AK8</f>
        <v>6227.733733</v>
      </c>
      <c r="AL100" s="323">
        <f t="shared" ref="AL100" si="49">AL99+AL26+AL8</f>
        <v>1245.5467466</v>
      </c>
      <c r="AM100" s="323"/>
      <c r="AN100" s="323"/>
      <c r="AO100" s="323"/>
      <c r="AP100" s="323"/>
      <c r="AQ100" s="323"/>
      <c r="AR100" s="323">
        <f t="shared" ref="AR100" si="50">AR99+AR26+AR8</f>
        <v>34121.494993493703</v>
      </c>
      <c r="AS100" s="323">
        <f t="shared" ref="AS100" si="51">AS99+AS26+AS8</f>
        <v>51946.187337973497</v>
      </c>
      <c r="AT100" s="323">
        <f t="shared" ref="AT100" si="52">AT99+AT26+AT8</f>
        <v>39877.757764053298</v>
      </c>
      <c r="AU100" s="323">
        <f t="shared" ref="AU100" si="53">AU99+AU26+AU8</f>
        <v>4383.0796367722996</v>
      </c>
      <c r="AV100" s="323">
        <f t="shared" ref="AV100" si="54">AV99+AV26+AV8</f>
        <v>881.92605083049989</v>
      </c>
      <c r="AW100" s="323">
        <f t="shared" ref="AW100" si="55">AW99+AW26+AW8</f>
        <v>3791.2772214992983</v>
      </c>
      <c r="AX100" s="323">
        <f t="shared" ref="AX100" si="56">AX99+AX26+AX8</f>
        <v>17315.395779324499</v>
      </c>
      <c r="AY100" s="323">
        <f t="shared" ref="AY100" si="57">AY99+AY26+AY8</f>
        <v>4430.861973783698</v>
      </c>
      <c r="AZ100" s="323">
        <f t="shared" ref="AZ100" si="58">AZ99+AZ26+AZ8</f>
        <v>1949.7252148802002</v>
      </c>
      <c r="BA100" s="324">
        <f t="shared" ref="BA100" si="59">BA99+BA26+BA8</f>
        <v>384.63491949999997</v>
      </c>
      <c r="BB100" s="326">
        <f t="shared" ref="BB100" si="60">BB99+BB26+BB8</f>
        <v>45007.938300000002</v>
      </c>
      <c r="BC100" s="323">
        <f t="shared" ref="BC100" si="61">BC99+BC26+BC8</f>
        <v>82514.553550000011</v>
      </c>
      <c r="BD100" s="323">
        <f t="shared" ref="BD100" si="62">BD99+BD26+BD8</f>
        <v>52509.261350000001</v>
      </c>
      <c r="BE100" s="323">
        <f t="shared" ref="BE100" si="63">BE99+BE26+BE8</f>
        <v>7501.32305</v>
      </c>
      <c r="BF100" s="323">
        <f t="shared" ref="BF100" si="64">BF99+BF26+BF8</f>
        <v>1500.2646100000002</v>
      </c>
      <c r="BG100" s="323">
        <f t="shared" ref="BG100" si="65">BG99+BG26+BG8</f>
        <v>10087.902804747298</v>
      </c>
      <c r="BH100" s="323">
        <f t="shared" ref="BH100" si="66">BH99+BH26+BH8</f>
        <v>29475.626578040494</v>
      </c>
      <c r="BI100" s="323">
        <f t="shared" ref="BI100" si="67">BI99+BI26+BI8</f>
        <v>11874.991531648699</v>
      </c>
      <c r="BJ100" s="323">
        <f t="shared" ref="BJ100" si="68">BJ99+BJ26+BJ8</f>
        <v>3118.2434132277003</v>
      </c>
      <c r="BK100" s="323">
        <f t="shared" ref="BK100" si="69">BK99+BK26+BK8</f>
        <v>618.33855916949994</v>
      </c>
      <c r="BL100" s="323">
        <f t="shared" ref="BL100" si="70">BL99+BL26+BL8</f>
        <v>34920.035495252698</v>
      </c>
      <c r="BM100" s="323">
        <f t="shared" ref="BM100" si="71">BM99+BM26+BM8</f>
        <v>53038.926971959503</v>
      </c>
      <c r="BN100" s="323">
        <f t="shared" ref="BN100" si="72">BN99+BN26+BN8</f>
        <v>40634.269818351298</v>
      </c>
      <c r="BO100" s="323">
        <f t="shared" ref="BO100" si="73">BO99+BO26+BO8</f>
        <v>4383.0796367722996</v>
      </c>
      <c r="BP100" s="324">
        <f t="shared" ref="BP100" si="74">BP99+BP26+BP8</f>
        <v>881.92605083049989</v>
      </c>
    </row>
  </sheetData>
  <sortState ref="B6:BS95">
    <sortCondition ref="B6:B95"/>
  </sortState>
  <mergeCells count="29">
    <mergeCell ref="B100:E100"/>
    <mergeCell ref="B8:C8"/>
    <mergeCell ref="B26:C26"/>
    <mergeCell ref="B99:C99"/>
    <mergeCell ref="AR4:AV4"/>
    <mergeCell ref="AW4:BA4"/>
    <mergeCell ref="BB4:BF4"/>
    <mergeCell ref="BG4:BK4"/>
    <mergeCell ref="BL4:BP4"/>
    <mergeCell ref="BB3:BP3"/>
    <mergeCell ref="BQ3:BR3"/>
    <mergeCell ref="F4:F5"/>
    <mergeCell ref="G4:G5"/>
    <mergeCell ref="H4:H5"/>
    <mergeCell ref="I4:I5"/>
    <mergeCell ref="J4:K4"/>
    <mergeCell ref="L4:M4"/>
    <mergeCell ref="N4:R4"/>
    <mergeCell ref="S4:W4"/>
    <mergeCell ref="B3:C5"/>
    <mergeCell ref="D3:D5"/>
    <mergeCell ref="E3:E5"/>
    <mergeCell ref="G3:M3"/>
    <mergeCell ref="N3:AG3"/>
    <mergeCell ref="AH3:BA3"/>
    <mergeCell ref="X4:AB4"/>
    <mergeCell ref="AC4:AG4"/>
    <mergeCell ref="AH4:AL4"/>
    <mergeCell ref="AM4:AQ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5.piel</vt:lpstr>
      <vt:lpstr>5.1.piel</vt:lpstr>
      <vt:lpstr>'5.1.piel'!Print_Area</vt:lpstr>
      <vt:lpstr>'5.piel'!Print_Area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Juris</cp:lastModifiedBy>
  <cp:lastPrinted>2013-09-08T08:00:07Z</cp:lastPrinted>
  <dcterms:created xsi:type="dcterms:W3CDTF">2013-06-06T10:07:14Z</dcterms:created>
  <dcterms:modified xsi:type="dcterms:W3CDTF">2013-11-21T09:18:29Z</dcterms:modified>
</cp:coreProperties>
</file>