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ita.trakina\Downloads\"/>
    </mc:Choice>
  </mc:AlternateContent>
  <xr:revisionPtr revIDLastSave="0" documentId="8_{49A999F0-930A-4A9F-A66F-9EF681A52759}" xr6:coauthVersionLast="47" xr6:coauthVersionMax="47" xr10:uidLastSave="{00000000-0000-0000-0000-000000000000}"/>
  <workbookProtection workbookAlgorithmName="SHA-512" workbookHashValue="BmGGsJVKoWhbFPbfrbzp98FdeedDWKyGJccphq42QlQi8Paum2EK5CPdD4VfKZ1HhQk5ZW1IA9hDXhfcRdKV0Q==" workbookSaltValue="D3b2BmbxKz/2sO7cTVPKIQ==" workbookSpinCount="100000" lockStructure="1"/>
  <bookViews>
    <workbookView xWindow="-120" yWindow="-120" windowWidth="20730" windowHeight="11160" firstSheet="16" activeTab="17" xr2:uid="{00000000-000D-0000-FFFF-FFFF00000000}"/>
  </bookViews>
  <sheets>
    <sheet name="list" sheetId="2" state="hidden" r:id="rId1"/>
    <sheet name="Titullapa" sheetId="1" r:id="rId2"/>
    <sheet name="1.DL Projekta budžets" sheetId="3" r:id="rId3"/>
    <sheet name="2.DL Naudas plūsma bez projekta" sheetId="4" r:id="rId4"/>
    <sheet name="3.DL Naudas plūsma ar projektu" sheetId="5" r:id="rId5"/>
    <sheet name="4.DL Projekta_finansiala_ilgtsp" sheetId="6" r:id="rId6"/>
    <sheet name="5.DL_Proj_iesn_naudas_plusma" sheetId="19" r:id="rId7"/>
    <sheet name="6.DL Soc.ekon.analīze" sheetId="15" r:id="rId8"/>
    <sheet name="7.DL Jutīguma analīze_Invest" sheetId="7" r:id="rId9"/>
    <sheet name="8.DL jut.analīze_Soc" sheetId="16" r:id="rId10"/>
    <sheet name="9.DL jut.anal_Kap_NP" sheetId="21" r:id="rId11"/>
    <sheet name="10.AL Budžets_kopā" sheetId="8" r:id="rId12"/>
    <sheet name="11.AL Alternatīvu analīze" sheetId="9" r:id="rId13"/>
    <sheet name="12. AL Soc.ekonom.anal." sheetId="17" r:id="rId14"/>
    <sheet name="13.RL Kapitāla naudas plūsma" sheetId="10" r:id="rId15"/>
    <sheet name="14.RL Investīciju naudas plūsma" sheetId="11" r:id="rId16"/>
    <sheet name="15.RL Sociālekonomiskā analīze" sheetId="18" r:id="rId17"/>
    <sheet name="16.Kontroles lapa" sheetId="12" r:id="rId18"/>
    <sheet name="17.PIV 2.pielikums Fin.plāns" sheetId="13" r:id="rId19"/>
    <sheet name="18.PIV 4.pielikums finanšu anal" sheetId="14" r:id="rId20"/>
    <sheet name="Paskaidrojums" sheetId="2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8" l="1"/>
  <c r="C5" i="19" l="1"/>
  <c r="D8" i="5"/>
  <c r="B16" i="1"/>
  <c r="E6" i="5" l="1"/>
  <c r="B23" i="5" l="1"/>
  <c r="B24" i="5"/>
  <c r="B22" i="5"/>
  <c r="C26" i="5"/>
  <c r="D10" i="5"/>
  <c r="AD10" i="4" l="1"/>
  <c r="AD10" i="5"/>
  <c r="B10" i="5"/>
  <c r="G9" i="3" l="1"/>
  <c r="I25" i="3" l="1"/>
  <c r="E59" i="4" l="1"/>
  <c r="E60" i="4"/>
  <c r="E61" i="4"/>
  <c r="E62" i="4"/>
  <c r="D74" i="5"/>
  <c r="D69" i="5"/>
  <c r="B4" i="13" l="1"/>
  <c r="AA75" i="1" l="1"/>
  <c r="C35" i="1" l="1"/>
  <c r="D35" i="1" s="1"/>
  <c r="E35" i="1" s="1"/>
  <c r="F35" i="1" s="1"/>
  <c r="C33" i="1"/>
  <c r="D33" i="1" s="1"/>
  <c r="E33" i="1" s="1"/>
  <c r="F33" i="1" s="1"/>
  <c r="J7" i="8" l="1"/>
  <c r="K7" i="8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J15" i="8"/>
  <c r="K15" i="8"/>
  <c r="J16" i="8"/>
  <c r="K16" i="8"/>
  <c r="J17" i="8"/>
  <c r="K17" i="8"/>
  <c r="J5" i="8"/>
  <c r="E59" i="5"/>
  <c r="H7" i="3"/>
  <c r="H8" i="3"/>
  <c r="H9" i="3"/>
  <c r="H10" i="3"/>
  <c r="H11" i="3"/>
  <c r="H12" i="3"/>
  <c r="H13" i="3"/>
  <c r="H14" i="3"/>
  <c r="H15" i="3"/>
  <c r="H16" i="3"/>
  <c r="H6" i="3"/>
  <c r="G10" i="3"/>
  <c r="G11" i="3"/>
  <c r="G12" i="3"/>
  <c r="G13" i="3"/>
  <c r="G14" i="3"/>
  <c r="G15" i="3"/>
  <c r="G16" i="3"/>
  <c r="G8" i="3"/>
  <c r="G7" i="3"/>
  <c r="G6" i="3"/>
  <c r="E15" i="3" l="1"/>
  <c r="J17" i="3"/>
  <c r="K17" i="3"/>
  <c r="K18" i="8" l="1"/>
  <c r="B10" i="13" s="1"/>
  <c r="K23" i="3"/>
  <c r="J18" i="8"/>
  <c r="B8" i="13" s="1"/>
  <c r="A16" i="8"/>
  <c r="B16" i="8"/>
  <c r="C16" i="8"/>
  <c r="D16" i="8"/>
  <c r="H16" i="8"/>
  <c r="L16" i="8"/>
  <c r="M16" i="8"/>
  <c r="N16" i="8"/>
  <c r="O16" i="8"/>
  <c r="P16" i="8"/>
  <c r="Q16" i="8"/>
  <c r="R16" i="8"/>
  <c r="S16" i="8"/>
  <c r="T16" i="8"/>
  <c r="U16" i="8"/>
  <c r="V16" i="8"/>
  <c r="W16" i="8"/>
  <c r="E16" i="8"/>
  <c r="B11" i="13" l="1"/>
  <c r="K25" i="3"/>
  <c r="K24" i="3" s="1"/>
  <c r="K27" i="3" s="1"/>
  <c r="J25" i="3"/>
  <c r="G16" i="8"/>
  <c r="A28" i="5"/>
  <c r="B9" i="13" l="1"/>
  <c r="I2" i="2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G43" i="16"/>
  <c r="C44" i="16"/>
  <c r="C43" i="16"/>
  <c r="C42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G20" i="16"/>
  <c r="G21" i="16"/>
  <c r="G22" i="16"/>
  <c r="G23" i="16"/>
  <c r="G25" i="16"/>
  <c r="G26" i="16"/>
  <c r="G27" i="16"/>
  <c r="G28" i="16"/>
  <c r="G29" i="16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G21" i="7"/>
  <c r="C22" i="7"/>
  <c r="B22" i="7"/>
  <c r="C21" i="7"/>
  <c r="B21" i="7"/>
  <c r="C20" i="7"/>
  <c r="B20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D48" i="5"/>
  <c r="AD50" i="5"/>
  <c r="AD52" i="5"/>
  <c r="AD53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E82" i="5"/>
  <c r="D83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E40" i="5"/>
  <c r="D9" i="5"/>
  <c r="I30" i="5"/>
  <c r="I28" i="5" s="1"/>
  <c r="I44" i="5" s="1"/>
  <c r="M30" i="5"/>
  <c r="M28" i="5" s="1"/>
  <c r="Q30" i="5"/>
  <c r="Q28" i="5" s="1"/>
  <c r="U30" i="5"/>
  <c r="U28" i="5" s="1"/>
  <c r="Y30" i="5"/>
  <c r="Y28" i="5" s="1"/>
  <c r="Y44" i="5" s="1"/>
  <c r="AC30" i="5"/>
  <c r="AC28" i="5" s="1"/>
  <c r="L51" i="5"/>
  <c r="L49" i="5" s="1"/>
  <c r="L47" i="5" s="1"/>
  <c r="T51" i="5"/>
  <c r="T49" i="5" s="1"/>
  <c r="T47" i="5" s="1"/>
  <c r="AB51" i="5"/>
  <c r="AB49" i="5" s="1"/>
  <c r="AB47" i="5" s="1"/>
  <c r="A27" i="5"/>
  <c r="B27" i="5"/>
  <c r="C27" i="5"/>
  <c r="B28" i="5"/>
  <c r="C28" i="5"/>
  <c r="B29" i="5"/>
  <c r="C29" i="5"/>
  <c r="D29" i="5"/>
  <c r="B30" i="5"/>
  <c r="F30" i="5"/>
  <c r="F28" i="5" s="1"/>
  <c r="F44" i="5" s="1"/>
  <c r="A31" i="5"/>
  <c r="B31" i="5"/>
  <c r="C31" i="5"/>
  <c r="D31" i="5"/>
  <c r="A32" i="5"/>
  <c r="B32" i="5"/>
  <c r="C32" i="5"/>
  <c r="D32" i="5"/>
  <c r="A33" i="5"/>
  <c r="B33" i="5"/>
  <c r="C33" i="5"/>
  <c r="D33" i="5"/>
  <c r="A34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A38" i="5"/>
  <c r="B38" i="5"/>
  <c r="C38" i="5"/>
  <c r="D38" i="5"/>
  <c r="A39" i="5"/>
  <c r="B39" i="5"/>
  <c r="C39" i="5"/>
  <c r="D39" i="5"/>
  <c r="A40" i="5"/>
  <c r="B40" i="5"/>
  <c r="C40" i="5"/>
  <c r="B41" i="5"/>
  <c r="C41" i="5"/>
  <c r="D41" i="5"/>
  <c r="B42" i="5"/>
  <c r="C42" i="5"/>
  <c r="D42" i="5"/>
  <c r="B43" i="5"/>
  <c r="C43" i="5"/>
  <c r="D43" i="5"/>
  <c r="A44" i="5"/>
  <c r="B44" i="5"/>
  <c r="C44" i="5"/>
  <c r="B45" i="5"/>
  <c r="A46" i="5"/>
  <c r="B46" i="5"/>
  <c r="C46" i="5"/>
  <c r="D46" i="5"/>
  <c r="A47" i="5"/>
  <c r="B47" i="5"/>
  <c r="C47" i="5"/>
  <c r="A48" i="5"/>
  <c r="B48" i="5"/>
  <c r="C48" i="5"/>
  <c r="D48" i="5"/>
  <c r="A49" i="5"/>
  <c r="B49" i="5"/>
  <c r="C49" i="5"/>
  <c r="B50" i="5"/>
  <c r="C50" i="5"/>
  <c r="D50" i="5"/>
  <c r="B51" i="5"/>
  <c r="G51" i="5"/>
  <c r="G49" i="5" s="1"/>
  <c r="G47" i="5" s="1"/>
  <c r="A52" i="5"/>
  <c r="B52" i="5"/>
  <c r="C52" i="5"/>
  <c r="D52" i="5"/>
  <c r="A53" i="5"/>
  <c r="B53" i="5"/>
  <c r="C53" i="5"/>
  <c r="D53" i="5"/>
  <c r="A54" i="5"/>
  <c r="B54" i="5"/>
  <c r="C54" i="5"/>
  <c r="D54" i="5"/>
  <c r="A26" i="5"/>
  <c r="AD9" i="5"/>
  <c r="AD8" i="5"/>
  <c r="U44" i="5" l="1"/>
  <c r="Q44" i="5"/>
  <c r="AC44" i="5"/>
  <c r="M44" i="5"/>
  <c r="X51" i="5"/>
  <c r="X49" i="5" s="1"/>
  <c r="X47" i="5" s="1"/>
  <c r="P51" i="5"/>
  <c r="P49" i="5" s="1"/>
  <c r="P47" i="5" s="1"/>
  <c r="H51" i="5"/>
  <c r="H49" i="5" s="1"/>
  <c r="H47" i="5" s="1"/>
  <c r="E51" i="5"/>
  <c r="E49" i="5" s="1"/>
  <c r="E47" i="5" s="1"/>
  <c r="Z51" i="5"/>
  <c r="Z49" i="5" s="1"/>
  <c r="Z47" i="5" s="1"/>
  <c r="V51" i="5"/>
  <c r="V49" i="5" s="1"/>
  <c r="V47" i="5" s="1"/>
  <c r="R51" i="5"/>
  <c r="R49" i="5" s="1"/>
  <c r="R47" i="5" s="1"/>
  <c r="N51" i="5"/>
  <c r="N49" i="5" s="1"/>
  <c r="N47" i="5" s="1"/>
  <c r="J51" i="5"/>
  <c r="J49" i="5" s="1"/>
  <c r="J47" i="5" s="1"/>
  <c r="F51" i="5"/>
  <c r="F49" i="5" s="1"/>
  <c r="F47" i="5" s="1"/>
  <c r="AA30" i="5"/>
  <c r="AA28" i="5" s="1"/>
  <c r="AA44" i="5" s="1"/>
  <c r="W30" i="5"/>
  <c r="W28" i="5" s="1"/>
  <c r="W44" i="5" s="1"/>
  <c r="S30" i="5"/>
  <c r="S28" i="5" s="1"/>
  <c r="S44" i="5" s="1"/>
  <c r="O30" i="5"/>
  <c r="O28" i="5" s="1"/>
  <c r="O44" i="5" s="1"/>
  <c r="K30" i="5"/>
  <c r="K28" i="5" s="1"/>
  <c r="K44" i="5" s="1"/>
  <c r="G30" i="5"/>
  <c r="G28" i="5" s="1"/>
  <c r="G44" i="5" s="1"/>
  <c r="AC51" i="5"/>
  <c r="AC49" i="5" s="1"/>
  <c r="AC47" i="5" s="1"/>
  <c r="AA51" i="5"/>
  <c r="AA49" i="5" s="1"/>
  <c r="AA47" i="5" s="1"/>
  <c r="Y51" i="5"/>
  <c r="Y49" i="5" s="1"/>
  <c r="Y47" i="5" s="1"/>
  <c r="W51" i="5"/>
  <c r="W49" i="5" s="1"/>
  <c r="W47" i="5" s="1"/>
  <c r="U51" i="5"/>
  <c r="U49" i="5" s="1"/>
  <c r="U47" i="5" s="1"/>
  <c r="S51" i="5"/>
  <c r="S49" i="5" s="1"/>
  <c r="S47" i="5" s="1"/>
  <c r="Q51" i="5"/>
  <c r="Q49" i="5" s="1"/>
  <c r="Q47" i="5" s="1"/>
  <c r="O51" i="5"/>
  <c r="O49" i="5" s="1"/>
  <c r="O47" i="5" s="1"/>
  <c r="M51" i="5"/>
  <c r="M49" i="5" s="1"/>
  <c r="M47" i="5" s="1"/>
  <c r="K51" i="5"/>
  <c r="K49" i="5" s="1"/>
  <c r="K47" i="5" s="1"/>
  <c r="I51" i="5"/>
  <c r="I49" i="5" s="1"/>
  <c r="I47" i="5" s="1"/>
  <c r="E30" i="5"/>
  <c r="E28" i="5" s="1"/>
  <c r="E44" i="5" s="1"/>
  <c r="AB30" i="5"/>
  <c r="AB28" i="5" s="1"/>
  <c r="AB44" i="5" s="1"/>
  <c r="Z30" i="5"/>
  <c r="Z28" i="5" s="1"/>
  <c r="Z44" i="5" s="1"/>
  <c r="X30" i="5"/>
  <c r="X28" i="5" s="1"/>
  <c r="X44" i="5" s="1"/>
  <c r="V30" i="5"/>
  <c r="V28" i="5" s="1"/>
  <c r="V44" i="5" s="1"/>
  <c r="T30" i="5"/>
  <c r="T28" i="5" s="1"/>
  <c r="T44" i="5" s="1"/>
  <c r="R30" i="5"/>
  <c r="R28" i="5" s="1"/>
  <c r="R44" i="5" s="1"/>
  <c r="P30" i="5"/>
  <c r="P28" i="5" s="1"/>
  <c r="P44" i="5" s="1"/>
  <c r="N30" i="5"/>
  <c r="N28" i="5" s="1"/>
  <c r="N44" i="5" s="1"/>
  <c r="L30" i="5"/>
  <c r="L28" i="5" s="1"/>
  <c r="L44" i="5" s="1"/>
  <c r="J30" i="5"/>
  <c r="J28" i="5" s="1"/>
  <c r="J44" i="5" s="1"/>
  <c r="H30" i="5"/>
  <c r="H28" i="5" s="1"/>
  <c r="H44" i="5" s="1"/>
  <c r="D82" i="5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49" i="5" l="1"/>
  <c r="AD51" i="5"/>
  <c r="E51" i="4"/>
  <c r="E49" i="4" s="1"/>
  <c r="E47" i="4" s="1"/>
  <c r="F51" i="4"/>
  <c r="F49" i="4" s="1"/>
  <c r="F47" i="4" s="1"/>
  <c r="G51" i="4"/>
  <c r="G49" i="4" s="1"/>
  <c r="G47" i="4" s="1"/>
  <c r="H51" i="4"/>
  <c r="H49" i="4" s="1"/>
  <c r="H47" i="4" s="1"/>
  <c r="I51" i="4"/>
  <c r="I49" i="4" s="1"/>
  <c r="I47" i="4" s="1"/>
  <c r="K22" i="7" s="1"/>
  <c r="J51" i="4"/>
  <c r="J49" i="4" s="1"/>
  <c r="J47" i="4" s="1"/>
  <c r="K51" i="4"/>
  <c r="K49" i="4" s="1"/>
  <c r="K47" i="4" s="1"/>
  <c r="L51" i="4"/>
  <c r="L49" i="4" s="1"/>
  <c r="L47" i="4" s="1"/>
  <c r="M51" i="4"/>
  <c r="M49" i="4" s="1"/>
  <c r="M47" i="4" s="1"/>
  <c r="N51" i="4"/>
  <c r="N49" i="4" s="1"/>
  <c r="N47" i="4" s="1"/>
  <c r="O51" i="4"/>
  <c r="O49" i="4" s="1"/>
  <c r="O47" i="4" s="1"/>
  <c r="Q44" i="16" s="1"/>
  <c r="P51" i="4"/>
  <c r="P49" i="4" s="1"/>
  <c r="P47" i="4" s="1"/>
  <c r="Q51" i="4"/>
  <c r="Q49" i="4" s="1"/>
  <c r="Q47" i="4" s="1"/>
  <c r="S22" i="7" s="1"/>
  <c r="R51" i="4"/>
  <c r="R49" i="4" s="1"/>
  <c r="R47" i="4" s="1"/>
  <c r="S51" i="4"/>
  <c r="S49" i="4" s="1"/>
  <c r="S47" i="4" s="1"/>
  <c r="T51" i="4"/>
  <c r="T49" i="4" s="1"/>
  <c r="T47" i="4" s="1"/>
  <c r="U51" i="4"/>
  <c r="U49" i="4" s="1"/>
  <c r="U47" i="4" s="1"/>
  <c r="V51" i="4"/>
  <c r="V49" i="4" s="1"/>
  <c r="V47" i="4" s="1"/>
  <c r="W51" i="4"/>
  <c r="W49" i="4" s="1"/>
  <c r="W47" i="4" s="1"/>
  <c r="Y44" i="16" s="1"/>
  <c r="X51" i="4"/>
  <c r="X49" i="4" s="1"/>
  <c r="X47" i="4" s="1"/>
  <c r="Y51" i="4"/>
  <c r="Y49" i="4" s="1"/>
  <c r="Y47" i="4" s="1"/>
  <c r="AA22" i="7" s="1"/>
  <c r="Z51" i="4"/>
  <c r="Z49" i="4" s="1"/>
  <c r="Z47" i="4" s="1"/>
  <c r="AA51" i="4"/>
  <c r="AA49" i="4" s="1"/>
  <c r="AA47" i="4" s="1"/>
  <c r="AB51" i="4"/>
  <c r="AB49" i="4" s="1"/>
  <c r="AB47" i="4" s="1"/>
  <c r="AC51" i="4"/>
  <c r="AC49" i="4" s="1"/>
  <c r="AC47" i="4" s="1"/>
  <c r="D51" i="4"/>
  <c r="AD50" i="4"/>
  <c r="G40" i="4"/>
  <c r="H40" i="4"/>
  <c r="J40" i="4"/>
  <c r="K40" i="4"/>
  <c r="L40" i="4"/>
  <c r="N40" i="4"/>
  <c r="O40" i="4"/>
  <c r="P40" i="4"/>
  <c r="R40" i="4"/>
  <c r="S40" i="4"/>
  <c r="T40" i="4"/>
  <c r="V40" i="4"/>
  <c r="W40" i="4"/>
  <c r="X40" i="4"/>
  <c r="Z40" i="4"/>
  <c r="AA40" i="4"/>
  <c r="AB40" i="4"/>
  <c r="D40" i="4"/>
  <c r="D40" i="5" s="1"/>
  <c r="AD41" i="4"/>
  <c r="AD42" i="4"/>
  <c r="AD46" i="4"/>
  <c r="AD39" i="4"/>
  <c r="AD38" i="4"/>
  <c r="AD37" i="4"/>
  <c r="AD36" i="4"/>
  <c r="AD9" i="4"/>
  <c r="AD8" i="4"/>
  <c r="E40" i="4"/>
  <c r="I40" i="4"/>
  <c r="M40" i="4"/>
  <c r="Q40" i="4"/>
  <c r="U40" i="4"/>
  <c r="Y40" i="4"/>
  <c r="AC40" i="4"/>
  <c r="AD29" i="4"/>
  <c r="E30" i="4"/>
  <c r="E28" i="4" s="1"/>
  <c r="F30" i="4"/>
  <c r="F28" i="4" s="1"/>
  <c r="G30" i="4"/>
  <c r="G28" i="4" s="1"/>
  <c r="H30" i="4"/>
  <c r="H28" i="4" s="1"/>
  <c r="I30" i="4"/>
  <c r="I28" i="4" s="1"/>
  <c r="J30" i="4"/>
  <c r="J28" i="4" s="1"/>
  <c r="K30" i="4"/>
  <c r="K28" i="4" s="1"/>
  <c r="L30" i="4"/>
  <c r="L28" i="4" s="1"/>
  <c r="M30" i="4"/>
  <c r="M28" i="4" s="1"/>
  <c r="N30" i="4"/>
  <c r="N28" i="4" s="1"/>
  <c r="O30" i="4"/>
  <c r="O28" i="4" s="1"/>
  <c r="P30" i="4"/>
  <c r="P28" i="4" s="1"/>
  <c r="Q30" i="4"/>
  <c r="Q28" i="4" s="1"/>
  <c r="R30" i="4"/>
  <c r="R28" i="4" s="1"/>
  <c r="S30" i="4"/>
  <c r="S28" i="4" s="1"/>
  <c r="T30" i="4"/>
  <c r="T28" i="4" s="1"/>
  <c r="U30" i="4"/>
  <c r="U28" i="4" s="1"/>
  <c r="V30" i="4"/>
  <c r="V28" i="4" s="1"/>
  <c r="W30" i="4"/>
  <c r="W28" i="4" s="1"/>
  <c r="X30" i="4"/>
  <c r="X28" i="4" s="1"/>
  <c r="Y30" i="4"/>
  <c r="Y28" i="4" s="1"/>
  <c r="Z30" i="4"/>
  <c r="Z28" i="4" s="1"/>
  <c r="AA30" i="4"/>
  <c r="AA28" i="4" s="1"/>
  <c r="AB30" i="4"/>
  <c r="AB28" i="4" s="1"/>
  <c r="AC30" i="4"/>
  <c r="AC28" i="4" s="1"/>
  <c r="D30" i="4"/>
  <c r="D28" i="4" s="1"/>
  <c r="D44" i="4" l="1"/>
  <c r="AC44" i="4"/>
  <c r="AC27" i="4" s="1"/>
  <c r="AA44" i="4"/>
  <c r="AA27" i="4" s="1"/>
  <c r="Y44" i="4"/>
  <c r="Y27" i="4" s="1"/>
  <c r="W44" i="4"/>
  <c r="W27" i="4" s="1"/>
  <c r="U44" i="4"/>
  <c r="U27" i="4" s="1"/>
  <c r="S44" i="4"/>
  <c r="S27" i="4" s="1"/>
  <c r="Q44" i="4"/>
  <c r="Q27" i="4" s="1"/>
  <c r="O44" i="4"/>
  <c r="O27" i="4" s="1"/>
  <c r="M44" i="4"/>
  <c r="M27" i="4" s="1"/>
  <c r="K44" i="4"/>
  <c r="K27" i="4" s="1"/>
  <c r="I44" i="4"/>
  <c r="I27" i="4" s="1"/>
  <c r="G44" i="4"/>
  <c r="G27" i="4" s="1"/>
  <c r="E44" i="4"/>
  <c r="E27" i="4" s="1"/>
  <c r="E26" i="4" s="1"/>
  <c r="AB44" i="4"/>
  <c r="AB27" i="4" s="1"/>
  <c r="Z44" i="4"/>
  <c r="Z27" i="4" s="1"/>
  <c r="X44" i="4"/>
  <c r="X27" i="4" s="1"/>
  <c r="X26" i="4" s="1"/>
  <c r="V44" i="4"/>
  <c r="V27" i="4" s="1"/>
  <c r="T44" i="4"/>
  <c r="T27" i="4" s="1"/>
  <c r="T26" i="4" s="1"/>
  <c r="R44" i="4"/>
  <c r="R27" i="4" s="1"/>
  <c r="P44" i="4"/>
  <c r="P27" i="4" s="1"/>
  <c r="N44" i="4"/>
  <c r="N27" i="4" s="1"/>
  <c r="L44" i="4"/>
  <c r="L27" i="4" s="1"/>
  <c r="J44" i="4"/>
  <c r="J27" i="4" s="1"/>
  <c r="H44" i="4"/>
  <c r="H27" i="4" s="1"/>
  <c r="H26" i="4" s="1"/>
  <c r="AB22" i="7"/>
  <c r="T22" i="7"/>
  <c r="L22" i="7"/>
  <c r="AE44" i="16"/>
  <c r="AC22" i="7"/>
  <c r="AA44" i="16"/>
  <c r="Y22" i="7"/>
  <c r="W44" i="16"/>
  <c r="U22" i="7"/>
  <c r="S44" i="16"/>
  <c r="Q22" i="7"/>
  <c r="O44" i="16"/>
  <c r="M22" i="7"/>
  <c r="K44" i="16"/>
  <c r="AC44" i="16"/>
  <c r="U44" i="16"/>
  <c r="M44" i="16"/>
  <c r="AE22" i="7"/>
  <c r="W22" i="7"/>
  <c r="O22" i="7"/>
  <c r="AD44" i="16"/>
  <c r="AD22" i="7"/>
  <c r="Z44" i="16"/>
  <c r="Z22" i="7"/>
  <c r="X44" i="16"/>
  <c r="X22" i="7"/>
  <c r="V44" i="16"/>
  <c r="V22" i="7"/>
  <c r="R44" i="16"/>
  <c r="R22" i="7"/>
  <c r="P44" i="16"/>
  <c r="P22" i="7"/>
  <c r="N44" i="16"/>
  <c r="N22" i="7"/>
  <c r="J44" i="16"/>
  <c r="J22" i="7"/>
  <c r="H44" i="16"/>
  <c r="H22" i="7"/>
  <c r="AB44" i="16"/>
  <c r="L44" i="16"/>
  <c r="I44" i="16"/>
  <c r="I22" i="7"/>
  <c r="G44" i="16"/>
  <c r="G22" i="7"/>
  <c r="T44" i="16"/>
  <c r="D51" i="5"/>
  <c r="D49" i="4"/>
  <c r="D47" i="4" s="1"/>
  <c r="D47" i="5" s="1"/>
  <c r="D28" i="5"/>
  <c r="D30" i="5"/>
  <c r="AD51" i="4"/>
  <c r="AD49" i="4"/>
  <c r="AD43" i="4"/>
  <c r="F40" i="4"/>
  <c r="AD40" i="4" s="1"/>
  <c r="AD30" i="4"/>
  <c r="D49" i="5" l="1"/>
  <c r="N26" i="4"/>
  <c r="F44" i="4"/>
  <c r="F27" i="4" s="1"/>
  <c r="F26" i="4" s="1"/>
  <c r="I26" i="4"/>
  <c r="K26" i="4"/>
  <c r="M26" i="4"/>
  <c r="O26" i="4"/>
  <c r="Q26" i="4"/>
  <c r="S26" i="4"/>
  <c r="U26" i="4"/>
  <c r="W26" i="4"/>
  <c r="Y26" i="4"/>
  <c r="AA26" i="4"/>
  <c r="AC26" i="4"/>
  <c r="J26" i="4"/>
  <c r="R26" i="4"/>
  <c r="Z26" i="4"/>
  <c r="L26" i="4"/>
  <c r="P26" i="4"/>
  <c r="V26" i="4"/>
  <c r="AB26" i="4"/>
  <c r="G26" i="4"/>
  <c r="AC19" i="15"/>
  <c r="AC20" i="15"/>
  <c r="AC21" i="15"/>
  <c r="AC22" i="15"/>
  <c r="AC23" i="15"/>
  <c r="AC24" i="15"/>
  <c r="AC25" i="15"/>
  <c r="AC17" i="15"/>
  <c r="G3" i="21"/>
  <c r="E6" i="3" l="1"/>
  <c r="E14" i="3"/>
  <c r="C46" i="16"/>
  <c r="F59" i="5"/>
  <c r="G59" i="5"/>
  <c r="D18" i="8"/>
  <c r="C18" i="8"/>
  <c r="L17" i="3"/>
  <c r="M17" i="3"/>
  <c r="N17" i="3"/>
  <c r="O17" i="3"/>
  <c r="P17" i="3"/>
  <c r="Q17" i="3"/>
  <c r="R17" i="3"/>
  <c r="S17" i="3"/>
  <c r="T17" i="3"/>
  <c r="U17" i="3"/>
  <c r="V17" i="3"/>
  <c r="W17" i="3"/>
  <c r="W18" i="8" l="1"/>
  <c r="H10" i="13" s="1"/>
  <c r="W23" i="3"/>
  <c r="U18" i="8"/>
  <c r="G10" i="13" s="1"/>
  <c r="U23" i="3"/>
  <c r="S18" i="8"/>
  <c r="F10" i="13" s="1"/>
  <c r="S23" i="3"/>
  <c r="Q18" i="8"/>
  <c r="E10" i="13" s="1"/>
  <c r="Q23" i="3"/>
  <c r="O18" i="8"/>
  <c r="D10" i="13" s="1"/>
  <c r="O23" i="3"/>
  <c r="M18" i="8"/>
  <c r="C10" i="13" s="1"/>
  <c r="M23" i="3"/>
  <c r="V18" i="8"/>
  <c r="T18" i="8"/>
  <c r="G8" i="13" s="1"/>
  <c r="R18" i="8"/>
  <c r="F8" i="13" s="1"/>
  <c r="H8" i="13"/>
  <c r="E10" i="3"/>
  <c r="E12" i="3"/>
  <c r="E13" i="3"/>
  <c r="E11" i="3"/>
  <c r="E9" i="3"/>
  <c r="E7" i="3"/>
  <c r="E8" i="3"/>
  <c r="P18" i="8"/>
  <c r="N18" i="8"/>
  <c r="L18" i="8"/>
  <c r="AB6" i="19"/>
  <c r="AB8" i="19"/>
  <c r="AB11" i="19"/>
  <c r="AD48" i="4"/>
  <c r="AD54" i="4"/>
  <c r="W25" i="3" l="1"/>
  <c r="W24" i="3" s="1"/>
  <c r="V25" i="3"/>
  <c r="U25" i="3"/>
  <c r="U24" i="3" s="1"/>
  <c r="T25" i="3"/>
  <c r="R25" i="3"/>
  <c r="S25" i="3"/>
  <c r="S24" i="3" s="1"/>
  <c r="S27" i="3" s="1"/>
  <c r="I10" i="13"/>
  <c r="E8" i="13"/>
  <c r="D8" i="13"/>
  <c r="C8" i="13"/>
  <c r="AD46" i="5"/>
  <c r="AD54" i="5"/>
  <c r="AD38" i="5"/>
  <c r="G10" i="7"/>
  <c r="G11" i="7"/>
  <c r="G12" i="7"/>
  <c r="G13" i="7"/>
  <c r="G15" i="7"/>
  <c r="G16" i="7"/>
  <c r="G17" i="7"/>
  <c r="G18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C9" i="7"/>
  <c r="B9" i="7"/>
  <c r="AD28" i="5"/>
  <c r="AD29" i="5"/>
  <c r="AD30" i="5"/>
  <c r="AD31" i="5"/>
  <c r="AD32" i="5"/>
  <c r="AD33" i="5"/>
  <c r="AD34" i="5"/>
  <c r="AD35" i="5"/>
  <c r="AD16" i="5"/>
  <c r="AD17" i="5"/>
  <c r="AD18" i="5"/>
  <c r="AD19" i="5"/>
  <c r="AD21" i="5"/>
  <c r="AD22" i="5"/>
  <c r="AD23" i="5"/>
  <c r="AD24" i="5"/>
  <c r="D16" i="5"/>
  <c r="D17" i="5"/>
  <c r="D18" i="5"/>
  <c r="D19" i="5"/>
  <c r="D21" i="5"/>
  <c r="D22" i="5"/>
  <c r="D23" i="5"/>
  <c r="D24" i="5"/>
  <c r="D15" i="5"/>
  <c r="A16" i="5"/>
  <c r="B16" i="5"/>
  <c r="C20" i="16" s="1"/>
  <c r="C16" i="5"/>
  <c r="A17" i="5"/>
  <c r="B17" i="5"/>
  <c r="C21" i="16" s="1"/>
  <c r="C17" i="5"/>
  <c r="A18" i="5"/>
  <c r="B18" i="5"/>
  <c r="C22" i="16" s="1"/>
  <c r="C18" i="5"/>
  <c r="A19" i="5"/>
  <c r="B19" i="5"/>
  <c r="C23" i="16" s="1"/>
  <c r="C19" i="5"/>
  <c r="A20" i="5"/>
  <c r="B20" i="5"/>
  <c r="C24" i="16" s="1"/>
  <c r="C20" i="5"/>
  <c r="A21" i="5"/>
  <c r="B21" i="5"/>
  <c r="C25" i="16" s="1"/>
  <c r="C21" i="5"/>
  <c r="A22" i="5"/>
  <c r="C26" i="16"/>
  <c r="C22" i="5"/>
  <c r="A23" i="5"/>
  <c r="C27" i="16"/>
  <c r="C23" i="5"/>
  <c r="A24" i="5"/>
  <c r="C28" i="16"/>
  <c r="C24" i="5"/>
  <c r="C15" i="5"/>
  <c r="B15" i="5"/>
  <c r="A15" i="5"/>
  <c r="AD28" i="4"/>
  <c r="AD31" i="4"/>
  <c r="AD32" i="4"/>
  <c r="AD33" i="4"/>
  <c r="AD34" i="4"/>
  <c r="AD35" i="4"/>
  <c r="AD19" i="4"/>
  <c r="AD21" i="4"/>
  <c r="AD22" i="4"/>
  <c r="AD23" i="4"/>
  <c r="AD24" i="4"/>
  <c r="AD18" i="4"/>
  <c r="W27" i="3" l="1"/>
  <c r="H9" i="13"/>
  <c r="F9" i="13"/>
  <c r="U27" i="3"/>
  <c r="G9" i="13"/>
  <c r="I8" i="13"/>
  <c r="AF18" i="7"/>
  <c r="AF16" i="7"/>
  <c r="AF15" i="7"/>
  <c r="AF17" i="7"/>
  <c r="AF13" i="7"/>
  <c r="AF12" i="7"/>
  <c r="AF11" i="7"/>
  <c r="AF10" i="7"/>
  <c r="AD16" i="4"/>
  <c r="AD17" i="4"/>
  <c r="D78" i="5" l="1"/>
  <c r="C8" i="8"/>
  <c r="D8" i="8"/>
  <c r="L8" i="8"/>
  <c r="M8" i="8"/>
  <c r="N8" i="8"/>
  <c r="O8" i="8"/>
  <c r="P8" i="8"/>
  <c r="Q8" i="8"/>
  <c r="R8" i="8"/>
  <c r="S8" i="8"/>
  <c r="T8" i="8"/>
  <c r="U8" i="8"/>
  <c r="V8" i="8"/>
  <c r="W8" i="8"/>
  <c r="C9" i="8"/>
  <c r="D9" i="8"/>
  <c r="L9" i="8"/>
  <c r="M9" i="8"/>
  <c r="N9" i="8"/>
  <c r="O9" i="8"/>
  <c r="P9" i="8"/>
  <c r="Q9" i="8"/>
  <c r="R9" i="8"/>
  <c r="S9" i="8"/>
  <c r="T9" i="8"/>
  <c r="U9" i="8"/>
  <c r="V9" i="8"/>
  <c r="W9" i="8"/>
  <c r="C10" i="8"/>
  <c r="D10" i="8"/>
  <c r="L10" i="8"/>
  <c r="M10" i="8"/>
  <c r="N10" i="8"/>
  <c r="O10" i="8"/>
  <c r="P10" i="8"/>
  <c r="Q10" i="8"/>
  <c r="R10" i="8"/>
  <c r="S10" i="8"/>
  <c r="T10" i="8"/>
  <c r="U10" i="8"/>
  <c r="V10" i="8"/>
  <c r="W10" i="8"/>
  <c r="C11" i="8"/>
  <c r="D11" i="8"/>
  <c r="C12" i="8"/>
  <c r="D12" i="8"/>
  <c r="L12" i="8"/>
  <c r="M12" i="8"/>
  <c r="N12" i="8"/>
  <c r="O12" i="8"/>
  <c r="P12" i="8"/>
  <c r="Q12" i="8"/>
  <c r="R12" i="8"/>
  <c r="S12" i="8"/>
  <c r="T12" i="8"/>
  <c r="U12" i="8"/>
  <c r="V12" i="8"/>
  <c r="W12" i="8"/>
  <c r="C13" i="8"/>
  <c r="D13" i="8"/>
  <c r="L13" i="8"/>
  <c r="M13" i="8"/>
  <c r="N13" i="8"/>
  <c r="O13" i="8"/>
  <c r="P13" i="8"/>
  <c r="Q13" i="8"/>
  <c r="R13" i="8"/>
  <c r="S13" i="8"/>
  <c r="T13" i="8"/>
  <c r="U13" i="8"/>
  <c r="V13" i="8"/>
  <c r="W13" i="8"/>
  <c r="C14" i="8"/>
  <c r="D14" i="8"/>
  <c r="L14" i="8"/>
  <c r="M14" i="8"/>
  <c r="N14" i="8"/>
  <c r="O14" i="8"/>
  <c r="P14" i="8"/>
  <c r="Q14" i="8"/>
  <c r="R14" i="8"/>
  <c r="S14" i="8"/>
  <c r="T14" i="8"/>
  <c r="U14" i="8"/>
  <c r="V14" i="8"/>
  <c r="W14" i="8"/>
  <c r="C15" i="8"/>
  <c r="D15" i="8"/>
  <c r="L15" i="8"/>
  <c r="E10" i="11" s="1"/>
  <c r="M15" i="8"/>
  <c r="N15" i="8"/>
  <c r="F10" i="11" s="1"/>
  <c r="O15" i="8"/>
  <c r="P15" i="8"/>
  <c r="G10" i="11" s="1"/>
  <c r="Q15" i="8"/>
  <c r="R15" i="8"/>
  <c r="S15" i="8"/>
  <c r="T15" i="8"/>
  <c r="U15" i="8"/>
  <c r="V15" i="8"/>
  <c r="W15" i="8"/>
  <c r="C17" i="8"/>
  <c r="L17" i="8"/>
  <c r="M17" i="8"/>
  <c r="N17" i="8"/>
  <c r="O17" i="8"/>
  <c r="P17" i="8"/>
  <c r="Q17" i="8"/>
  <c r="R17" i="8"/>
  <c r="S17" i="8"/>
  <c r="T17" i="8"/>
  <c r="U17" i="8"/>
  <c r="V17" i="8"/>
  <c r="W17" i="8"/>
  <c r="B8" i="8"/>
  <c r="B9" i="8"/>
  <c r="B10" i="8"/>
  <c r="B11" i="8"/>
  <c r="B12" i="8"/>
  <c r="B13" i="8"/>
  <c r="B14" i="8"/>
  <c r="B15" i="8"/>
  <c r="B17" i="8"/>
  <c r="A8" i="8"/>
  <c r="A9" i="8"/>
  <c r="A10" i="8"/>
  <c r="A11" i="8"/>
  <c r="A12" i="8"/>
  <c r="A13" i="8"/>
  <c r="A14" i="8"/>
  <c r="A15" i="8"/>
  <c r="A17" i="8"/>
  <c r="B7" i="8"/>
  <c r="C7" i="8"/>
  <c r="A7" i="8"/>
  <c r="M13" i="21" l="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G17" i="21" l="1"/>
  <c r="G21" i="21" s="1"/>
  <c r="AF21" i="21" s="1"/>
  <c r="J32" i="21" s="1"/>
  <c r="C37" i="21"/>
  <c r="H32" i="21"/>
  <c r="AE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I18" i="21"/>
  <c r="G57" i="16"/>
  <c r="G19" i="21" l="1"/>
  <c r="I19" i="21"/>
  <c r="H19" i="21"/>
  <c r="J18" i="21"/>
  <c r="J19" i="21" s="1"/>
  <c r="V26" i="15"/>
  <c r="K18" i="21" l="1"/>
  <c r="K19" i="21" s="1"/>
  <c r="L18" i="21" l="1"/>
  <c r="L19" i="21" s="1"/>
  <c r="M18" i="21" l="1"/>
  <c r="M19" i="21" s="1"/>
  <c r="M26" i="21" s="1"/>
  <c r="N18" i="21" l="1"/>
  <c r="N19" i="21" s="1"/>
  <c r="N26" i="21" s="1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D15" i="19"/>
  <c r="E15" i="19"/>
  <c r="C15" i="19"/>
  <c r="AB3" i="19"/>
  <c r="AB23" i="19" s="1"/>
  <c r="AB15" i="19" l="1"/>
  <c r="O18" i="21"/>
  <c r="O19" i="21" s="1"/>
  <c r="O26" i="21" s="1"/>
  <c r="P18" i="21" l="1"/>
  <c r="P19" i="21" s="1"/>
  <c r="P26" i="21" s="1"/>
  <c r="C33" i="18"/>
  <c r="C34" i="18"/>
  <c r="C35" i="18"/>
  <c r="C36" i="18"/>
  <c r="C37" i="18"/>
  <c r="C38" i="18"/>
  <c r="C39" i="18"/>
  <c r="C40" i="18"/>
  <c r="C32" i="18"/>
  <c r="C21" i="18"/>
  <c r="C22" i="18"/>
  <c r="C23" i="18"/>
  <c r="C24" i="18"/>
  <c r="C25" i="18"/>
  <c r="C26" i="18"/>
  <c r="C27" i="18"/>
  <c r="C28" i="18"/>
  <c r="C20" i="18"/>
  <c r="F3" i="18"/>
  <c r="F17" i="18" s="1"/>
  <c r="F16" i="18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F24" i="17"/>
  <c r="E24" i="17"/>
  <c r="G19" i="17"/>
  <c r="G23" i="17" s="1"/>
  <c r="I51" i="16" s="1"/>
  <c r="H19" i="17"/>
  <c r="H23" i="17" s="1"/>
  <c r="J51" i="16" s="1"/>
  <c r="I19" i="17"/>
  <c r="I23" i="17" s="1"/>
  <c r="K51" i="16" s="1"/>
  <c r="J19" i="17"/>
  <c r="J23" i="17" s="1"/>
  <c r="L51" i="16" s="1"/>
  <c r="K19" i="17"/>
  <c r="K23" i="17" s="1"/>
  <c r="M51" i="16" s="1"/>
  <c r="L19" i="17"/>
  <c r="L23" i="17" s="1"/>
  <c r="N51" i="16" s="1"/>
  <c r="M19" i="17"/>
  <c r="M23" i="17" s="1"/>
  <c r="O51" i="16" s="1"/>
  <c r="N19" i="17"/>
  <c r="N23" i="17" s="1"/>
  <c r="P51" i="16" s="1"/>
  <c r="O19" i="17"/>
  <c r="O23" i="17" s="1"/>
  <c r="Q51" i="16" s="1"/>
  <c r="P19" i="17"/>
  <c r="P23" i="17" s="1"/>
  <c r="R51" i="16" s="1"/>
  <c r="Q19" i="17"/>
  <c r="Q23" i="17" s="1"/>
  <c r="S51" i="16" s="1"/>
  <c r="R19" i="17"/>
  <c r="R23" i="17" s="1"/>
  <c r="T51" i="16" s="1"/>
  <c r="S19" i="17"/>
  <c r="S23" i="17" s="1"/>
  <c r="U51" i="16" s="1"/>
  <c r="T19" i="17"/>
  <c r="T23" i="17" s="1"/>
  <c r="V51" i="16" s="1"/>
  <c r="U19" i="17"/>
  <c r="U23" i="17" s="1"/>
  <c r="W51" i="16" s="1"/>
  <c r="V19" i="17"/>
  <c r="V23" i="17" s="1"/>
  <c r="X51" i="16" s="1"/>
  <c r="W19" i="17"/>
  <c r="W23" i="17" s="1"/>
  <c r="Y51" i="16" s="1"/>
  <c r="X19" i="17"/>
  <c r="X23" i="17" s="1"/>
  <c r="Z51" i="16" s="1"/>
  <c r="Y19" i="17"/>
  <c r="Y23" i="17" s="1"/>
  <c r="AA51" i="16" s="1"/>
  <c r="Z19" i="17"/>
  <c r="Z23" i="17" s="1"/>
  <c r="AB51" i="16" s="1"/>
  <c r="AA19" i="17"/>
  <c r="AA23" i="17" s="1"/>
  <c r="AC51" i="16" s="1"/>
  <c r="AB19" i="17"/>
  <c r="AB23" i="17" s="1"/>
  <c r="AD51" i="16" s="1"/>
  <c r="AC19" i="17"/>
  <c r="AC23" i="17" s="1"/>
  <c r="AE51" i="16" s="1"/>
  <c r="F19" i="17"/>
  <c r="F23" i="17" s="1"/>
  <c r="H51" i="16" s="1"/>
  <c r="G16" i="17"/>
  <c r="G22" i="17" s="1"/>
  <c r="H16" i="17"/>
  <c r="H22" i="17" s="1"/>
  <c r="I16" i="17"/>
  <c r="I22" i="17" s="1"/>
  <c r="J16" i="17"/>
  <c r="J22" i="17" s="1"/>
  <c r="K16" i="17"/>
  <c r="K22" i="17" s="1"/>
  <c r="L16" i="17"/>
  <c r="L22" i="17" s="1"/>
  <c r="M16" i="17"/>
  <c r="M22" i="17" s="1"/>
  <c r="N16" i="17"/>
  <c r="N22" i="17" s="1"/>
  <c r="O16" i="17"/>
  <c r="O22" i="17" s="1"/>
  <c r="P16" i="17"/>
  <c r="P22" i="17" s="1"/>
  <c r="Q16" i="17"/>
  <c r="Q22" i="17" s="1"/>
  <c r="R16" i="17"/>
  <c r="R22" i="17" s="1"/>
  <c r="S16" i="17"/>
  <c r="S22" i="17" s="1"/>
  <c r="T16" i="17"/>
  <c r="T22" i="17" s="1"/>
  <c r="U16" i="17"/>
  <c r="U22" i="17" s="1"/>
  <c r="V16" i="17"/>
  <c r="V22" i="17" s="1"/>
  <c r="W16" i="17"/>
  <c r="W22" i="17" s="1"/>
  <c r="X16" i="17"/>
  <c r="X22" i="17" s="1"/>
  <c r="Y16" i="17"/>
  <c r="Y22" i="17" s="1"/>
  <c r="Z16" i="17"/>
  <c r="Z22" i="17" s="1"/>
  <c r="AA16" i="17"/>
  <c r="AA22" i="17" s="1"/>
  <c r="AB16" i="17"/>
  <c r="AB22" i="17" s="1"/>
  <c r="AC16" i="17"/>
  <c r="AC22" i="17" s="1"/>
  <c r="F16" i="17"/>
  <c r="F22" i="17" s="1"/>
  <c r="E16" i="17"/>
  <c r="E22" i="17" s="1"/>
  <c r="E19" i="17"/>
  <c r="E23" i="17" s="1"/>
  <c r="G51" i="16" s="1"/>
  <c r="H50" i="16" l="1"/>
  <c r="F21" i="17"/>
  <c r="AD50" i="16"/>
  <c r="AB21" i="17"/>
  <c r="AB50" i="16"/>
  <c r="Z21" i="17"/>
  <c r="Z50" i="16"/>
  <c r="X21" i="17"/>
  <c r="X50" i="16"/>
  <c r="V21" i="17"/>
  <c r="V50" i="16"/>
  <c r="T21" i="17"/>
  <c r="T50" i="16"/>
  <c r="R21" i="17"/>
  <c r="R50" i="16"/>
  <c r="P21" i="17"/>
  <c r="Q11" i="18" s="1"/>
  <c r="P50" i="16"/>
  <c r="N21" i="17"/>
  <c r="O11" i="18" s="1"/>
  <c r="N50" i="16"/>
  <c r="L21" i="17"/>
  <c r="M11" i="18" s="1"/>
  <c r="L50" i="16"/>
  <c r="J21" i="17"/>
  <c r="K11" i="18" s="1"/>
  <c r="J50" i="16"/>
  <c r="H21" i="17"/>
  <c r="G50" i="16"/>
  <c r="E21" i="17"/>
  <c r="AE50" i="16"/>
  <c r="AC21" i="17"/>
  <c r="AC50" i="16"/>
  <c r="AA21" i="17"/>
  <c r="AA50" i="16"/>
  <c r="Y21" i="17"/>
  <c r="Y50" i="16"/>
  <c r="W21" i="17"/>
  <c r="W50" i="16"/>
  <c r="U21" i="17"/>
  <c r="U50" i="16"/>
  <c r="S21" i="17"/>
  <c r="T11" i="18" s="1"/>
  <c r="S50" i="16"/>
  <c r="Q21" i="17"/>
  <c r="R11" i="18" s="1"/>
  <c r="Q50" i="16"/>
  <c r="O21" i="17"/>
  <c r="O50" i="16"/>
  <c r="M21" i="17"/>
  <c r="N11" i="18" s="1"/>
  <c r="M50" i="16"/>
  <c r="K21" i="17"/>
  <c r="L11" i="18" s="1"/>
  <c r="K50" i="16"/>
  <c r="I21" i="17"/>
  <c r="I50" i="16"/>
  <c r="G21" i="17"/>
  <c r="G52" i="16"/>
  <c r="AE52" i="16"/>
  <c r="AC52" i="16"/>
  <c r="AC49" i="16" s="1"/>
  <c r="AA52" i="16"/>
  <c r="Y52" i="16"/>
  <c r="W52" i="16"/>
  <c r="U52" i="16"/>
  <c r="S52" i="16"/>
  <c r="Q52" i="16"/>
  <c r="O52" i="16"/>
  <c r="M52" i="16"/>
  <c r="K52" i="16"/>
  <c r="I52" i="16"/>
  <c r="H52" i="16"/>
  <c r="AD52" i="16"/>
  <c r="AB52" i="16"/>
  <c r="Z52" i="16"/>
  <c r="X52" i="16"/>
  <c r="V52" i="16"/>
  <c r="S11" i="18"/>
  <c r="T52" i="16"/>
  <c r="T49" i="16" s="1"/>
  <c r="R52" i="16"/>
  <c r="P52" i="16"/>
  <c r="N52" i="16"/>
  <c r="L52" i="16"/>
  <c r="J52" i="16"/>
  <c r="P11" i="18"/>
  <c r="Q18" i="21"/>
  <c r="Q19" i="21" s="1"/>
  <c r="Q26" i="21" s="1"/>
  <c r="F18" i="18"/>
  <c r="Y49" i="16" l="1"/>
  <c r="I49" i="16"/>
  <c r="G49" i="16"/>
  <c r="M49" i="16"/>
  <c r="L49" i="16"/>
  <c r="U49" i="16"/>
  <c r="S49" i="16"/>
  <c r="V49" i="16"/>
  <c r="AD49" i="16"/>
  <c r="N49" i="16"/>
  <c r="Z49" i="16"/>
  <c r="J49" i="16"/>
  <c r="P49" i="16"/>
  <c r="R49" i="16"/>
  <c r="X49" i="16"/>
  <c r="AB49" i="16"/>
  <c r="H49" i="16"/>
  <c r="K49" i="16"/>
  <c r="O49" i="16"/>
  <c r="Q49" i="16"/>
  <c r="W49" i="16"/>
  <c r="AA49" i="16"/>
  <c r="AE49" i="16"/>
  <c r="R18" i="21"/>
  <c r="R19" i="21" s="1"/>
  <c r="R26" i="21" s="1"/>
  <c r="S18" i="21" l="1"/>
  <c r="S19" i="21" s="1"/>
  <c r="S26" i="21" s="1"/>
  <c r="T18" i="21" l="1"/>
  <c r="T19" i="21" s="1"/>
  <c r="T26" i="21" s="1"/>
  <c r="E3" i="17"/>
  <c r="AD24" i="17"/>
  <c r="AD11" i="18"/>
  <c r="AB11" i="18"/>
  <c r="Z11" i="18"/>
  <c r="X11" i="18"/>
  <c r="V11" i="18"/>
  <c r="J11" i="18"/>
  <c r="H11" i="18"/>
  <c r="C17" i="16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W26" i="15"/>
  <c r="X26" i="15"/>
  <c r="Y26" i="15"/>
  <c r="Z26" i="15"/>
  <c r="AA26" i="15"/>
  <c r="AB26" i="15"/>
  <c r="D26" i="15"/>
  <c r="C52" i="16"/>
  <c r="C51" i="16"/>
  <c r="C50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M47" i="16"/>
  <c r="M46" i="16" s="1"/>
  <c r="N47" i="16"/>
  <c r="N46" i="16" s="1"/>
  <c r="O47" i="16"/>
  <c r="O46" i="16" s="1"/>
  <c r="P47" i="16"/>
  <c r="P46" i="16" s="1"/>
  <c r="Q47" i="16"/>
  <c r="Q46" i="16" s="1"/>
  <c r="R47" i="16"/>
  <c r="R46" i="16" s="1"/>
  <c r="S47" i="16"/>
  <c r="S46" i="16" s="1"/>
  <c r="T47" i="16"/>
  <c r="T46" i="16" s="1"/>
  <c r="U47" i="16"/>
  <c r="U46" i="16" s="1"/>
  <c r="V47" i="16"/>
  <c r="V46" i="16" s="1"/>
  <c r="W47" i="16"/>
  <c r="W46" i="16" s="1"/>
  <c r="X47" i="16"/>
  <c r="X46" i="16" s="1"/>
  <c r="Y47" i="16"/>
  <c r="Y46" i="16" s="1"/>
  <c r="Z47" i="16"/>
  <c r="Z46" i="16" s="1"/>
  <c r="AA47" i="16"/>
  <c r="AA46" i="16" s="1"/>
  <c r="AB47" i="16"/>
  <c r="AB46" i="16" s="1"/>
  <c r="AC47" i="16"/>
  <c r="AC46" i="16" s="1"/>
  <c r="AD47" i="16"/>
  <c r="AD46" i="16" s="1"/>
  <c r="AE47" i="16"/>
  <c r="AE46" i="16" s="1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G33" i="16"/>
  <c r="F33" i="18" s="1"/>
  <c r="G34" i="16"/>
  <c r="F34" i="18" s="1"/>
  <c r="G35" i="16"/>
  <c r="F35" i="18" s="1"/>
  <c r="G36" i="16"/>
  <c r="F36" i="18" s="1"/>
  <c r="G37" i="16"/>
  <c r="G38" i="16"/>
  <c r="F38" i="18" s="1"/>
  <c r="G39" i="16"/>
  <c r="F39" i="18" s="1"/>
  <c r="G40" i="16"/>
  <c r="F40" i="18" s="1"/>
  <c r="G32" i="16"/>
  <c r="C33" i="16"/>
  <c r="C34" i="16"/>
  <c r="C35" i="16"/>
  <c r="C36" i="16"/>
  <c r="C37" i="16"/>
  <c r="C38" i="16"/>
  <c r="C39" i="16"/>
  <c r="C40" i="16"/>
  <c r="C32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G10" i="16"/>
  <c r="F21" i="18" s="1"/>
  <c r="G11" i="16"/>
  <c r="F22" i="18" s="1"/>
  <c r="G12" i="16"/>
  <c r="F23" i="18" s="1"/>
  <c r="G13" i="16"/>
  <c r="F24" i="18" s="1"/>
  <c r="G14" i="16"/>
  <c r="F25" i="18" s="1"/>
  <c r="G15" i="16"/>
  <c r="F26" i="18" s="1"/>
  <c r="G16" i="16"/>
  <c r="F27" i="18" s="1"/>
  <c r="G17" i="16"/>
  <c r="F28" i="18" s="1"/>
  <c r="G9" i="16"/>
  <c r="F20" i="18" s="1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C10" i="16"/>
  <c r="C11" i="16"/>
  <c r="C12" i="16"/>
  <c r="C13" i="16"/>
  <c r="C14" i="16"/>
  <c r="C15" i="16"/>
  <c r="C16" i="16"/>
  <c r="C9" i="16"/>
  <c r="G3" i="16"/>
  <c r="G58" i="16" s="1"/>
  <c r="I6" i="15"/>
  <c r="J8" i="17" s="1"/>
  <c r="K6" i="18" s="1"/>
  <c r="J6" i="15"/>
  <c r="K8" i="17" s="1"/>
  <c r="L6" i="18" s="1"/>
  <c r="K6" i="15"/>
  <c r="L8" i="17" s="1"/>
  <c r="M6" i="18" s="1"/>
  <c r="L6" i="15"/>
  <c r="M8" i="17" s="1"/>
  <c r="N6" i="18" s="1"/>
  <c r="M6" i="15"/>
  <c r="N8" i="17" s="1"/>
  <c r="O6" i="18" s="1"/>
  <c r="N6" i="15"/>
  <c r="O8" i="17" s="1"/>
  <c r="P6" i="18" s="1"/>
  <c r="O6" i="15"/>
  <c r="P8" i="17" s="1"/>
  <c r="Q6" i="18" s="1"/>
  <c r="P6" i="15"/>
  <c r="Q8" i="17" s="1"/>
  <c r="R6" i="18" s="1"/>
  <c r="Q6" i="15"/>
  <c r="R8" i="17" s="1"/>
  <c r="S6" i="18" s="1"/>
  <c r="R6" i="15"/>
  <c r="S8" i="17" s="1"/>
  <c r="T6" i="18" s="1"/>
  <c r="S6" i="15"/>
  <c r="T8" i="17" s="1"/>
  <c r="U6" i="18" s="1"/>
  <c r="I16" i="15"/>
  <c r="J16" i="15"/>
  <c r="K13" i="17" s="1"/>
  <c r="L9" i="18" s="1"/>
  <c r="K16" i="15"/>
  <c r="L13" i="17" s="1"/>
  <c r="M9" i="18" s="1"/>
  <c r="L16" i="15"/>
  <c r="M13" i="17" s="1"/>
  <c r="N9" i="18" s="1"/>
  <c r="M16" i="15"/>
  <c r="N13" i="17" s="1"/>
  <c r="O9" i="18" s="1"/>
  <c r="N16" i="15"/>
  <c r="O13" i="17" s="1"/>
  <c r="P9" i="18" s="1"/>
  <c r="O16" i="15"/>
  <c r="P13" i="17" s="1"/>
  <c r="Q9" i="18" s="1"/>
  <c r="P16" i="15"/>
  <c r="Q13" i="17" s="1"/>
  <c r="R9" i="18" s="1"/>
  <c r="Q16" i="15"/>
  <c r="R13" i="17" s="1"/>
  <c r="S9" i="18" s="1"/>
  <c r="R16" i="15"/>
  <c r="S13" i="17" s="1"/>
  <c r="T9" i="18" s="1"/>
  <c r="S16" i="15"/>
  <c r="T13" i="17" s="1"/>
  <c r="U9" i="18" s="1"/>
  <c r="T16" i="15"/>
  <c r="U13" i="17" s="1"/>
  <c r="V9" i="18" s="1"/>
  <c r="D3" i="15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W4" i="15" s="1"/>
  <c r="X4" i="15" s="1"/>
  <c r="Y4" i="15" s="1"/>
  <c r="Z4" i="15" s="1"/>
  <c r="AA4" i="15" s="1"/>
  <c r="AB4" i="15" s="1"/>
  <c r="AC29" i="15"/>
  <c r="AC28" i="15"/>
  <c r="AC27" i="15"/>
  <c r="AC18" i="15"/>
  <c r="AB16" i="15"/>
  <c r="AC13" i="17" s="1"/>
  <c r="AD9" i="18" s="1"/>
  <c r="AA16" i="15"/>
  <c r="AB13" i="17" s="1"/>
  <c r="AC9" i="18" s="1"/>
  <c r="Z16" i="15"/>
  <c r="AA13" i="17" s="1"/>
  <c r="AB9" i="18" s="1"/>
  <c r="Y16" i="15"/>
  <c r="Z13" i="17" s="1"/>
  <c r="AA9" i="18" s="1"/>
  <c r="X16" i="15"/>
  <c r="Y13" i="17" s="1"/>
  <c r="Z9" i="18" s="1"/>
  <c r="W16" i="15"/>
  <c r="X13" i="17" s="1"/>
  <c r="Y9" i="18" s="1"/>
  <c r="V16" i="15"/>
  <c r="W13" i="17" s="1"/>
  <c r="X9" i="18" s="1"/>
  <c r="U16" i="15"/>
  <c r="V13" i="17" s="1"/>
  <c r="W9" i="18" s="1"/>
  <c r="H16" i="15"/>
  <c r="I13" i="17" s="1"/>
  <c r="J9" i="18" s="1"/>
  <c r="G16" i="15"/>
  <c r="H13" i="17" s="1"/>
  <c r="I9" i="18" s="1"/>
  <c r="F16" i="15"/>
  <c r="G13" i="17" s="1"/>
  <c r="E16" i="15"/>
  <c r="F13" i="17" s="1"/>
  <c r="G9" i="18" s="1"/>
  <c r="D16" i="15"/>
  <c r="E13" i="17" s="1"/>
  <c r="F9" i="18" s="1"/>
  <c r="F31" i="18" s="1"/>
  <c r="AC15" i="15"/>
  <c r="AC14" i="15"/>
  <c r="AC13" i="15"/>
  <c r="AC12" i="15"/>
  <c r="AC11" i="15"/>
  <c r="AC10" i="15"/>
  <c r="AC9" i="15"/>
  <c r="AC8" i="15"/>
  <c r="AC7" i="15"/>
  <c r="AB6" i="15"/>
  <c r="AC8" i="17" s="1"/>
  <c r="AD6" i="18" s="1"/>
  <c r="AA6" i="15"/>
  <c r="AB8" i="17" s="1"/>
  <c r="AC6" i="18" s="1"/>
  <c r="Z6" i="15"/>
  <c r="AA8" i="17" s="1"/>
  <c r="AB6" i="18" s="1"/>
  <c r="Y6" i="15"/>
  <c r="Z8" i="17" s="1"/>
  <c r="AA6" i="18" s="1"/>
  <c r="X6" i="15"/>
  <c r="Y8" i="17" s="1"/>
  <c r="Z6" i="18" s="1"/>
  <c r="W6" i="15"/>
  <c r="X8" i="17" s="1"/>
  <c r="Y6" i="18" s="1"/>
  <c r="V6" i="15"/>
  <c r="W8" i="17" s="1"/>
  <c r="X6" i="18" s="1"/>
  <c r="U6" i="15"/>
  <c r="V8" i="17" s="1"/>
  <c r="W6" i="18" s="1"/>
  <c r="T6" i="15"/>
  <c r="U8" i="17" s="1"/>
  <c r="V6" i="18" s="1"/>
  <c r="H6" i="15"/>
  <c r="I8" i="17" s="1"/>
  <c r="J6" i="18" s="1"/>
  <c r="G6" i="15"/>
  <c r="H8" i="17" s="1"/>
  <c r="I6" i="18" s="1"/>
  <c r="F6" i="15"/>
  <c r="G8" i="17" s="1"/>
  <c r="H6" i="18" s="1"/>
  <c r="E6" i="15"/>
  <c r="F8" i="17" s="1"/>
  <c r="G6" i="18" s="1"/>
  <c r="D6" i="15"/>
  <c r="E8" i="17" s="1"/>
  <c r="F6" i="18" s="1"/>
  <c r="F19" i="18" s="1"/>
  <c r="AE45" i="16" l="1"/>
  <c r="AC45" i="16"/>
  <c r="AA45" i="16"/>
  <c r="Y45" i="16"/>
  <c r="W45" i="16"/>
  <c r="U45" i="16"/>
  <c r="S45" i="16"/>
  <c r="Q45" i="16"/>
  <c r="O45" i="16"/>
  <c r="M45" i="16"/>
  <c r="H9" i="18"/>
  <c r="G31" i="16"/>
  <c r="H31" i="16"/>
  <c r="AC26" i="15"/>
  <c r="AD45" i="16"/>
  <c r="AB45" i="16"/>
  <c r="Z45" i="16"/>
  <c r="X45" i="16"/>
  <c r="V45" i="16"/>
  <c r="T45" i="16"/>
  <c r="R45" i="16"/>
  <c r="P45" i="16"/>
  <c r="N45" i="16"/>
  <c r="AE31" i="16"/>
  <c r="AC31" i="16"/>
  <c r="AA31" i="16"/>
  <c r="Y31" i="16"/>
  <c r="W31" i="16"/>
  <c r="U31" i="16"/>
  <c r="S31" i="16"/>
  <c r="Q31" i="16"/>
  <c r="O31" i="16"/>
  <c r="M31" i="16"/>
  <c r="K31" i="16"/>
  <c r="I31" i="16"/>
  <c r="L31" i="16"/>
  <c r="AD31" i="16"/>
  <c r="AB31" i="16"/>
  <c r="Z31" i="16"/>
  <c r="X31" i="16"/>
  <c r="V31" i="16"/>
  <c r="T31" i="16"/>
  <c r="R31" i="16"/>
  <c r="P31" i="16"/>
  <c r="N31" i="16"/>
  <c r="J31" i="16"/>
  <c r="J13" i="17"/>
  <c r="K9" i="18" s="1"/>
  <c r="AC16" i="15"/>
  <c r="U18" i="21"/>
  <c r="U19" i="21" s="1"/>
  <c r="U26" i="21" s="1"/>
  <c r="AF37" i="16"/>
  <c r="F37" i="18"/>
  <c r="F32" i="18"/>
  <c r="AE6" i="18"/>
  <c r="G48" i="18" s="1"/>
  <c r="V8" i="16"/>
  <c r="I11" i="18"/>
  <c r="U11" i="18"/>
  <c r="W11" i="18"/>
  <c r="Y11" i="18"/>
  <c r="AA11" i="18"/>
  <c r="AC11" i="18"/>
  <c r="G11" i="18"/>
  <c r="AD23" i="17"/>
  <c r="AD8" i="17"/>
  <c r="AD16" i="17"/>
  <c r="AD19" i="17"/>
  <c r="AD8" i="16"/>
  <c r="Z8" i="16"/>
  <c r="R8" i="16"/>
  <c r="N8" i="16"/>
  <c r="J8" i="16"/>
  <c r="AB8" i="16"/>
  <c r="X8" i="16"/>
  <c r="T8" i="16"/>
  <c r="P8" i="16"/>
  <c r="L8" i="16"/>
  <c r="H8" i="16"/>
  <c r="AF52" i="16"/>
  <c r="AF16" i="16"/>
  <c r="AE8" i="16"/>
  <c r="AC8" i="16"/>
  <c r="AA8" i="16"/>
  <c r="Y8" i="16"/>
  <c r="W8" i="16"/>
  <c r="U8" i="16"/>
  <c r="S8" i="16"/>
  <c r="Q8" i="16"/>
  <c r="O8" i="16"/>
  <c r="M8" i="16"/>
  <c r="K8" i="16"/>
  <c r="I8" i="16"/>
  <c r="AF33" i="16"/>
  <c r="AF39" i="16"/>
  <c r="AF35" i="16"/>
  <c r="AF10" i="16"/>
  <c r="AF14" i="16"/>
  <c r="AF11" i="16"/>
  <c r="AF13" i="16"/>
  <c r="AF15" i="16"/>
  <c r="AF17" i="16"/>
  <c r="AF28" i="16"/>
  <c r="AF34" i="16"/>
  <c r="AF36" i="16"/>
  <c r="AF38" i="16"/>
  <c r="AF40" i="16"/>
  <c r="AF51" i="16"/>
  <c r="AF9" i="16"/>
  <c r="G8" i="16"/>
  <c r="AF12" i="16"/>
  <c r="AF32" i="16"/>
  <c r="AF50" i="16"/>
  <c r="G59" i="16"/>
  <c r="AC6" i="15"/>
  <c r="AE9" i="18" l="1"/>
  <c r="G51" i="18" s="1"/>
  <c r="AD13" i="17"/>
  <c r="V18" i="21"/>
  <c r="V19" i="21" s="1"/>
  <c r="V26" i="21" s="1"/>
  <c r="AF31" i="16"/>
  <c r="F77" i="16" s="1"/>
  <c r="G62" i="16"/>
  <c r="F11" i="18"/>
  <c r="AD22" i="17"/>
  <c r="G67" i="16"/>
  <c r="AF49" i="16"/>
  <c r="F80" i="16" s="1"/>
  <c r="G60" i="16"/>
  <c r="AF8" i="16"/>
  <c r="F73" i="16" s="1"/>
  <c r="G64" i="16"/>
  <c r="W18" i="21" l="1"/>
  <c r="W19" i="21" s="1"/>
  <c r="W26" i="21" s="1"/>
  <c r="AE11" i="18"/>
  <c r="G53" i="18" s="1"/>
  <c r="F42" i="18"/>
  <c r="AD21" i="17"/>
  <c r="X18" i="21" l="1"/>
  <c r="X19" i="21" s="1"/>
  <c r="X26" i="21" s="1"/>
  <c r="Y18" i="21" l="1"/>
  <c r="Y19" i="21" s="1"/>
  <c r="Y26" i="21" s="1"/>
  <c r="G26" i="7"/>
  <c r="Z18" i="21" l="1"/>
  <c r="Z19" i="21" s="1"/>
  <c r="Z26" i="21" s="1"/>
  <c r="L48" i="16"/>
  <c r="K48" i="16"/>
  <c r="J48" i="16"/>
  <c r="I48" i="16"/>
  <c r="H48" i="16"/>
  <c r="AD47" i="5" l="1"/>
  <c r="G48" i="16"/>
  <c r="AF48" i="16" s="1"/>
  <c r="AD59" i="5"/>
  <c r="AA18" i="21"/>
  <c r="AA19" i="21" s="1"/>
  <c r="AA26" i="21" s="1"/>
  <c r="J2" i="2"/>
  <c r="AD45" i="5" l="1"/>
  <c r="AB18" i="21"/>
  <c r="AB19" i="21" s="1"/>
  <c r="AB26" i="21" s="1"/>
  <c r="AC18" i="21" l="1"/>
  <c r="AC19" i="21" s="1"/>
  <c r="AC26" i="21" s="1"/>
  <c r="AD18" i="21" l="1"/>
  <c r="AD19" i="21" s="1"/>
  <c r="AD26" i="21" s="1"/>
  <c r="B40" i="1"/>
  <c r="AE18" i="21" l="1"/>
  <c r="AE19" i="21" s="1"/>
  <c r="AE26" i="21" s="1"/>
  <c r="E15" i="11"/>
  <c r="F15" i="10"/>
  <c r="G31" i="7"/>
  <c r="C19" i="16" l="1"/>
  <c r="AD36" i="5" l="1"/>
  <c r="G17" i="8"/>
  <c r="H17" i="8"/>
  <c r="G13" i="8"/>
  <c r="H13" i="8"/>
  <c r="G14" i="8"/>
  <c r="H14" i="8"/>
  <c r="G15" i="8"/>
  <c r="H15" i="8"/>
  <c r="H12" i="8"/>
  <c r="G12" i="8"/>
  <c r="G9" i="8"/>
  <c r="H9" i="8"/>
  <c r="H10" i="8"/>
  <c r="G8" i="8"/>
  <c r="M11" i="8"/>
  <c r="N11" i="8"/>
  <c r="O11" i="8"/>
  <c r="P11" i="8"/>
  <c r="Q11" i="8"/>
  <c r="R11" i="8"/>
  <c r="S11" i="8"/>
  <c r="T11" i="8"/>
  <c r="U11" i="8"/>
  <c r="V11" i="8"/>
  <c r="W11" i="8"/>
  <c r="O7" i="8"/>
  <c r="Q7" i="8"/>
  <c r="S7" i="8"/>
  <c r="U7" i="8"/>
  <c r="W7" i="8"/>
  <c r="L7" i="8"/>
  <c r="G10" i="8" l="1"/>
  <c r="V7" i="8"/>
  <c r="T7" i="8"/>
  <c r="N7" i="8"/>
  <c r="E8" i="8"/>
  <c r="H8" i="8"/>
  <c r="L11" i="8"/>
  <c r="R7" i="8"/>
  <c r="P7" i="8"/>
  <c r="M7" i="8"/>
  <c r="E9" i="8"/>
  <c r="G11" i="13"/>
  <c r="H11" i="13"/>
  <c r="F11" i="13"/>
  <c r="E10" i="8"/>
  <c r="H11" i="8" l="1"/>
  <c r="H17" i="3"/>
  <c r="H18" i="8" s="1"/>
  <c r="G11" i="8"/>
  <c r="G17" i="3"/>
  <c r="AD10" i="11"/>
  <c r="G7" i="8"/>
  <c r="D6" i="12" s="1"/>
  <c r="H7" i="8"/>
  <c r="E15" i="8"/>
  <c r="D16" i="3"/>
  <c r="D17" i="8" s="1"/>
  <c r="G18" i="8" l="1"/>
  <c r="D8" i="12" s="1"/>
  <c r="C9" i="14"/>
  <c r="E7" i="8"/>
  <c r="E16" i="3"/>
  <c r="G2" i="2"/>
  <c r="E17" i="8" l="1"/>
  <c r="E17" i="3"/>
  <c r="D7" i="12"/>
  <c r="C42" i="1"/>
  <c r="C75" i="1" s="1"/>
  <c r="D42" i="1"/>
  <c r="D75" i="1" s="1"/>
  <c r="E42" i="1"/>
  <c r="E75" i="1" s="1"/>
  <c r="F42" i="1"/>
  <c r="F75" i="1" s="1"/>
  <c r="G42" i="1"/>
  <c r="G75" i="1" s="1"/>
  <c r="H42" i="1"/>
  <c r="H75" i="1" s="1"/>
  <c r="I42" i="1"/>
  <c r="I75" i="1" s="1"/>
  <c r="J42" i="1"/>
  <c r="J75" i="1" s="1"/>
  <c r="K42" i="1"/>
  <c r="K75" i="1" s="1"/>
  <c r="L42" i="1"/>
  <c r="L75" i="1" s="1"/>
  <c r="M42" i="1"/>
  <c r="M75" i="1" s="1"/>
  <c r="N42" i="1"/>
  <c r="N75" i="1" s="1"/>
  <c r="O42" i="1"/>
  <c r="O75" i="1" s="1"/>
  <c r="P42" i="1"/>
  <c r="P75" i="1" s="1"/>
  <c r="Q42" i="1"/>
  <c r="Q75" i="1" s="1"/>
  <c r="R42" i="1"/>
  <c r="R75" i="1" s="1"/>
  <c r="S42" i="1"/>
  <c r="S75" i="1" s="1"/>
  <c r="T42" i="1"/>
  <c r="T75" i="1" s="1"/>
  <c r="U42" i="1"/>
  <c r="U75" i="1" s="1"/>
  <c r="V42" i="1"/>
  <c r="V75" i="1" s="1"/>
  <c r="W42" i="1"/>
  <c r="W75" i="1" s="1"/>
  <c r="X42" i="1"/>
  <c r="X75" i="1" s="1"/>
  <c r="Y42" i="1"/>
  <c r="Y75" i="1" s="1"/>
  <c r="Z42" i="1"/>
  <c r="Z75" i="1" s="1"/>
  <c r="B42" i="1"/>
  <c r="B75" i="1" s="1"/>
  <c r="C40" i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D9" i="12" l="1"/>
  <c r="AD39" i="5"/>
  <c r="AD43" i="5"/>
  <c r="AF43" i="16" l="1"/>
  <c r="AE18" i="6" l="1"/>
  <c r="AE10" i="6"/>
  <c r="C4" i="13"/>
  <c r="D4" i="13" s="1"/>
  <c r="E4" i="13" s="1"/>
  <c r="F4" i="13" s="1"/>
  <c r="G4" i="13" s="1"/>
  <c r="H4" i="13" s="1"/>
  <c r="L5" i="8" l="1"/>
  <c r="C8" i="14" l="1"/>
  <c r="Q17" i="11" l="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F11" i="11"/>
  <c r="E11" i="11"/>
  <c r="E11" i="17" s="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K9" i="11"/>
  <c r="L9" i="11"/>
  <c r="M9" i="11"/>
  <c r="N9" i="11"/>
  <c r="O9" i="11"/>
  <c r="P9" i="11"/>
  <c r="Q9" i="11"/>
  <c r="Q21" i="11" s="1"/>
  <c r="R9" i="11"/>
  <c r="R21" i="11" s="1"/>
  <c r="S9" i="11"/>
  <c r="T9" i="11"/>
  <c r="U9" i="11"/>
  <c r="V9" i="11"/>
  <c r="W9" i="11"/>
  <c r="X9" i="11"/>
  <c r="Y9" i="11"/>
  <c r="Y21" i="11" s="1"/>
  <c r="Z9" i="11"/>
  <c r="Z21" i="11" s="1"/>
  <c r="AA9" i="11"/>
  <c r="AB9" i="11"/>
  <c r="AC9" i="11"/>
  <c r="F3" i="11"/>
  <c r="E4" i="11"/>
  <c r="P17" i="11"/>
  <c r="O17" i="11"/>
  <c r="N17" i="11"/>
  <c r="M17" i="11"/>
  <c r="L17" i="11"/>
  <c r="K17" i="11"/>
  <c r="J17" i="11"/>
  <c r="I17" i="11"/>
  <c r="H17" i="11"/>
  <c r="G17" i="11"/>
  <c r="G22" i="11" s="1"/>
  <c r="F17" i="11"/>
  <c r="F22" i="11" s="1"/>
  <c r="E17" i="11"/>
  <c r="H9" i="10"/>
  <c r="I11" i="21" s="1"/>
  <c r="I9" i="10"/>
  <c r="J11" i="21" s="1"/>
  <c r="J24" i="21" s="1"/>
  <c r="J9" i="10"/>
  <c r="K11" i="21" s="1"/>
  <c r="K24" i="21" s="1"/>
  <c r="K9" i="10"/>
  <c r="L11" i="21" s="1"/>
  <c r="L24" i="21" s="1"/>
  <c r="L9" i="10"/>
  <c r="M11" i="21" s="1"/>
  <c r="M24" i="21" s="1"/>
  <c r="M9" i="10"/>
  <c r="N11" i="21" s="1"/>
  <c r="N24" i="21" s="1"/>
  <c r="N9" i="10"/>
  <c r="O11" i="21" s="1"/>
  <c r="O24" i="21" s="1"/>
  <c r="O9" i="10"/>
  <c r="P11" i="21" s="1"/>
  <c r="P24" i="21" s="1"/>
  <c r="P9" i="10"/>
  <c r="Q11" i="21" s="1"/>
  <c r="Q24" i="21" s="1"/>
  <c r="Q9" i="10"/>
  <c r="R11" i="21" s="1"/>
  <c r="R24" i="21" s="1"/>
  <c r="R9" i="10"/>
  <c r="S11" i="21" s="1"/>
  <c r="S24" i="21" s="1"/>
  <c r="S9" i="10"/>
  <c r="T11" i="21" s="1"/>
  <c r="T24" i="21" s="1"/>
  <c r="T9" i="10"/>
  <c r="U11" i="21" s="1"/>
  <c r="U24" i="21" s="1"/>
  <c r="U9" i="10"/>
  <c r="V11" i="21" s="1"/>
  <c r="V24" i="21" s="1"/>
  <c r="V9" i="10"/>
  <c r="W11" i="21" s="1"/>
  <c r="W24" i="21" s="1"/>
  <c r="W9" i="10"/>
  <c r="X11" i="21" s="1"/>
  <c r="X24" i="21" s="1"/>
  <c r="X9" i="10"/>
  <c r="Y11" i="21" s="1"/>
  <c r="Y24" i="21" s="1"/>
  <c r="Y9" i="10"/>
  <c r="Z11" i="21" s="1"/>
  <c r="Z24" i="21" s="1"/>
  <c r="Z9" i="10"/>
  <c r="AA11" i="21" s="1"/>
  <c r="AA24" i="21" s="1"/>
  <c r="AA9" i="10"/>
  <c r="AB11" i="21" s="1"/>
  <c r="AB24" i="21" s="1"/>
  <c r="AB9" i="10"/>
  <c r="AC11" i="21" s="1"/>
  <c r="AC24" i="21" s="1"/>
  <c r="AC9" i="10"/>
  <c r="AD11" i="21" s="1"/>
  <c r="AD24" i="21" s="1"/>
  <c r="AD9" i="10"/>
  <c r="AE11" i="21" s="1"/>
  <c r="AE24" i="21" s="1"/>
  <c r="G9" i="10"/>
  <c r="H11" i="21" s="1"/>
  <c r="H24" i="21" s="1"/>
  <c r="F9" i="10"/>
  <c r="G11" i="21" s="1"/>
  <c r="G24" i="21" s="1"/>
  <c r="G3" i="10"/>
  <c r="H3" i="10" s="1"/>
  <c r="I3" i="10" s="1"/>
  <c r="J3" i="10" s="1"/>
  <c r="K3" i="10" s="1"/>
  <c r="L3" i="10" s="1"/>
  <c r="M3" i="10" s="1"/>
  <c r="N3" i="10" s="1"/>
  <c r="O3" i="10" s="1"/>
  <c r="P3" i="10" s="1"/>
  <c r="Q3" i="10" s="1"/>
  <c r="R3" i="10" s="1"/>
  <c r="S3" i="10" s="1"/>
  <c r="T3" i="10" s="1"/>
  <c r="U3" i="10" s="1"/>
  <c r="V3" i="10" s="1"/>
  <c r="W3" i="10" s="1"/>
  <c r="X3" i="10" s="1"/>
  <c r="Y3" i="10" s="1"/>
  <c r="Z3" i="10" s="1"/>
  <c r="AA3" i="10" s="1"/>
  <c r="AB3" i="10" s="1"/>
  <c r="AC3" i="10" s="1"/>
  <c r="AD3" i="10" s="1"/>
  <c r="F4" i="10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Q4" i="10" s="1"/>
  <c r="R4" i="10" s="1"/>
  <c r="S4" i="10" s="1"/>
  <c r="T4" i="10" s="1"/>
  <c r="U4" i="10" s="1"/>
  <c r="V4" i="10" s="1"/>
  <c r="W4" i="10" s="1"/>
  <c r="X4" i="10" s="1"/>
  <c r="Y4" i="10" s="1"/>
  <c r="Z4" i="10" s="1"/>
  <c r="AA4" i="10" s="1"/>
  <c r="AB4" i="10" s="1"/>
  <c r="AC4" i="10" s="1"/>
  <c r="AD4" i="10" s="1"/>
  <c r="C35" i="10"/>
  <c r="G30" i="10"/>
  <c r="G17" i="10"/>
  <c r="G19" i="10" s="1"/>
  <c r="F17" i="10"/>
  <c r="F19" i="10" s="1"/>
  <c r="AE19" i="10" s="1"/>
  <c r="I30" i="10" s="1"/>
  <c r="H16" i="10"/>
  <c r="H17" i="10" s="1"/>
  <c r="H19" i="10" s="1"/>
  <c r="V21" i="11" l="1"/>
  <c r="U21" i="11"/>
  <c r="AC21" i="11"/>
  <c r="AB21" i="11"/>
  <c r="X21" i="11"/>
  <c r="T21" i="11"/>
  <c r="AA21" i="11"/>
  <c r="W21" i="11"/>
  <c r="S21" i="11"/>
  <c r="AF11" i="21"/>
  <c r="H35" i="21" s="1"/>
  <c r="I24" i="21"/>
  <c r="AF24" i="21" s="1"/>
  <c r="J35" i="21" s="1"/>
  <c r="G3" i="11"/>
  <c r="G3" i="18"/>
  <c r="G17" i="18" s="1"/>
  <c r="G18" i="18" s="1"/>
  <c r="F4" i="11"/>
  <c r="F4" i="18"/>
  <c r="AD17" i="6"/>
  <c r="AC15" i="17"/>
  <c r="AB17" i="6"/>
  <c r="AA15" i="17"/>
  <c r="Z17" i="6"/>
  <c r="Y15" i="17"/>
  <c r="X17" i="6"/>
  <c r="W15" i="17"/>
  <c r="V17" i="6"/>
  <c r="U15" i="17"/>
  <c r="T17" i="6"/>
  <c r="S15" i="17"/>
  <c r="R17" i="6"/>
  <c r="Q15" i="17"/>
  <c r="P17" i="6"/>
  <c r="O15" i="17"/>
  <c r="N17" i="6"/>
  <c r="M15" i="17"/>
  <c r="L17" i="6"/>
  <c r="K15" i="17"/>
  <c r="G14" i="6"/>
  <c r="F11" i="17"/>
  <c r="AB14" i="6"/>
  <c r="AA11" i="17"/>
  <c r="Z14" i="6"/>
  <c r="Y11" i="17"/>
  <c r="X14" i="6"/>
  <c r="W11" i="17"/>
  <c r="V14" i="6"/>
  <c r="U11" i="17"/>
  <c r="T14" i="6"/>
  <c r="S11" i="17"/>
  <c r="R14" i="6"/>
  <c r="Q11" i="17"/>
  <c r="P14" i="6"/>
  <c r="O11" i="17"/>
  <c r="N14" i="6"/>
  <c r="M11" i="17"/>
  <c r="L14" i="6"/>
  <c r="K11" i="17"/>
  <c r="J14" i="6"/>
  <c r="I11" i="17"/>
  <c r="H14" i="6"/>
  <c r="G11" i="17"/>
  <c r="E22" i="11"/>
  <c r="AC17" i="6"/>
  <c r="AB15" i="17"/>
  <c r="AA17" i="6"/>
  <c r="Z15" i="17"/>
  <c r="Y17" i="6"/>
  <c r="X15" i="17"/>
  <c r="W17" i="6"/>
  <c r="V15" i="17"/>
  <c r="U17" i="6"/>
  <c r="T15" i="17"/>
  <c r="S17" i="6"/>
  <c r="R15" i="17"/>
  <c r="Q17" i="6"/>
  <c r="P15" i="17"/>
  <c r="O17" i="6"/>
  <c r="N15" i="17"/>
  <c r="M17" i="6"/>
  <c r="L15" i="17"/>
  <c r="AC14" i="6"/>
  <c r="AB11" i="17"/>
  <c r="AA14" i="6"/>
  <c r="Z11" i="17"/>
  <c r="Y14" i="6"/>
  <c r="X11" i="17"/>
  <c r="W14" i="6"/>
  <c r="V11" i="17"/>
  <c r="U14" i="6"/>
  <c r="T11" i="17"/>
  <c r="S14" i="6"/>
  <c r="R11" i="17"/>
  <c r="Q14" i="6"/>
  <c r="P11" i="17"/>
  <c r="O14" i="6"/>
  <c r="N11" i="17"/>
  <c r="M14" i="6"/>
  <c r="L11" i="17"/>
  <c r="K14" i="6"/>
  <c r="J11" i="17"/>
  <c r="I14" i="6"/>
  <c r="H11" i="17"/>
  <c r="O21" i="11"/>
  <c r="M21" i="11"/>
  <c r="K21" i="11"/>
  <c r="F14" i="6"/>
  <c r="P21" i="11"/>
  <c r="N21" i="11"/>
  <c r="L21" i="11"/>
  <c r="L20" i="11"/>
  <c r="N20" i="11"/>
  <c r="AA23" i="11"/>
  <c r="S23" i="11"/>
  <c r="AA20" i="11"/>
  <c r="W20" i="11"/>
  <c r="S20" i="11"/>
  <c r="W23" i="11"/>
  <c r="AC20" i="11"/>
  <c r="Y20" i="11"/>
  <c r="U20" i="11"/>
  <c r="Q20" i="11"/>
  <c r="P20" i="11"/>
  <c r="M20" i="11"/>
  <c r="Y23" i="11"/>
  <c r="U23" i="11"/>
  <c r="Q23" i="11"/>
  <c r="AB20" i="11"/>
  <c r="Z20" i="11"/>
  <c r="X20" i="11"/>
  <c r="V20" i="11"/>
  <c r="T20" i="11"/>
  <c r="R20" i="11"/>
  <c r="AB23" i="11"/>
  <c r="Z23" i="11"/>
  <c r="X23" i="11"/>
  <c r="V23" i="11"/>
  <c r="T23" i="11"/>
  <c r="R23" i="11"/>
  <c r="F23" i="11"/>
  <c r="H23" i="11"/>
  <c r="J23" i="11"/>
  <c r="L23" i="11"/>
  <c r="N23" i="11"/>
  <c r="P23" i="11"/>
  <c r="G23" i="11"/>
  <c r="K23" i="11"/>
  <c r="O23" i="11"/>
  <c r="E23" i="11"/>
  <c r="I23" i="11"/>
  <c r="M23" i="11"/>
  <c r="K20" i="11"/>
  <c r="O20" i="11"/>
  <c r="F22" i="10"/>
  <c r="H22" i="10"/>
  <c r="I16" i="10"/>
  <c r="I17" i="10" s="1"/>
  <c r="I19" i="10" s="1"/>
  <c r="G22" i="10"/>
  <c r="AE9" i="10"/>
  <c r="G21" i="18" l="1"/>
  <c r="G23" i="18"/>
  <c r="G25" i="18"/>
  <c r="G27" i="18"/>
  <c r="G22" i="18"/>
  <c r="G24" i="18"/>
  <c r="G26" i="18"/>
  <c r="G28" i="18"/>
  <c r="G20" i="18"/>
  <c r="G33" i="10"/>
  <c r="AF9" i="10"/>
  <c r="H3" i="11"/>
  <c r="H3" i="18"/>
  <c r="H17" i="18" s="1"/>
  <c r="H18" i="18" s="1"/>
  <c r="G31" i="18"/>
  <c r="G40" i="18"/>
  <c r="G39" i="18"/>
  <c r="G38" i="18"/>
  <c r="G37" i="18"/>
  <c r="G36" i="18"/>
  <c r="G35" i="18"/>
  <c r="G34" i="18"/>
  <c r="G33" i="18"/>
  <c r="G32" i="18"/>
  <c r="G19" i="18"/>
  <c r="G42" i="18"/>
  <c r="G4" i="11"/>
  <c r="G4" i="18"/>
  <c r="AD22" i="11"/>
  <c r="D9" i="14" s="1"/>
  <c r="L17" i="17"/>
  <c r="N17" i="17"/>
  <c r="P17" i="17"/>
  <c r="R17" i="17"/>
  <c r="T17" i="17"/>
  <c r="V17" i="17"/>
  <c r="X17" i="17"/>
  <c r="Z17" i="17"/>
  <c r="AB17" i="17"/>
  <c r="K17" i="17"/>
  <c r="M17" i="17"/>
  <c r="O17" i="17"/>
  <c r="Q17" i="17"/>
  <c r="S17" i="17"/>
  <c r="U17" i="17"/>
  <c r="W17" i="17"/>
  <c r="Y17" i="17"/>
  <c r="AA17" i="17"/>
  <c r="AC17" i="17"/>
  <c r="J16" i="10"/>
  <c r="J17" i="10" s="1"/>
  <c r="I22" i="10"/>
  <c r="K16" i="10" l="1"/>
  <c r="H22" i="18"/>
  <c r="H24" i="18"/>
  <c r="H26" i="18"/>
  <c r="H28" i="18"/>
  <c r="H23" i="18"/>
  <c r="H27" i="18"/>
  <c r="H21" i="18"/>
  <c r="H25" i="18"/>
  <c r="H20" i="18"/>
  <c r="I3" i="11"/>
  <c r="I3" i="18"/>
  <c r="I17" i="18" s="1"/>
  <c r="I18" i="18" s="1"/>
  <c r="H31" i="18"/>
  <c r="H42" i="18"/>
  <c r="H40" i="18"/>
  <c r="H39" i="18"/>
  <c r="H38" i="18"/>
  <c r="H37" i="18"/>
  <c r="H36" i="18"/>
  <c r="H35" i="18"/>
  <c r="H34" i="18"/>
  <c r="H33" i="18"/>
  <c r="H32" i="18"/>
  <c r="H19" i="18"/>
  <c r="H4" i="11"/>
  <c r="H4" i="18"/>
  <c r="K17" i="10"/>
  <c r="L16" i="10"/>
  <c r="J19" i="10"/>
  <c r="J22" i="10"/>
  <c r="I21" i="18" l="1"/>
  <c r="I23" i="18"/>
  <c r="I25" i="18"/>
  <c r="I27" i="18"/>
  <c r="I24" i="18"/>
  <c r="I28" i="18"/>
  <c r="I22" i="18"/>
  <c r="I26" i="18"/>
  <c r="I20" i="18"/>
  <c r="J3" i="11"/>
  <c r="J3" i="18"/>
  <c r="J17" i="18" s="1"/>
  <c r="J18" i="18" s="1"/>
  <c r="I31" i="18"/>
  <c r="I19" i="18"/>
  <c r="I40" i="18"/>
  <c r="I39" i="18"/>
  <c r="I38" i="18"/>
  <c r="I37" i="18"/>
  <c r="I36" i="18"/>
  <c r="I35" i="18"/>
  <c r="I34" i="18"/>
  <c r="I33" i="18"/>
  <c r="I32" i="18"/>
  <c r="I42" i="18"/>
  <c r="I4" i="11"/>
  <c r="I4" i="18"/>
  <c r="L17" i="10"/>
  <c r="M16" i="10"/>
  <c r="K19" i="10"/>
  <c r="K22" i="10"/>
  <c r="J22" i="18" l="1"/>
  <c r="J24" i="18"/>
  <c r="J26" i="18"/>
  <c r="J28" i="18"/>
  <c r="J21" i="18"/>
  <c r="J25" i="18"/>
  <c r="J23" i="18"/>
  <c r="J27" i="18"/>
  <c r="J20" i="18"/>
  <c r="J31" i="18"/>
  <c r="J40" i="18"/>
  <c r="J39" i="18"/>
  <c r="J38" i="18"/>
  <c r="J37" i="18"/>
  <c r="J36" i="18"/>
  <c r="J35" i="18"/>
  <c r="J34" i="18"/>
  <c r="J33" i="18"/>
  <c r="J32" i="18"/>
  <c r="J42" i="18"/>
  <c r="J19" i="18"/>
  <c r="K3" i="11"/>
  <c r="K3" i="18"/>
  <c r="K17" i="18" s="1"/>
  <c r="K18" i="18" s="1"/>
  <c r="J4" i="11"/>
  <c r="J4" i="18"/>
  <c r="M17" i="10"/>
  <c r="N16" i="10"/>
  <c r="L22" i="10"/>
  <c r="L19" i="10"/>
  <c r="K21" i="18" l="1"/>
  <c r="K23" i="18"/>
  <c r="K25" i="18"/>
  <c r="K27" i="18"/>
  <c r="K22" i="18"/>
  <c r="K26" i="18"/>
  <c r="K24" i="18"/>
  <c r="K28" i="18"/>
  <c r="K20" i="18"/>
  <c r="L3" i="11"/>
  <c r="L3" i="18"/>
  <c r="L17" i="18" s="1"/>
  <c r="L18" i="18" s="1"/>
  <c r="K31" i="18"/>
  <c r="K42" i="18"/>
  <c r="K40" i="18"/>
  <c r="K39" i="18"/>
  <c r="K38" i="18"/>
  <c r="K37" i="18"/>
  <c r="K36" i="18"/>
  <c r="K35" i="18"/>
  <c r="K34" i="18"/>
  <c r="K33" i="18"/>
  <c r="K32" i="18"/>
  <c r="K19" i="18"/>
  <c r="K4" i="11"/>
  <c r="K4" i="18"/>
  <c r="N17" i="10"/>
  <c r="O16" i="10"/>
  <c r="M24" i="10"/>
  <c r="M19" i="10"/>
  <c r="M22" i="10"/>
  <c r="L22" i="18" l="1"/>
  <c r="L24" i="18"/>
  <c r="L26" i="18"/>
  <c r="L28" i="18"/>
  <c r="L23" i="18"/>
  <c r="L27" i="18"/>
  <c r="L21" i="18"/>
  <c r="L25" i="18"/>
  <c r="L20" i="18"/>
  <c r="L42" i="18"/>
  <c r="L31" i="18"/>
  <c r="L19" i="18"/>
  <c r="L40" i="18"/>
  <c r="L39" i="18"/>
  <c r="L38" i="18"/>
  <c r="L37" i="18"/>
  <c r="L36" i="18"/>
  <c r="L35" i="18"/>
  <c r="L34" i="18"/>
  <c r="L33" i="18"/>
  <c r="L32" i="18"/>
  <c r="M3" i="11"/>
  <c r="M3" i="18"/>
  <c r="M17" i="18" s="1"/>
  <c r="M18" i="18" s="1"/>
  <c r="L4" i="11"/>
  <c r="L4" i="18"/>
  <c r="N24" i="10"/>
  <c r="N19" i="10"/>
  <c r="N22" i="10"/>
  <c r="O17" i="10"/>
  <c r="P16" i="10"/>
  <c r="M21" i="18" l="1"/>
  <c r="M23" i="18"/>
  <c r="M25" i="18"/>
  <c r="M27" i="18"/>
  <c r="M24" i="18"/>
  <c r="M28" i="18"/>
  <c r="M22" i="18"/>
  <c r="M26" i="18"/>
  <c r="M20" i="18"/>
  <c r="N3" i="11"/>
  <c r="N3" i="18"/>
  <c r="N17" i="18" s="1"/>
  <c r="N18" i="18" s="1"/>
  <c r="M42" i="18"/>
  <c r="M31" i="18"/>
  <c r="M19" i="18"/>
  <c r="M40" i="18"/>
  <c r="M39" i="18"/>
  <c r="M38" i="18"/>
  <c r="M37" i="18"/>
  <c r="M36" i="18"/>
  <c r="M35" i="18"/>
  <c r="M34" i="18"/>
  <c r="M33" i="18"/>
  <c r="M32" i="18"/>
  <c r="M4" i="11"/>
  <c r="M4" i="18"/>
  <c r="P17" i="10"/>
  <c r="Q16" i="10"/>
  <c r="O24" i="10"/>
  <c r="O19" i="10"/>
  <c r="O22" i="10"/>
  <c r="N22" i="18" l="1"/>
  <c r="N24" i="18"/>
  <c r="N26" i="18"/>
  <c r="N28" i="18"/>
  <c r="N21" i="18"/>
  <c r="N25" i="18"/>
  <c r="N23" i="18"/>
  <c r="N27" i="18"/>
  <c r="N20" i="18"/>
  <c r="O3" i="11"/>
  <c r="O3" i="18"/>
  <c r="O17" i="18" s="1"/>
  <c r="O18" i="18" s="1"/>
  <c r="N31" i="18"/>
  <c r="N42" i="18"/>
  <c r="N40" i="18"/>
  <c r="N39" i="18"/>
  <c r="N38" i="18"/>
  <c r="N37" i="18"/>
  <c r="N36" i="18"/>
  <c r="N35" i="18"/>
  <c r="N34" i="18"/>
  <c r="N33" i="18"/>
  <c r="N32" i="18"/>
  <c r="N19" i="18"/>
  <c r="N4" i="11"/>
  <c r="N4" i="18"/>
  <c r="Q17" i="10"/>
  <c r="R16" i="10"/>
  <c r="P24" i="10"/>
  <c r="P22" i="10"/>
  <c r="P19" i="10"/>
  <c r="O21" i="18" l="1"/>
  <c r="O23" i="18"/>
  <c r="O25" i="18"/>
  <c r="O27" i="18"/>
  <c r="O22" i="18"/>
  <c r="O26" i="18"/>
  <c r="O24" i="18"/>
  <c r="O28" i="18"/>
  <c r="O20" i="18"/>
  <c r="P3" i="11"/>
  <c r="P3" i="18"/>
  <c r="P17" i="18" s="1"/>
  <c r="P18" i="18" s="1"/>
  <c r="O42" i="18"/>
  <c r="O31" i="18"/>
  <c r="O40" i="18"/>
  <c r="O39" i="18"/>
  <c r="O38" i="18"/>
  <c r="O37" i="18"/>
  <c r="O36" i="18"/>
  <c r="O35" i="18"/>
  <c r="O34" i="18"/>
  <c r="O33" i="18"/>
  <c r="O32" i="18"/>
  <c r="O19" i="18"/>
  <c r="O4" i="11"/>
  <c r="O4" i="18"/>
  <c r="R17" i="10"/>
  <c r="S16" i="10"/>
  <c r="T16" i="10" s="1"/>
  <c r="Q24" i="10"/>
  <c r="Q19" i="10"/>
  <c r="Q22" i="10"/>
  <c r="T17" i="10" l="1"/>
  <c r="U16" i="10"/>
  <c r="P22" i="18"/>
  <c r="P24" i="18"/>
  <c r="P26" i="18"/>
  <c r="P28" i="18"/>
  <c r="P23" i="18"/>
  <c r="P27" i="18"/>
  <c r="P21" i="18"/>
  <c r="P25" i="18"/>
  <c r="P20" i="18"/>
  <c r="Q3" i="11"/>
  <c r="Q3" i="18"/>
  <c r="Q17" i="18" s="1"/>
  <c r="Q18" i="18" s="1"/>
  <c r="P31" i="18"/>
  <c r="P42" i="18"/>
  <c r="P19" i="18"/>
  <c r="P40" i="18"/>
  <c r="P39" i="18"/>
  <c r="P38" i="18"/>
  <c r="P37" i="18"/>
  <c r="P36" i="18"/>
  <c r="P35" i="18"/>
  <c r="P34" i="18"/>
  <c r="P33" i="18"/>
  <c r="P32" i="18"/>
  <c r="P4" i="11"/>
  <c r="P4" i="18"/>
  <c r="S17" i="10"/>
  <c r="R24" i="10"/>
  <c r="R19" i="10"/>
  <c r="R22" i="10"/>
  <c r="V16" i="10" l="1"/>
  <c r="U17" i="10"/>
  <c r="T24" i="10"/>
  <c r="T22" i="10"/>
  <c r="Q21" i="18"/>
  <c r="Q23" i="18"/>
  <c r="Q25" i="18"/>
  <c r="Q27" i="18"/>
  <c r="Q24" i="18"/>
  <c r="Q28" i="18"/>
  <c r="Q22" i="18"/>
  <c r="Q26" i="18"/>
  <c r="Q20" i="18"/>
  <c r="R3" i="11"/>
  <c r="R3" i="18"/>
  <c r="R17" i="18" s="1"/>
  <c r="R18" i="18" s="1"/>
  <c r="Q31" i="18"/>
  <c r="Q42" i="18"/>
  <c r="Q19" i="18"/>
  <c r="Q40" i="18"/>
  <c r="Q39" i="18"/>
  <c r="Q38" i="18"/>
  <c r="Q37" i="18"/>
  <c r="Q36" i="18"/>
  <c r="Q35" i="18"/>
  <c r="Q34" i="18"/>
  <c r="Q33" i="18"/>
  <c r="Q32" i="18"/>
  <c r="Q4" i="11"/>
  <c r="Q4" i="18"/>
  <c r="S24" i="10"/>
  <c r="S19" i="10"/>
  <c r="S22" i="10"/>
  <c r="U24" i="10" l="1"/>
  <c r="U22" i="10"/>
  <c r="W16" i="10"/>
  <c r="V17" i="10"/>
  <c r="R22" i="18"/>
  <c r="R24" i="18"/>
  <c r="R26" i="18"/>
  <c r="R21" i="18"/>
  <c r="R25" i="18"/>
  <c r="R23" i="18"/>
  <c r="R27" i="18"/>
  <c r="R28" i="18"/>
  <c r="R20" i="18"/>
  <c r="S3" i="11"/>
  <c r="S3" i="18"/>
  <c r="S17" i="18" s="1"/>
  <c r="S18" i="18" s="1"/>
  <c r="R42" i="18"/>
  <c r="R31" i="18"/>
  <c r="R40" i="18"/>
  <c r="R39" i="18"/>
  <c r="R38" i="18"/>
  <c r="R37" i="18"/>
  <c r="R36" i="18"/>
  <c r="R35" i="18"/>
  <c r="R34" i="18"/>
  <c r="R33" i="18"/>
  <c r="R32" i="18"/>
  <c r="R19" i="18"/>
  <c r="R4" i="11"/>
  <c r="R4" i="18"/>
  <c r="V24" i="10" l="1"/>
  <c r="V22" i="10"/>
  <c r="X16" i="10"/>
  <c r="W17" i="10"/>
  <c r="S21" i="18"/>
  <c r="S23" i="18"/>
  <c r="S25" i="18"/>
  <c r="S27" i="18"/>
  <c r="S22" i="18"/>
  <c r="S26" i="18"/>
  <c r="S28" i="18"/>
  <c r="S24" i="18"/>
  <c r="S20" i="18"/>
  <c r="T3" i="11"/>
  <c r="T3" i="18"/>
  <c r="T17" i="18" s="1"/>
  <c r="T18" i="18" s="1"/>
  <c r="S31" i="18"/>
  <c r="S42" i="18"/>
  <c r="S40" i="18"/>
  <c r="S39" i="18"/>
  <c r="S38" i="18"/>
  <c r="S37" i="18"/>
  <c r="S36" i="18"/>
  <c r="S35" i="18"/>
  <c r="S34" i="18"/>
  <c r="S33" i="18"/>
  <c r="S32" i="18"/>
  <c r="S19" i="18"/>
  <c r="S4" i="11"/>
  <c r="S4" i="18"/>
  <c r="AF10" i="6"/>
  <c r="W24" i="10" l="1"/>
  <c r="W22" i="10"/>
  <c r="Y16" i="10"/>
  <c r="X17" i="10"/>
  <c r="T22" i="18"/>
  <c r="T24" i="18"/>
  <c r="T26" i="18"/>
  <c r="T23" i="18"/>
  <c r="T27" i="18"/>
  <c r="T21" i="18"/>
  <c r="T25" i="18"/>
  <c r="T28" i="18"/>
  <c r="T20" i="18"/>
  <c r="U3" i="11"/>
  <c r="U3" i="18"/>
  <c r="U17" i="18" s="1"/>
  <c r="U18" i="18" s="1"/>
  <c r="T42" i="18"/>
  <c r="T31" i="18"/>
  <c r="T19" i="18"/>
  <c r="T40" i="18"/>
  <c r="T39" i="18"/>
  <c r="T38" i="18"/>
  <c r="T37" i="18"/>
  <c r="T36" i="18"/>
  <c r="T35" i="18"/>
  <c r="T34" i="18"/>
  <c r="T33" i="18"/>
  <c r="T32" i="18"/>
  <c r="T4" i="11"/>
  <c r="T4" i="18"/>
  <c r="H6" i="9"/>
  <c r="H14" i="9" s="1"/>
  <c r="I6" i="9"/>
  <c r="I14" i="9" s="1"/>
  <c r="J6" i="9"/>
  <c r="J14" i="9" s="1"/>
  <c r="K6" i="9"/>
  <c r="K14" i="9" s="1"/>
  <c r="L6" i="9"/>
  <c r="L14" i="9" s="1"/>
  <c r="M6" i="9"/>
  <c r="M14" i="9" s="1"/>
  <c r="N6" i="9"/>
  <c r="N14" i="9" s="1"/>
  <c r="O6" i="9"/>
  <c r="O14" i="9" s="1"/>
  <c r="P6" i="9"/>
  <c r="P14" i="9" s="1"/>
  <c r="Q6" i="9"/>
  <c r="Q14" i="9" s="1"/>
  <c r="R6" i="9"/>
  <c r="R14" i="9" s="1"/>
  <c r="S6" i="9"/>
  <c r="S14" i="9" s="1"/>
  <c r="T6" i="9"/>
  <c r="T14" i="9" s="1"/>
  <c r="U6" i="9"/>
  <c r="U14" i="9" s="1"/>
  <c r="V6" i="9"/>
  <c r="V14" i="9" s="1"/>
  <c r="W6" i="9"/>
  <c r="W14" i="9" s="1"/>
  <c r="X6" i="9"/>
  <c r="X14" i="9" s="1"/>
  <c r="Y6" i="9"/>
  <c r="Y14" i="9" s="1"/>
  <c r="Z6" i="9"/>
  <c r="Z14" i="9" s="1"/>
  <c r="C3" i="9"/>
  <c r="B4" i="9"/>
  <c r="N5" i="8"/>
  <c r="P5" i="8" s="1"/>
  <c r="R5" i="8" s="1"/>
  <c r="T5" i="8" s="1"/>
  <c r="V5" i="8" s="1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G34" i="7"/>
  <c r="H4" i="7"/>
  <c r="H3" i="21" s="1"/>
  <c r="G4" i="6"/>
  <c r="F5" i="5"/>
  <c r="G5" i="5" s="1"/>
  <c r="H5" i="5" s="1"/>
  <c r="I5" i="5" s="1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X5" i="5" s="1"/>
  <c r="Y5" i="5" s="1"/>
  <c r="Z5" i="5" s="1"/>
  <c r="AA5" i="5" s="1"/>
  <c r="AB5" i="5" s="1"/>
  <c r="AC5" i="5" s="1"/>
  <c r="F5" i="4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C26" i="7"/>
  <c r="A26" i="7"/>
  <c r="C25" i="7"/>
  <c r="B25" i="7"/>
  <c r="C24" i="7"/>
  <c r="B24" i="7"/>
  <c r="C23" i="7"/>
  <c r="A23" i="7"/>
  <c r="G5" i="7"/>
  <c r="G4" i="21" s="1"/>
  <c r="F27" i="6"/>
  <c r="G27" i="6" s="1"/>
  <c r="H27" i="6" s="1"/>
  <c r="I27" i="6" s="1"/>
  <c r="J27" i="6" s="1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Z27" i="6" s="1"/>
  <c r="AA27" i="6" s="1"/>
  <c r="AB27" i="6" s="1"/>
  <c r="AC27" i="6" s="1"/>
  <c r="AD27" i="6" s="1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F30" i="6"/>
  <c r="E29" i="6"/>
  <c r="D3" i="9" l="1"/>
  <c r="F3" i="17"/>
  <c r="Z16" i="10"/>
  <c r="Y17" i="10"/>
  <c r="X24" i="10"/>
  <c r="X22" i="10"/>
  <c r="U21" i="18"/>
  <c r="U23" i="18"/>
  <c r="U25" i="18"/>
  <c r="U27" i="18"/>
  <c r="U24" i="18"/>
  <c r="U28" i="18"/>
  <c r="U22" i="18"/>
  <c r="U26" i="18"/>
  <c r="U20" i="18"/>
  <c r="H4" i="6"/>
  <c r="E3" i="15"/>
  <c r="I4" i="7"/>
  <c r="I3" i="21" s="1"/>
  <c r="H3" i="16"/>
  <c r="H58" i="16" s="1"/>
  <c r="H59" i="16" s="1"/>
  <c r="V3" i="11"/>
  <c r="V3" i="18"/>
  <c r="V17" i="18" s="1"/>
  <c r="V18" i="18" s="1"/>
  <c r="U31" i="18"/>
  <c r="U19" i="18"/>
  <c r="U40" i="18"/>
  <c r="U39" i="18"/>
  <c r="U38" i="18"/>
  <c r="U37" i="18"/>
  <c r="U36" i="18"/>
  <c r="U35" i="18"/>
  <c r="U34" i="18"/>
  <c r="U33" i="18"/>
  <c r="U32" i="18"/>
  <c r="U42" i="18"/>
  <c r="U4" i="11"/>
  <c r="U4" i="18"/>
  <c r="H5" i="7"/>
  <c r="H4" i="21" s="1"/>
  <c r="G4" i="16"/>
  <c r="C4" i="9"/>
  <c r="E4" i="17"/>
  <c r="AD38" i="7"/>
  <c r="AB38" i="7"/>
  <c r="Z38" i="7"/>
  <c r="X38" i="7"/>
  <c r="V38" i="7"/>
  <c r="T38" i="7"/>
  <c r="R38" i="7"/>
  <c r="P38" i="7"/>
  <c r="N38" i="7"/>
  <c r="L38" i="7"/>
  <c r="J38" i="7"/>
  <c r="H38" i="7"/>
  <c r="AC38" i="7"/>
  <c r="AA38" i="7"/>
  <c r="Y38" i="7"/>
  <c r="W38" i="7"/>
  <c r="U38" i="7"/>
  <c r="S38" i="7"/>
  <c r="Q38" i="7"/>
  <c r="O38" i="7"/>
  <c r="M38" i="7"/>
  <c r="K38" i="7"/>
  <c r="I38" i="7"/>
  <c r="AE23" i="7"/>
  <c r="AE37" i="7" s="1"/>
  <c r="AC23" i="7"/>
  <c r="AC37" i="7" s="1"/>
  <c r="AA23" i="7"/>
  <c r="AA37" i="7" s="1"/>
  <c r="Y23" i="7"/>
  <c r="Y37" i="7" s="1"/>
  <c r="W23" i="7"/>
  <c r="W37" i="7" s="1"/>
  <c r="U23" i="7"/>
  <c r="U37" i="7" s="1"/>
  <c r="S23" i="7"/>
  <c r="S37" i="7" s="1"/>
  <c r="Q23" i="7"/>
  <c r="Q37" i="7" s="1"/>
  <c r="O23" i="7"/>
  <c r="O37" i="7" s="1"/>
  <c r="M23" i="7"/>
  <c r="M37" i="7" s="1"/>
  <c r="AD23" i="7"/>
  <c r="AD37" i="7" s="1"/>
  <c r="AB23" i="7"/>
  <c r="AB37" i="7" s="1"/>
  <c r="Z23" i="7"/>
  <c r="Z37" i="7" s="1"/>
  <c r="X23" i="7"/>
  <c r="X37" i="7" s="1"/>
  <c r="V23" i="7"/>
  <c r="V37" i="7" s="1"/>
  <c r="T23" i="7"/>
  <c r="T37" i="7" s="1"/>
  <c r="R23" i="7"/>
  <c r="R37" i="7" s="1"/>
  <c r="P23" i="7"/>
  <c r="P37" i="7" s="1"/>
  <c r="N23" i="7"/>
  <c r="N37" i="7" s="1"/>
  <c r="G38" i="7"/>
  <c r="F33" i="6"/>
  <c r="F19" i="6" s="1"/>
  <c r="AE30" i="6"/>
  <c r="AF30" i="6" s="1"/>
  <c r="AA16" i="10" l="1"/>
  <c r="Z17" i="10"/>
  <c r="Y24" i="10"/>
  <c r="Y22" i="10"/>
  <c r="E3" i="9"/>
  <c r="G3" i="17"/>
  <c r="V22" i="18"/>
  <c r="V24" i="18"/>
  <c r="V26" i="18"/>
  <c r="V21" i="18"/>
  <c r="V25" i="18"/>
  <c r="V23" i="18"/>
  <c r="V27" i="18"/>
  <c r="V28" i="18"/>
  <c r="V20" i="18"/>
  <c r="I4" i="6"/>
  <c r="F3" i="15"/>
  <c r="J4" i="7"/>
  <c r="J3" i="21" s="1"/>
  <c r="I3" i="16"/>
  <c r="I58" i="16" s="1"/>
  <c r="I59" i="16" s="1"/>
  <c r="H62" i="16"/>
  <c r="H60" i="16"/>
  <c r="H64" i="16"/>
  <c r="H67" i="16"/>
  <c r="W3" i="11"/>
  <c r="W3" i="18"/>
  <c r="W17" i="18" s="1"/>
  <c r="W18" i="18" s="1"/>
  <c r="V31" i="18"/>
  <c r="V40" i="18"/>
  <c r="V39" i="18"/>
  <c r="V38" i="18"/>
  <c r="V37" i="18"/>
  <c r="V36" i="18"/>
  <c r="V35" i="18"/>
  <c r="V34" i="18"/>
  <c r="V33" i="18"/>
  <c r="V32" i="18"/>
  <c r="V19" i="18"/>
  <c r="V42" i="18"/>
  <c r="C16" i="19"/>
  <c r="V4" i="11"/>
  <c r="V4" i="18"/>
  <c r="D4" i="9"/>
  <c r="F4" i="17"/>
  <c r="I5" i="7"/>
  <c r="I4" i="21" s="1"/>
  <c r="H4" i="16"/>
  <c r="G33" i="6"/>
  <c r="G19" i="6" s="1"/>
  <c r="F3" i="9" l="1"/>
  <c r="H3" i="17"/>
  <c r="Z24" i="10"/>
  <c r="Z22" i="10"/>
  <c r="AB16" i="10"/>
  <c r="AA17" i="10"/>
  <c r="W21" i="18"/>
  <c r="W23" i="18"/>
  <c r="W25" i="18"/>
  <c r="W27" i="18"/>
  <c r="W22" i="18"/>
  <c r="W26" i="18"/>
  <c r="W28" i="18"/>
  <c r="W24" i="18"/>
  <c r="W20" i="18"/>
  <c r="J4" i="6"/>
  <c r="G3" i="15"/>
  <c r="I67" i="16"/>
  <c r="I64" i="16"/>
  <c r="I60" i="16"/>
  <c r="I62" i="16"/>
  <c r="K4" i="7"/>
  <c r="K3" i="21" s="1"/>
  <c r="J3" i="16"/>
  <c r="J58" i="16" s="1"/>
  <c r="J59" i="16" s="1"/>
  <c r="X3" i="11"/>
  <c r="X3" i="18"/>
  <c r="X17" i="18" s="1"/>
  <c r="X18" i="18" s="1"/>
  <c r="W31" i="18"/>
  <c r="W19" i="18"/>
  <c r="W40" i="18"/>
  <c r="W39" i="18"/>
  <c r="W38" i="18"/>
  <c r="W37" i="18"/>
  <c r="W36" i="18"/>
  <c r="W35" i="18"/>
  <c r="W34" i="18"/>
  <c r="W33" i="18"/>
  <c r="W32" i="18"/>
  <c r="W42" i="18"/>
  <c r="D16" i="19"/>
  <c r="W4" i="11"/>
  <c r="W4" i="18"/>
  <c r="J5" i="7"/>
  <c r="J4" i="21" s="1"/>
  <c r="I4" i="16"/>
  <c r="E4" i="9"/>
  <c r="G4" i="17"/>
  <c r="H33" i="6"/>
  <c r="H19" i="6" s="1"/>
  <c r="AA24" i="10" l="1"/>
  <c r="AA22" i="10"/>
  <c r="AC16" i="10"/>
  <c r="AB17" i="10"/>
  <c r="G3" i="9"/>
  <c r="I3" i="17"/>
  <c r="X22" i="18"/>
  <c r="X24" i="18"/>
  <c r="X26" i="18"/>
  <c r="X23" i="18"/>
  <c r="X27" i="18"/>
  <c r="X21" i="18"/>
  <c r="X25" i="18"/>
  <c r="X28" i="18"/>
  <c r="X20" i="18"/>
  <c r="K4" i="6"/>
  <c r="H3" i="15"/>
  <c r="J67" i="16"/>
  <c r="J62" i="16"/>
  <c r="J64" i="16"/>
  <c r="J60" i="16"/>
  <c r="L4" i="7"/>
  <c r="L3" i="21" s="1"/>
  <c r="K3" i="16"/>
  <c r="K58" i="16" s="1"/>
  <c r="K59" i="16" s="1"/>
  <c r="Y3" i="11"/>
  <c r="Y3" i="18"/>
  <c r="Y17" i="18" s="1"/>
  <c r="Y18" i="18" s="1"/>
  <c r="X31" i="18"/>
  <c r="X19" i="18"/>
  <c r="X40" i="18"/>
  <c r="X39" i="18"/>
  <c r="X38" i="18"/>
  <c r="X37" i="18"/>
  <c r="X36" i="18"/>
  <c r="X35" i="18"/>
  <c r="X34" i="18"/>
  <c r="X33" i="18"/>
  <c r="X32" i="18"/>
  <c r="X42" i="18"/>
  <c r="E16" i="19"/>
  <c r="X4" i="11"/>
  <c r="X4" i="18"/>
  <c r="F4" i="9"/>
  <c r="H4" i="17"/>
  <c r="K5" i="7"/>
  <c r="K4" i="21" s="1"/>
  <c r="J4" i="16"/>
  <c r="I33" i="6"/>
  <c r="I19" i="6" s="1"/>
  <c r="E34" i="6"/>
  <c r="H3" i="9" l="1"/>
  <c r="J3" i="17"/>
  <c r="AD16" i="10"/>
  <c r="AD17" i="10" s="1"/>
  <c r="AC17" i="10"/>
  <c r="AB24" i="10"/>
  <c r="AB22" i="10"/>
  <c r="Y21" i="18"/>
  <c r="Y23" i="18"/>
  <c r="Y25" i="18"/>
  <c r="Y27" i="18"/>
  <c r="Y24" i="18"/>
  <c r="Y28" i="18"/>
  <c r="Y22" i="18"/>
  <c r="Y26" i="18"/>
  <c r="Y20" i="18"/>
  <c r="L4" i="6"/>
  <c r="I3" i="15"/>
  <c r="M4" i="7"/>
  <c r="M3" i="21" s="1"/>
  <c r="L3" i="16"/>
  <c r="L58" i="16" s="1"/>
  <c r="L59" i="16" s="1"/>
  <c r="K64" i="16"/>
  <c r="K62" i="16"/>
  <c r="K67" i="16"/>
  <c r="K60" i="16"/>
  <c r="Z3" i="11"/>
  <c r="Z3" i="18"/>
  <c r="Z17" i="18" s="1"/>
  <c r="Z18" i="18" s="1"/>
  <c r="Y31" i="18"/>
  <c r="Y19" i="18"/>
  <c r="Y40" i="18"/>
  <c r="Y39" i="18"/>
  <c r="Y38" i="18"/>
  <c r="Y37" i="18"/>
  <c r="Y36" i="18"/>
  <c r="Y35" i="18"/>
  <c r="Y34" i="18"/>
  <c r="Y33" i="18"/>
  <c r="Y32" i="18"/>
  <c r="Y42" i="18"/>
  <c r="F32" i="6"/>
  <c r="F20" i="6" s="1"/>
  <c r="F10" i="10" s="1"/>
  <c r="E32" i="6"/>
  <c r="E31" i="6" s="1"/>
  <c r="F16" i="19"/>
  <c r="Y4" i="11"/>
  <c r="Y4" i="18"/>
  <c r="L5" i="7"/>
  <c r="L4" i="21" s="1"/>
  <c r="K4" i="16"/>
  <c r="G4" i="9"/>
  <c r="I4" i="17"/>
  <c r="J33" i="6"/>
  <c r="J19" i="6" s="1"/>
  <c r="F31" i="6"/>
  <c r="F34" i="6"/>
  <c r="G32" i="6" s="1"/>
  <c r="AC24" i="10" l="1"/>
  <c r="AC22" i="10"/>
  <c r="AD24" i="10"/>
  <c r="AD22" i="10"/>
  <c r="AE22" i="10" s="1"/>
  <c r="I33" i="10" s="1"/>
  <c r="AD19" i="10"/>
  <c r="I3" i="9"/>
  <c r="K3" i="17"/>
  <c r="Z22" i="18"/>
  <c r="Z24" i="18"/>
  <c r="Z26" i="18"/>
  <c r="Z21" i="18"/>
  <c r="Z25" i="18"/>
  <c r="Z23" i="18"/>
  <c r="Z27" i="18"/>
  <c r="Z28" i="18"/>
  <c r="Z20" i="18"/>
  <c r="M4" i="6"/>
  <c r="J3" i="15"/>
  <c r="C29" i="19"/>
  <c r="F23" i="10"/>
  <c r="G12" i="21"/>
  <c r="L62" i="16"/>
  <c r="L60" i="16"/>
  <c r="L64" i="16"/>
  <c r="L67" i="16"/>
  <c r="N4" i="7"/>
  <c r="N3" i="21" s="1"/>
  <c r="M3" i="16"/>
  <c r="M58" i="16" s="1"/>
  <c r="M59" i="16" s="1"/>
  <c r="AA3" i="11"/>
  <c r="AA3" i="18"/>
  <c r="AA17" i="18" s="1"/>
  <c r="AA18" i="18" s="1"/>
  <c r="Z31" i="18"/>
  <c r="Z40" i="18"/>
  <c r="Z39" i="18"/>
  <c r="Z38" i="18"/>
  <c r="Z37" i="18"/>
  <c r="Z36" i="18"/>
  <c r="Z35" i="18"/>
  <c r="Z34" i="18"/>
  <c r="Z33" i="18"/>
  <c r="Z32" i="18"/>
  <c r="Z42" i="18"/>
  <c r="Z19" i="18"/>
  <c r="G16" i="19"/>
  <c r="G20" i="6"/>
  <c r="D29" i="19"/>
  <c r="Z4" i="11"/>
  <c r="Z4" i="18"/>
  <c r="H4" i="9"/>
  <c r="J4" i="17"/>
  <c r="M5" i="7"/>
  <c r="M4" i="21" s="1"/>
  <c r="L4" i="16"/>
  <c r="K33" i="6"/>
  <c r="K19" i="6" s="1"/>
  <c r="G31" i="6"/>
  <c r="G34" i="6"/>
  <c r="J3" i="9" l="1"/>
  <c r="L3" i="17"/>
  <c r="AA21" i="18"/>
  <c r="AA23" i="18"/>
  <c r="AA25" i="18"/>
  <c r="AA27" i="18"/>
  <c r="AA22" i="18"/>
  <c r="AA26" i="18"/>
  <c r="AA28" i="18"/>
  <c r="AA24" i="18"/>
  <c r="AA20" i="18"/>
  <c r="N4" i="6"/>
  <c r="K3" i="15"/>
  <c r="G25" i="21"/>
  <c r="O4" i="7"/>
  <c r="O3" i="21" s="1"/>
  <c r="N3" i="16"/>
  <c r="N58" i="16" s="1"/>
  <c r="N59" i="16" s="1"/>
  <c r="M62" i="16"/>
  <c r="M67" i="16"/>
  <c r="M60" i="16"/>
  <c r="M64" i="16"/>
  <c r="M66" i="16"/>
  <c r="AB3" i="11"/>
  <c r="AB3" i="18"/>
  <c r="AB17" i="18" s="1"/>
  <c r="AB18" i="18" s="1"/>
  <c r="AA31" i="18"/>
  <c r="AA19" i="18"/>
  <c r="AA40" i="18"/>
  <c r="AA39" i="18"/>
  <c r="AA38" i="18"/>
  <c r="AA37" i="18"/>
  <c r="AA36" i="18"/>
  <c r="AA35" i="18"/>
  <c r="AA34" i="18"/>
  <c r="AA33" i="18"/>
  <c r="AA32" i="18"/>
  <c r="AA42" i="18"/>
  <c r="H16" i="19"/>
  <c r="L33" i="6"/>
  <c r="L19" i="6" s="1"/>
  <c r="AA4" i="11"/>
  <c r="AA4" i="18"/>
  <c r="N5" i="7"/>
  <c r="N4" i="21" s="1"/>
  <c r="M4" i="16"/>
  <c r="I4" i="9"/>
  <c r="K4" i="17"/>
  <c r="G10" i="10"/>
  <c r="H34" i="6"/>
  <c r="H32" i="6"/>
  <c r="K3" i="9" l="1"/>
  <c r="M3" i="17"/>
  <c r="AB22" i="18"/>
  <c r="AB24" i="18"/>
  <c r="AB26" i="18"/>
  <c r="AB23" i="18"/>
  <c r="AB27" i="18"/>
  <c r="AB21" i="18"/>
  <c r="AB25" i="18"/>
  <c r="AB28" i="18"/>
  <c r="AB20" i="18"/>
  <c r="O4" i="6"/>
  <c r="L3" i="15"/>
  <c r="M33" i="6"/>
  <c r="M19" i="6" s="1"/>
  <c r="J16" i="19" s="1"/>
  <c r="J17" i="19" s="1"/>
  <c r="G23" i="10"/>
  <c r="H12" i="21"/>
  <c r="P4" i="7"/>
  <c r="P3" i="21" s="1"/>
  <c r="O3" i="16"/>
  <c r="O58" i="16" s="1"/>
  <c r="O59" i="16" s="1"/>
  <c r="N62" i="16"/>
  <c r="N67" i="16"/>
  <c r="N60" i="16"/>
  <c r="N66" i="16"/>
  <c r="N64" i="16"/>
  <c r="AC3" i="11"/>
  <c r="AD3" i="18" s="1"/>
  <c r="AD17" i="18" s="1"/>
  <c r="AD18" i="18" s="1"/>
  <c r="AC3" i="18"/>
  <c r="AC17" i="18" s="1"/>
  <c r="AC18" i="18" s="1"/>
  <c r="AB31" i="18"/>
  <c r="AB19" i="18"/>
  <c r="AB35" i="18"/>
  <c r="AB42" i="18"/>
  <c r="AB40" i="18"/>
  <c r="AB39" i="18"/>
  <c r="AB38" i="18"/>
  <c r="AB37" i="18"/>
  <c r="AB36" i="18"/>
  <c r="AB34" i="18"/>
  <c r="AB33" i="18"/>
  <c r="AB32" i="18"/>
  <c r="I16" i="19"/>
  <c r="I17" i="19" s="1"/>
  <c r="H20" i="6"/>
  <c r="E29" i="19"/>
  <c r="AB4" i="11"/>
  <c r="AB4" i="18"/>
  <c r="J4" i="9"/>
  <c r="L4" i="17"/>
  <c r="O5" i="7"/>
  <c r="O4" i="21" s="1"/>
  <c r="N4" i="16"/>
  <c r="I34" i="6"/>
  <c r="I32" i="6"/>
  <c r="H31" i="6"/>
  <c r="L3" i="9" l="1"/>
  <c r="N3" i="17"/>
  <c r="AD22" i="18"/>
  <c r="AD24" i="18"/>
  <c r="AD26" i="18"/>
  <c r="AD21" i="18"/>
  <c r="AD25" i="18"/>
  <c r="AD23" i="18"/>
  <c r="AD27" i="18"/>
  <c r="AD28" i="18"/>
  <c r="AD20" i="18"/>
  <c r="N33" i="6"/>
  <c r="N19" i="6" s="1"/>
  <c r="K16" i="19" s="1"/>
  <c r="K17" i="19" s="1"/>
  <c r="AC21" i="18"/>
  <c r="AC23" i="18"/>
  <c r="AC25" i="18"/>
  <c r="AC27" i="18"/>
  <c r="AC24" i="18"/>
  <c r="AC28" i="18"/>
  <c r="AC22" i="18"/>
  <c r="AC26" i="18"/>
  <c r="AC20" i="18"/>
  <c r="P4" i="6"/>
  <c r="M3" i="15"/>
  <c r="H25" i="21"/>
  <c r="O62" i="16"/>
  <c r="O66" i="16"/>
  <c r="O67" i="16"/>
  <c r="O60" i="16"/>
  <c r="O64" i="16"/>
  <c r="Q4" i="7"/>
  <c r="Q3" i="21" s="1"/>
  <c r="P3" i="16"/>
  <c r="P58" i="16" s="1"/>
  <c r="P59" i="16" s="1"/>
  <c r="AD31" i="18"/>
  <c r="AD40" i="18"/>
  <c r="AD39" i="18"/>
  <c r="AD38" i="18"/>
  <c r="AD37" i="18"/>
  <c r="AD36" i="18"/>
  <c r="AD34" i="18"/>
  <c r="AD33" i="18"/>
  <c r="AD32" i="18"/>
  <c r="AD19" i="18"/>
  <c r="AD35" i="18"/>
  <c r="AD42" i="18"/>
  <c r="AC31" i="18"/>
  <c r="AC19" i="18"/>
  <c r="AC40" i="18"/>
  <c r="AC39" i="18"/>
  <c r="AC38" i="18"/>
  <c r="AC37" i="18"/>
  <c r="AC36" i="18"/>
  <c r="AC35" i="18"/>
  <c r="AC34" i="18"/>
  <c r="AC33" i="18"/>
  <c r="AC32" i="18"/>
  <c r="AC42" i="18"/>
  <c r="I20" i="6"/>
  <c r="I10" i="10" s="1"/>
  <c r="F29" i="19"/>
  <c r="AC4" i="11"/>
  <c r="AD4" i="18" s="1"/>
  <c r="AC4" i="18"/>
  <c r="P5" i="7"/>
  <c r="P4" i="21" s="1"/>
  <c r="O4" i="16"/>
  <c r="K4" i="9"/>
  <c r="M4" i="17"/>
  <c r="H10" i="10"/>
  <c r="J34" i="6"/>
  <c r="J32" i="6"/>
  <c r="I31" i="6"/>
  <c r="O33" i="6" l="1"/>
  <c r="O19" i="6" s="1"/>
  <c r="L16" i="19" s="1"/>
  <c r="L17" i="19" s="1"/>
  <c r="M3" i="9"/>
  <c r="O3" i="17"/>
  <c r="Q4" i="6"/>
  <c r="N3" i="15"/>
  <c r="AE42" i="18"/>
  <c r="I53" i="18" s="1"/>
  <c r="AE27" i="18"/>
  <c r="AE28" i="18"/>
  <c r="I23" i="10"/>
  <c r="J12" i="21"/>
  <c r="J25" i="21" s="1"/>
  <c r="H23" i="10"/>
  <c r="I12" i="21"/>
  <c r="AE33" i="18"/>
  <c r="P62" i="16"/>
  <c r="P67" i="16"/>
  <c r="P60" i="16"/>
  <c r="P66" i="16"/>
  <c r="P64" i="16"/>
  <c r="R4" i="7"/>
  <c r="R3" i="21" s="1"/>
  <c r="Q3" i="16"/>
  <c r="Q58" i="16" s="1"/>
  <c r="Q59" i="16" s="1"/>
  <c r="AE19" i="18"/>
  <c r="I48" i="18" s="1"/>
  <c r="AE36" i="18"/>
  <c r="AE38" i="18"/>
  <c r="AE40" i="18"/>
  <c r="AE20" i="18"/>
  <c r="AE25" i="18"/>
  <c r="AE21" i="18"/>
  <c r="AE35" i="18"/>
  <c r="AE32" i="18"/>
  <c r="AE34" i="18"/>
  <c r="AE37" i="18"/>
  <c r="AE39" i="18"/>
  <c r="AE26" i="18"/>
  <c r="AE23" i="18"/>
  <c r="AE31" i="18"/>
  <c r="I51" i="18" s="1"/>
  <c r="AE24" i="18"/>
  <c r="AE22" i="18"/>
  <c r="J20" i="6"/>
  <c r="G29" i="19"/>
  <c r="L4" i="9"/>
  <c r="N4" i="17"/>
  <c r="Q5" i="7"/>
  <c r="Q4" i="21" s="1"/>
  <c r="P4" i="16"/>
  <c r="J31" i="6"/>
  <c r="K34" i="6"/>
  <c r="K32" i="6"/>
  <c r="P33" i="6" l="1"/>
  <c r="P19" i="6" s="1"/>
  <c r="M16" i="19" s="1"/>
  <c r="M17" i="19" s="1"/>
  <c r="N3" i="9"/>
  <c r="P3" i="17"/>
  <c r="R4" i="6"/>
  <c r="O3" i="15"/>
  <c r="I25" i="21"/>
  <c r="S4" i="7"/>
  <c r="S3" i="21" s="1"/>
  <c r="R3" i="16"/>
  <c r="R58" i="16" s="1"/>
  <c r="R59" i="16" s="1"/>
  <c r="Q60" i="16"/>
  <c r="Q64" i="16"/>
  <c r="Q67" i="16"/>
  <c r="Q62" i="16"/>
  <c r="Q66" i="16"/>
  <c r="J10" i="10"/>
  <c r="K20" i="6"/>
  <c r="K10" i="10" s="1"/>
  <c r="H29" i="19"/>
  <c r="R5" i="7"/>
  <c r="R4" i="21" s="1"/>
  <c r="Q4" i="16"/>
  <c r="M4" i="9"/>
  <c r="O4" i="17"/>
  <c r="L34" i="6"/>
  <c r="L32" i="6"/>
  <c r="K31" i="6"/>
  <c r="Q33" i="6" l="1"/>
  <c r="Q19" i="6" s="1"/>
  <c r="N16" i="19" s="1"/>
  <c r="N17" i="19" s="1"/>
  <c r="O3" i="9"/>
  <c r="Q3" i="17"/>
  <c r="S4" i="6"/>
  <c r="P3" i="15"/>
  <c r="K23" i="10"/>
  <c r="L12" i="21"/>
  <c r="L25" i="21" s="1"/>
  <c r="J23" i="10"/>
  <c r="K12" i="21"/>
  <c r="T4" i="7"/>
  <c r="T3" i="21" s="1"/>
  <c r="S3" i="16"/>
  <c r="S58" i="16" s="1"/>
  <c r="S59" i="16" s="1"/>
  <c r="R62" i="16"/>
  <c r="R60" i="16"/>
  <c r="R66" i="16"/>
  <c r="R64" i="16"/>
  <c r="R67" i="16"/>
  <c r="L20" i="6"/>
  <c r="L10" i="10" s="1"/>
  <c r="I29" i="19"/>
  <c r="N4" i="9"/>
  <c r="P4" i="17"/>
  <c r="S5" i="7"/>
  <c r="S4" i="21" s="1"/>
  <c r="R4" i="16"/>
  <c r="M34" i="6"/>
  <c r="M32" i="6"/>
  <c r="L31" i="6"/>
  <c r="R33" i="6" l="1"/>
  <c r="R19" i="6" s="1"/>
  <c r="O16" i="19" s="1"/>
  <c r="O17" i="19" s="1"/>
  <c r="P3" i="9"/>
  <c r="R3" i="17"/>
  <c r="T4" i="6"/>
  <c r="Q3" i="15"/>
  <c r="L23" i="10"/>
  <c r="M12" i="21"/>
  <c r="M25" i="21" s="1"/>
  <c r="K25" i="21"/>
  <c r="S62" i="16"/>
  <c r="S66" i="16"/>
  <c r="S60" i="16"/>
  <c r="S64" i="16"/>
  <c r="S67" i="16"/>
  <c r="U4" i="7"/>
  <c r="U3" i="21" s="1"/>
  <c r="T3" i="16"/>
  <c r="T58" i="16" s="1"/>
  <c r="T59" i="16" s="1"/>
  <c r="M20" i="6"/>
  <c r="M10" i="10" s="1"/>
  <c r="J29" i="19"/>
  <c r="T5" i="7"/>
  <c r="T4" i="21" s="1"/>
  <c r="S4" i="16"/>
  <c r="O4" i="9"/>
  <c r="Q4" i="17"/>
  <c r="N34" i="6"/>
  <c r="N32" i="6"/>
  <c r="M31" i="6"/>
  <c r="S33" i="6" l="1"/>
  <c r="S19" i="6" s="1"/>
  <c r="P16" i="19" s="1"/>
  <c r="P17" i="19" s="1"/>
  <c r="Q3" i="9"/>
  <c r="S3" i="17"/>
  <c r="U4" i="6"/>
  <c r="R3" i="15"/>
  <c r="M23" i="10"/>
  <c r="N12" i="21"/>
  <c r="T62" i="16"/>
  <c r="T60" i="16"/>
  <c r="T66" i="16"/>
  <c r="T64" i="16"/>
  <c r="T67" i="16"/>
  <c r="V4" i="7"/>
  <c r="V3" i="21" s="1"/>
  <c r="U3" i="16"/>
  <c r="U58" i="16" s="1"/>
  <c r="U59" i="16" s="1"/>
  <c r="N20" i="6"/>
  <c r="N10" i="10" s="1"/>
  <c r="K29" i="19"/>
  <c r="P4" i="9"/>
  <c r="R4" i="17"/>
  <c r="U5" i="7"/>
  <c r="U4" i="21" s="1"/>
  <c r="T4" i="16"/>
  <c r="O34" i="6"/>
  <c r="O32" i="6"/>
  <c r="N31" i="6"/>
  <c r="T33" i="6" l="1"/>
  <c r="T19" i="6" s="1"/>
  <c r="R3" i="9"/>
  <c r="T3" i="17"/>
  <c r="V4" i="6"/>
  <c r="S3" i="15"/>
  <c r="N23" i="10"/>
  <c r="O12" i="21"/>
  <c r="O25" i="21" s="1"/>
  <c r="N25" i="21"/>
  <c r="W4" i="7"/>
  <c r="W3" i="21" s="1"/>
  <c r="V3" i="16"/>
  <c r="V58" i="16" s="1"/>
  <c r="V59" i="16" s="1"/>
  <c r="U62" i="16"/>
  <c r="U64" i="16"/>
  <c r="U67" i="16"/>
  <c r="U60" i="16"/>
  <c r="U66" i="16"/>
  <c r="Q16" i="19"/>
  <c r="Q17" i="19" s="1"/>
  <c r="O20" i="6"/>
  <c r="L29" i="19"/>
  <c r="V5" i="7"/>
  <c r="V4" i="21" s="1"/>
  <c r="U4" i="16"/>
  <c r="Q4" i="9"/>
  <c r="S4" i="17"/>
  <c r="P34" i="6"/>
  <c r="P32" i="6"/>
  <c r="U33" i="6"/>
  <c r="U19" i="6" s="1"/>
  <c r="O31" i="6"/>
  <c r="S3" i="9" l="1"/>
  <c r="U3" i="17"/>
  <c r="W4" i="6"/>
  <c r="T3" i="15"/>
  <c r="X4" i="7"/>
  <c r="X3" i="21" s="1"/>
  <c r="W3" i="16"/>
  <c r="W58" i="16" s="1"/>
  <c r="W59" i="16" s="1"/>
  <c r="V66" i="16"/>
  <c r="V64" i="16"/>
  <c r="V62" i="16"/>
  <c r="V67" i="16"/>
  <c r="V60" i="16"/>
  <c r="R16" i="19"/>
  <c r="R17" i="19" s="1"/>
  <c r="O10" i="10"/>
  <c r="P20" i="6"/>
  <c r="M29" i="19"/>
  <c r="R4" i="9"/>
  <c r="T4" i="17"/>
  <c r="W5" i="7"/>
  <c r="W4" i="21" s="1"/>
  <c r="V4" i="16"/>
  <c r="V33" i="6"/>
  <c r="V19" i="6" s="1"/>
  <c r="Q34" i="6"/>
  <c r="Q32" i="6"/>
  <c r="P31" i="6"/>
  <c r="P10" i="10"/>
  <c r="T3" i="9" l="1"/>
  <c r="V3" i="17"/>
  <c r="X4" i="6"/>
  <c r="U3" i="15"/>
  <c r="P23" i="10"/>
  <c r="Q12" i="21"/>
  <c r="Q25" i="21" s="1"/>
  <c r="O23" i="10"/>
  <c r="P12" i="21"/>
  <c r="P25" i="21" s="1"/>
  <c r="W62" i="16"/>
  <c r="W66" i="16"/>
  <c r="W67" i="16"/>
  <c r="W64" i="16"/>
  <c r="W60" i="16"/>
  <c r="Y4" i="7"/>
  <c r="Y3" i="21" s="1"/>
  <c r="X3" i="16"/>
  <c r="X58" i="16" s="1"/>
  <c r="X59" i="16" s="1"/>
  <c r="S16" i="19"/>
  <c r="S17" i="19" s="1"/>
  <c r="Q20" i="6"/>
  <c r="N29" i="19"/>
  <c r="X5" i="7"/>
  <c r="X4" i="21" s="1"/>
  <c r="W4" i="16"/>
  <c r="S4" i="9"/>
  <c r="U4" i="17"/>
  <c r="R34" i="6"/>
  <c r="R32" i="6"/>
  <c r="W33" i="6"/>
  <c r="W19" i="6" s="1"/>
  <c r="Q31" i="6"/>
  <c r="U3" i="9" l="1"/>
  <c r="W3" i="17"/>
  <c r="Y4" i="6"/>
  <c r="V3" i="15"/>
  <c r="X67" i="16"/>
  <c r="X66" i="16"/>
  <c r="X62" i="16"/>
  <c r="X64" i="16"/>
  <c r="X60" i="16"/>
  <c r="Z4" i="7"/>
  <c r="Z3" i="21" s="1"/>
  <c r="Y3" i="16"/>
  <c r="Y58" i="16" s="1"/>
  <c r="Y59" i="16" s="1"/>
  <c r="T16" i="19"/>
  <c r="T17" i="19" s="1"/>
  <c r="Q10" i="10"/>
  <c r="R20" i="6"/>
  <c r="O29" i="19"/>
  <c r="T4" i="9"/>
  <c r="V4" i="17"/>
  <c r="Y5" i="7"/>
  <c r="Y4" i="21" s="1"/>
  <c r="X4" i="16"/>
  <c r="S32" i="6"/>
  <c r="S34" i="6"/>
  <c r="X33" i="6"/>
  <c r="X19" i="6" s="1"/>
  <c r="R31" i="6"/>
  <c r="R10" i="10"/>
  <c r="V3" i="9" l="1"/>
  <c r="X3" i="17"/>
  <c r="Z4" i="6"/>
  <c r="W3" i="15"/>
  <c r="R23" i="10"/>
  <c r="S12" i="21"/>
  <c r="S25" i="21" s="1"/>
  <c r="Q23" i="10"/>
  <c r="R12" i="21"/>
  <c r="R25" i="21" s="1"/>
  <c r="AA4" i="7"/>
  <c r="AA3" i="21" s="1"/>
  <c r="Z3" i="16"/>
  <c r="Z58" i="16" s="1"/>
  <c r="Z59" i="16" s="1"/>
  <c r="Y64" i="16"/>
  <c r="Y67" i="16"/>
  <c r="Y62" i="16"/>
  <c r="Y66" i="16"/>
  <c r="Y60" i="16"/>
  <c r="U16" i="19"/>
  <c r="U17" i="19" s="1"/>
  <c r="S20" i="6"/>
  <c r="S10" i="10" s="1"/>
  <c r="P29" i="19"/>
  <c r="Z5" i="7"/>
  <c r="Z4" i="21" s="1"/>
  <c r="Y4" i="16"/>
  <c r="U4" i="9"/>
  <c r="W4" i="17"/>
  <c r="S31" i="6"/>
  <c r="Y33" i="6"/>
  <c r="Y19" i="6" s="1"/>
  <c r="T32" i="6"/>
  <c r="T34" i="6"/>
  <c r="W3" i="9" l="1"/>
  <c r="Y3" i="17"/>
  <c r="AA4" i="6"/>
  <c r="X3" i="15"/>
  <c r="S23" i="10"/>
  <c r="T12" i="21"/>
  <c r="T25" i="21" s="1"/>
  <c r="AB4" i="7"/>
  <c r="AB3" i="21" s="1"/>
  <c r="AA3" i="16"/>
  <c r="AA58" i="16" s="1"/>
  <c r="AA59" i="16" s="1"/>
  <c r="Z62" i="16"/>
  <c r="Z64" i="16"/>
  <c r="Z60" i="16"/>
  <c r="Z66" i="16"/>
  <c r="Z67" i="16"/>
  <c r="V16" i="19"/>
  <c r="V17" i="19" s="1"/>
  <c r="T20" i="6"/>
  <c r="Q29" i="19"/>
  <c r="V4" i="9"/>
  <c r="X4" i="17"/>
  <c r="AA5" i="7"/>
  <c r="AA4" i="21" s="1"/>
  <c r="Z4" i="16"/>
  <c r="T31" i="6"/>
  <c r="Z33" i="6"/>
  <c r="Z19" i="6" s="1"/>
  <c r="U34" i="6"/>
  <c r="U32" i="6"/>
  <c r="X3" i="9" l="1"/>
  <c r="Z3" i="17"/>
  <c r="AB4" i="6"/>
  <c r="Y3" i="15"/>
  <c r="AC4" i="7"/>
  <c r="AC3" i="21" s="1"/>
  <c r="AB3" i="16"/>
  <c r="AB58" i="16" s="1"/>
  <c r="AB59" i="16" s="1"/>
  <c r="AA67" i="16"/>
  <c r="AA60" i="16"/>
  <c r="AA62" i="16"/>
  <c r="AA66" i="16"/>
  <c r="AA64" i="16"/>
  <c r="W16" i="19"/>
  <c r="W17" i="19" s="1"/>
  <c r="T10" i="10"/>
  <c r="U20" i="6"/>
  <c r="R29" i="19"/>
  <c r="AB5" i="7"/>
  <c r="AB4" i="21" s="1"/>
  <c r="AA4" i="16"/>
  <c r="W4" i="9"/>
  <c r="Y4" i="17"/>
  <c r="V32" i="6"/>
  <c r="V34" i="6"/>
  <c r="AA33" i="6"/>
  <c r="AA19" i="6" s="1"/>
  <c r="U31" i="6"/>
  <c r="Y3" i="9" l="1"/>
  <c r="AA3" i="17"/>
  <c r="AC4" i="6"/>
  <c r="Z3" i="15"/>
  <c r="T23" i="10"/>
  <c r="U12" i="21"/>
  <c r="U25" i="21" s="1"/>
  <c r="AB62" i="16"/>
  <c r="AB60" i="16"/>
  <c r="AB66" i="16"/>
  <c r="AB64" i="16"/>
  <c r="AB67" i="16"/>
  <c r="AD4" i="7"/>
  <c r="AD3" i="21" s="1"/>
  <c r="AC3" i="16"/>
  <c r="AC58" i="16" s="1"/>
  <c r="AC59" i="16" s="1"/>
  <c r="X16" i="19"/>
  <c r="X17" i="19" s="1"/>
  <c r="U10" i="10"/>
  <c r="V20" i="6"/>
  <c r="V10" i="10" s="1"/>
  <c r="S29" i="19"/>
  <c r="X4" i="9"/>
  <c r="Z4" i="17"/>
  <c r="AC5" i="7"/>
  <c r="AC4" i="21" s="1"/>
  <c r="AB4" i="16"/>
  <c r="AB33" i="6"/>
  <c r="AB19" i="6" s="1"/>
  <c r="V31" i="6"/>
  <c r="W34" i="6"/>
  <c r="W32" i="6"/>
  <c r="Z3" i="9" l="1"/>
  <c r="AC3" i="17" s="1"/>
  <c r="AB3" i="17"/>
  <c r="AD4" i="6"/>
  <c r="AB3" i="15" s="1"/>
  <c r="AA3" i="15"/>
  <c r="U23" i="10"/>
  <c r="V12" i="21"/>
  <c r="V25" i="21" s="1"/>
  <c r="V23" i="10"/>
  <c r="W12" i="21"/>
  <c r="W25" i="21" s="1"/>
  <c r="AC64" i="16"/>
  <c r="AC60" i="16"/>
  <c r="AC62" i="16"/>
  <c r="AC67" i="16"/>
  <c r="AC66" i="16"/>
  <c r="AE4" i="7"/>
  <c r="AD3" i="16"/>
  <c r="AD58" i="16" s="1"/>
  <c r="AD59" i="16" s="1"/>
  <c r="Y16" i="19"/>
  <c r="Y17" i="19" s="1"/>
  <c r="W20" i="6"/>
  <c r="T29" i="19"/>
  <c r="AD5" i="7"/>
  <c r="AD4" i="21" s="1"/>
  <c r="AC4" i="16"/>
  <c r="Y4" i="9"/>
  <c r="AA4" i="17"/>
  <c r="X34" i="6"/>
  <c r="X32" i="6"/>
  <c r="AC33" i="6"/>
  <c r="AC19" i="6" s="1"/>
  <c r="W31" i="6"/>
  <c r="AE3" i="16" l="1"/>
  <c r="AE58" i="16" s="1"/>
  <c r="AE59" i="16" s="1"/>
  <c r="AE66" i="16" s="1"/>
  <c r="AE3" i="21"/>
  <c r="AE67" i="16"/>
  <c r="AD62" i="16"/>
  <c r="AD67" i="16"/>
  <c r="AD66" i="16"/>
  <c r="AD64" i="16"/>
  <c r="AD60" i="16"/>
  <c r="Z16" i="19"/>
  <c r="Z17" i="19" s="1"/>
  <c r="W10" i="10"/>
  <c r="X20" i="6"/>
  <c r="X10" i="10" s="1"/>
  <c r="U29" i="19"/>
  <c r="Z4" i="9"/>
  <c r="AC4" i="17" s="1"/>
  <c r="AB4" i="17"/>
  <c r="AE5" i="7"/>
  <c r="AD4" i="16"/>
  <c r="AD33" i="6"/>
  <c r="AD19" i="6" s="1"/>
  <c r="Y34" i="6"/>
  <c r="Y32" i="6"/>
  <c r="X31" i="6"/>
  <c r="AE64" i="16" l="1"/>
  <c r="AE60" i="16"/>
  <c r="AF60" i="16" s="1"/>
  <c r="H73" i="16" s="1"/>
  <c r="AE4" i="16"/>
  <c r="AE4" i="21"/>
  <c r="W23" i="10"/>
  <c r="X12" i="21"/>
  <c r="X25" i="21" s="1"/>
  <c r="X23" i="10"/>
  <c r="Y12" i="21"/>
  <c r="Y25" i="21" s="1"/>
  <c r="AF64" i="16"/>
  <c r="H77" i="16" s="1"/>
  <c r="AF67" i="16"/>
  <c r="H80" i="16" s="1"/>
  <c r="AA16" i="19"/>
  <c r="AA17" i="19" s="1"/>
  <c r="Y20" i="6"/>
  <c r="Y10" i="10" s="1"/>
  <c r="V29" i="19"/>
  <c r="Z34" i="6"/>
  <c r="Z32" i="6"/>
  <c r="AE19" i="6"/>
  <c r="AE33" i="6"/>
  <c r="Y31" i="6"/>
  <c r="AB16" i="19" l="1"/>
  <c r="Y23" i="10"/>
  <c r="Z12" i="21"/>
  <c r="Z25" i="21" s="1"/>
  <c r="Z20" i="6"/>
  <c r="W29" i="19"/>
  <c r="AA34" i="6"/>
  <c r="AA32" i="6"/>
  <c r="Z31" i="6"/>
  <c r="Z10" i="10" l="1"/>
  <c r="AA20" i="6"/>
  <c r="AA10" i="10" s="1"/>
  <c r="X29" i="19"/>
  <c r="AB34" i="6"/>
  <c r="AB32" i="6"/>
  <c r="AA31" i="6"/>
  <c r="Z23" i="10" l="1"/>
  <c r="AA12" i="21"/>
  <c r="AA25" i="21" s="1"/>
  <c r="AA23" i="10"/>
  <c r="AB12" i="21"/>
  <c r="AB25" i="21" s="1"/>
  <c r="AB20" i="6"/>
  <c r="Y29" i="19"/>
  <c r="AC34" i="6"/>
  <c r="AC32" i="6"/>
  <c r="AB31" i="6"/>
  <c r="AB10" i="10" l="1"/>
  <c r="AC20" i="6"/>
  <c r="Z29" i="19"/>
  <c r="AD34" i="6"/>
  <c r="AD32" i="6"/>
  <c r="AC10" i="10"/>
  <c r="AC31" i="6"/>
  <c r="AE34" i="6"/>
  <c r="AB23" i="10" l="1"/>
  <c r="AC12" i="21"/>
  <c r="AC25" i="21" s="1"/>
  <c r="AC23" i="10"/>
  <c r="AD12" i="21"/>
  <c r="AD25" i="21" s="1"/>
  <c r="AD20" i="6"/>
  <c r="AA29" i="19"/>
  <c r="AB29" i="19" s="1"/>
  <c r="AD31" i="6"/>
  <c r="AE31" i="6" s="1"/>
  <c r="AE32" i="6"/>
  <c r="AE20" i="6" l="1"/>
  <c r="AD10" i="10"/>
  <c r="AE12" i="21" s="1"/>
  <c r="V7" i="10"/>
  <c r="W9" i="21" s="1"/>
  <c r="W22" i="21" s="1"/>
  <c r="Z7" i="10"/>
  <c r="AA9" i="21" s="1"/>
  <c r="AA22" i="21" s="1"/>
  <c r="F5" i="6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G9" i="21" s="1"/>
  <c r="G22" i="21" s="1"/>
  <c r="G58" i="5"/>
  <c r="G57" i="5" s="1"/>
  <c r="F58" i="5"/>
  <c r="F57" i="5" s="1"/>
  <c r="D56" i="5"/>
  <c r="D58" i="5"/>
  <c r="K25" i="7" l="1"/>
  <c r="K47" i="16"/>
  <c r="K46" i="16" s="1"/>
  <c r="K45" i="16" s="1"/>
  <c r="H25" i="7"/>
  <c r="H47" i="16"/>
  <c r="H46" i="16" s="1"/>
  <c r="H45" i="16" s="1"/>
  <c r="J25" i="7"/>
  <c r="J47" i="16"/>
  <c r="J46" i="16" s="1"/>
  <c r="J45" i="16" s="1"/>
  <c r="I25" i="7"/>
  <c r="I47" i="16"/>
  <c r="I46" i="16" s="1"/>
  <c r="I45" i="16" s="1"/>
  <c r="L25" i="7"/>
  <c r="L47" i="16"/>
  <c r="L46" i="16" s="1"/>
  <c r="L45" i="16" s="1"/>
  <c r="H20" i="10"/>
  <c r="I9" i="21"/>
  <c r="I22" i="21" s="1"/>
  <c r="J20" i="10"/>
  <c r="K9" i="21"/>
  <c r="K22" i="21" s="1"/>
  <c r="L20" i="10"/>
  <c r="M9" i="21"/>
  <c r="M22" i="21" s="1"/>
  <c r="N20" i="10"/>
  <c r="O9" i="21"/>
  <c r="O22" i="21" s="1"/>
  <c r="P20" i="10"/>
  <c r="Q9" i="21"/>
  <c r="Q22" i="21" s="1"/>
  <c r="R20" i="10"/>
  <c r="S9" i="21"/>
  <c r="S22" i="21" s="1"/>
  <c r="T20" i="10"/>
  <c r="U9" i="21"/>
  <c r="U22" i="21" s="1"/>
  <c r="G20" i="10"/>
  <c r="H9" i="21"/>
  <c r="H22" i="21" s="1"/>
  <c r="I20" i="10"/>
  <c r="J9" i="21"/>
  <c r="J22" i="21" s="1"/>
  <c r="K20" i="10"/>
  <c r="L9" i="21"/>
  <c r="L22" i="21" s="1"/>
  <c r="M20" i="10"/>
  <c r="N9" i="21"/>
  <c r="N22" i="21" s="1"/>
  <c r="O20" i="10"/>
  <c r="P9" i="21"/>
  <c r="P22" i="21" s="1"/>
  <c r="Q20" i="10"/>
  <c r="R9" i="21"/>
  <c r="R22" i="21" s="1"/>
  <c r="S20" i="10"/>
  <c r="T9" i="21"/>
  <c r="T22" i="21" s="1"/>
  <c r="AE25" i="21"/>
  <c r="AF25" i="21" s="1"/>
  <c r="J36" i="21" s="1"/>
  <c r="AF12" i="21"/>
  <c r="H36" i="21" s="1"/>
  <c r="G5" i="6"/>
  <c r="C3" i="19"/>
  <c r="C23" i="19" s="1"/>
  <c r="D55" i="5"/>
  <c r="AD23" i="10"/>
  <c r="AE23" i="10" s="1"/>
  <c r="I34" i="10" s="1"/>
  <c r="AE10" i="10"/>
  <c r="F20" i="10"/>
  <c r="AC7" i="10"/>
  <c r="AD9" i="21" s="1"/>
  <c r="AD22" i="21" s="1"/>
  <c r="AA7" i="10"/>
  <c r="AB9" i="21" s="1"/>
  <c r="AB22" i="21" s="1"/>
  <c r="Y7" i="10"/>
  <c r="Z9" i="21" s="1"/>
  <c r="Z22" i="21" s="1"/>
  <c r="W7" i="10"/>
  <c r="X9" i="21" s="1"/>
  <c r="X22" i="21" s="1"/>
  <c r="U7" i="10"/>
  <c r="AB7" i="10"/>
  <c r="AC9" i="21" s="1"/>
  <c r="AC22" i="21" s="1"/>
  <c r="Z20" i="10"/>
  <c r="X7" i="10"/>
  <c r="Y9" i="21" s="1"/>
  <c r="Y22" i="21" s="1"/>
  <c r="V20" i="10"/>
  <c r="E58" i="5"/>
  <c r="E57" i="5" s="1"/>
  <c r="AD58" i="5" l="1"/>
  <c r="U20" i="10"/>
  <c r="V9" i="21"/>
  <c r="V22" i="21" s="1"/>
  <c r="H5" i="6"/>
  <c r="D3" i="19"/>
  <c r="D23" i="19" s="1"/>
  <c r="G25" i="7"/>
  <c r="AF25" i="7" s="1"/>
  <c r="G34" i="10"/>
  <c r="AF10" i="10"/>
  <c r="X20" i="10"/>
  <c r="AB20" i="10"/>
  <c r="W20" i="10"/>
  <c r="Y20" i="10"/>
  <c r="AA20" i="10"/>
  <c r="AC20" i="10"/>
  <c r="AD57" i="5" l="1"/>
  <c r="G47" i="16"/>
  <c r="I5" i="6"/>
  <c r="E3" i="19"/>
  <c r="E23" i="19" s="1"/>
  <c r="D76" i="5"/>
  <c r="D77" i="5" s="1"/>
  <c r="D71" i="5"/>
  <c r="AD42" i="5"/>
  <c r="AD41" i="5"/>
  <c r="E68" i="4"/>
  <c r="F62" i="4" s="1"/>
  <c r="E67" i="4"/>
  <c r="F61" i="4" s="1"/>
  <c r="E66" i="4"/>
  <c r="F60" i="4" s="1"/>
  <c r="E65" i="4"/>
  <c r="F59" i="4" s="1"/>
  <c r="D69" i="4"/>
  <c r="D63" i="4"/>
  <c r="G46" i="16" l="1"/>
  <c r="AF47" i="16"/>
  <c r="J5" i="6"/>
  <c r="F3" i="19"/>
  <c r="F23" i="19" s="1"/>
  <c r="D72" i="5"/>
  <c r="E70" i="5" s="1"/>
  <c r="E75" i="5"/>
  <c r="AD37" i="5"/>
  <c r="F67" i="4"/>
  <c r="G61" i="4" s="1"/>
  <c r="E69" i="4"/>
  <c r="E72" i="4" s="1"/>
  <c r="F68" i="4"/>
  <c r="G62" i="4" s="1"/>
  <c r="F66" i="4"/>
  <c r="G60" i="4" s="1"/>
  <c r="F65" i="4"/>
  <c r="G59" i="4" s="1"/>
  <c r="E63" i="4"/>
  <c r="G45" i="16" l="1"/>
  <c r="AF46" i="16"/>
  <c r="E78" i="5"/>
  <c r="AD53" i="4"/>
  <c r="K5" i="6"/>
  <c r="G3" i="19"/>
  <c r="G23" i="19" s="1"/>
  <c r="E71" i="5"/>
  <c r="G67" i="4"/>
  <c r="H61" i="4" s="1"/>
  <c r="G68" i="4"/>
  <c r="H62" i="4" s="1"/>
  <c r="G66" i="4"/>
  <c r="H60" i="4" s="1"/>
  <c r="G65" i="4"/>
  <c r="H59" i="4" s="1"/>
  <c r="E76" i="5"/>
  <c r="F69" i="4"/>
  <c r="F72" i="4" s="1"/>
  <c r="F63" i="4"/>
  <c r="E75" i="4" l="1"/>
  <c r="E71" i="4" s="1"/>
  <c r="E20" i="4" s="1"/>
  <c r="C31" i="19"/>
  <c r="AD52" i="4"/>
  <c r="L5" i="6"/>
  <c r="H3" i="19"/>
  <c r="H23" i="19" s="1"/>
  <c r="H67" i="4"/>
  <c r="I61" i="4" s="1"/>
  <c r="H66" i="4"/>
  <c r="I60" i="4" s="1"/>
  <c r="G69" i="4"/>
  <c r="G72" i="4" s="1"/>
  <c r="H68" i="4"/>
  <c r="I62" i="4" s="1"/>
  <c r="H65" i="4"/>
  <c r="I59" i="4" s="1"/>
  <c r="G63" i="4"/>
  <c r="E14" i="4" l="1"/>
  <c r="E27" i="5"/>
  <c r="E81" i="5" s="1"/>
  <c r="M5" i="6"/>
  <c r="I3" i="19"/>
  <c r="I23" i="19" s="1"/>
  <c r="I67" i="4"/>
  <c r="J61" i="4" s="1"/>
  <c r="I68" i="4"/>
  <c r="J62" i="4" s="1"/>
  <c r="I65" i="4"/>
  <c r="J59" i="4" s="1"/>
  <c r="H69" i="4"/>
  <c r="H72" i="4" s="1"/>
  <c r="I66" i="4"/>
  <c r="J60" i="4" s="1"/>
  <c r="H63" i="4"/>
  <c r="J68" i="4" l="1"/>
  <c r="K62" i="4" s="1"/>
  <c r="E26" i="5"/>
  <c r="G42" i="16"/>
  <c r="G41" i="16" s="1"/>
  <c r="G53" i="16" s="1"/>
  <c r="G20" i="7"/>
  <c r="E84" i="5"/>
  <c r="E80" i="5" s="1"/>
  <c r="E20" i="5" s="1"/>
  <c r="N5" i="6"/>
  <c r="J3" i="19"/>
  <c r="J23" i="19" s="1"/>
  <c r="J67" i="4"/>
  <c r="K61" i="4" s="1"/>
  <c r="J65" i="4"/>
  <c r="K59" i="4" s="1"/>
  <c r="K68" i="4"/>
  <c r="J66" i="4"/>
  <c r="K60" i="4" s="1"/>
  <c r="I69" i="4"/>
  <c r="I72" i="4" s="1"/>
  <c r="I63" i="4"/>
  <c r="L62" i="4" l="1"/>
  <c r="G65" i="16"/>
  <c r="B7" i="9"/>
  <c r="C27" i="19"/>
  <c r="G24" i="16"/>
  <c r="E14" i="5"/>
  <c r="C30" i="19" s="1"/>
  <c r="G14" i="7"/>
  <c r="F75" i="4"/>
  <c r="F71" i="4" s="1"/>
  <c r="F20" i="4" s="1"/>
  <c r="H75" i="4"/>
  <c r="H71" i="4" s="1"/>
  <c r="H20" i="4" s="1"/>
  <c r="O5" i="6"/>
  <c r="K3" i="19"/>
  <c r="K23" i="19" s="1"/>
  <c r="K67" i="4"/>
  <c r="L61" i="4" s="1"/>
  <c r="K65" i="4"/>
  <c r="L59" i="4" s="1"/>
  <c r="K66" i="4"/>
  <c r="L60" i="4" s="1"/>
  <c r="L68" i="4"/>
  <c r="M62" i="4" s="1"/>
  <c r="J69" i="4"/>
  <c r="J72" i="4" s="1"/>
  <c r="J63" i="4"/>
  <c r="H14" i="4" l="1"/>
  <c r="F14" i="4"/>
  <c r="G75" i="4"/>
  <c r="G71" i="4" s="1"/>
  <c r="G20" i="4" s="1"/>
  <c r="L67" i="4"/>
  <c r="M61" i="4" s="1"/>
  <c r="P5" i="6"/>
  <c r="L3" i="19"/>
  <c r="L23" i="19" s="1"/>
  <c r="L66" i="4"/>
  <c r="M60" i="4" s="1"/>
  <c r="L65" i="4"/>
  <c r="M59" i="4" s="1"/>
  <c r="K69" i="4"/>
  <c r="K72" i="4" s="1"/>
  <c r="M68" i="4"/>
  <c r="N62" i="4" s="1"/>
  <c r="K63" i="4"/>
  <c r="G14" i="4" l="1"/>
  <c r="I75" i="4"/>
  <c r="I71" i="4" s="1"/>
  <c r="I20" i="4" s="1"/>
  <c r="M67" i="4"/>
  <c r="N61" i="4" s="1"/>
  <c r="Q5" i="6"/>
  <c r="M3" i="19"/>
  <c r="M23" i="19" s="1"/>
  <c r="L69" i="4"/>
  <c r="L72" i="4" s="1"/>
  <c r="M65" i="4"/>
  <c r="N59" i="4" s="1"/>
  <c r="N68" i="4"/>
  <c r="O62" i="4" s="1"/>
  <c r="M66" i="4"/>
  <c r="N60" i="4" s="1"/>
  <c r="L63" i="4"/>
  <c r="I14" i="4" l="1"/>
  <c r="N67" i="4"/>
  <c r="O67" i="4" s="1"/>
  <c r="J75" i="4"/>
  <c r="J71" i="4" s="1"/>
  <c r="J20" i="4" s="1"/>
  <c r="R5" i="6"/>
  <c r="N3" i="19"/>
  <c r="N23" i="19" s="1"/>
  <c r="N65" i="4"/>
  <c r="O59" i="4" s="1"/>
  <c r="N66" i="4"/>
  <c r="O60" i="4" s="1"/>
  <c r="O68" i="4"/>
  <c r="P62" i="4" s="1"/>
  <c r="M69" i="4"/>
  <c r="M72" i="4" s="1"/>
  <c r="M63" i="4"/>
  <c r="O61" i="4" l="1"/>
  <c r="P61" i="4" s="1"/>
  <c r="J14" i="4"/>
  <c r="S5" i="6"/>
  <c r="O3" i="19"/>
  <c r="O23" i="19" s="1"/>
  <c r="O65" i="4"/>
  <c r="P59" i="4" s="1"/>
  <c r="N69" i="4"/>
  <c r="N72" i="4" s="1"/>
  <c r="P68" i="4"/>
  <c r="Q62" i="4" s="1"/>
  <c r="O66" i="4"/>
  <c r="P60" i="4" s="1"/>
  <c r="N63" i="4"/>
  <c r="P67" i="4" l="1"/>
  <c r="Q61" i="4" s="1"/>
  <c r="K75" i="4"/>
  <c r="K71" i="4" s="1"/>
  <c r="K20" i="4" s="1"/>
  <c r="T5" i="6"/>
  <c r="P3" i="19"/>
  <c r="P23" i="19" s="1"/>
  <c r="P65" i="4"/>
  <c r="Q59" i="4" s="1"/>
  <c r="P66" i="4"/>
  <c r="Q60" i="4" s="1"/>
  <c r="Q68" i="4"/>
  <c r="R62" i="4" s="1"/>
  <c r="O69" i="4"/>
  <c r="O72" i="4" s="1"/>
  <c r="O63" i="4"/>
  <c r="Q67" i="4" l="1"/>
  <c r="R61" i="4"/>
  <c r="K14" i="4"/>
  <c r="L75" i="4"/>
  <c r="L71" i="4" s="1"/>
  <c r="L20" i="4" s="1"/>
  <c r="U5" i="6"/>
  <c r="Q3" i="19"/>
  <c r="Q23" i="19" s="1"/>
  <c r="Q65" i="4"/>
  <c r="R59" i="4" s="1"/>
  <c r="P69" i="4"/>
  <c r="P72" i="4" s="1"/>
  <c r="R68" i="4"/>
  <c r="S62" i="4" s="1"/>
  <c r="R67" i="4"/>
  <c r="Q66" i="4"/>
  <c r="R60" i="4" s="1"/>
  <c r="P63" i="4"/>
  <c r="S61" i="4" l="1"/>
  <c r="L14" i="4"/>
  <c r="M75" i="4"/>
  <c r="M71" i="4" s="1"/>
  <c r="M20" i="4" s="1"/>
  <c r="N75" i="4"/>
  <c r="N71" i="4" s="1"/>
  <c r="N20" i="4" s="1"/>
  <c r="V5" i="6"/>
  <c r="R3" i="19"/>
  <c r="R23" i="19" s="1"/>
  <c r="R65" i="4"/>
  <c r="S59" i="4" s="1"/>
  <c r="R66" i="4"/>
  <c r="S60" i="4" s="1"/>
  <c r="S68" i="4"/>
  <c r="T62" i="4" s="1"/>
  <c r="S67" i="4"/>
  <c r="Q69" i="4"/>
  <c r="Q72" i="4" s="1"/>
  <c r="Q63" i="4"/>
  <c r="T61" i="4" l="1"/>
  <c r="N14" i="4"/>
  <c r="M14" i="4"/>
  <c r="W5" i="6"/>
  <c r="S3" i="19"/>
  <c r="S23" i="19" s="1"/>
  <c r="S65" i="4"/>
  <c r="T59" i="4" s="1"/>
  <c r="R69" i="4"/>
  <c r="R72" i="4" s="1"/>
  <c r="S66" i="4"/>
  <c r="T60" i="4" s="1"/>
  <c r="T68" i="4"/>
  <c r="U62" i="4" s="1"/>
  <c r="T67" i="4"/>
  <c r="R63" i="4"/>
  <c r="U61" i="4" l="1"/>
  <c r="O75" i="4"/>
  <c r="O71" i="4" s="1"/>
  <c r="O20" i="4" s="1"/>
  <c r="P75" i="4"/>
  <c r="P71" i="4" s="1"/>
  <c r="P20" i="4" s="1"/>
  <c r="X5" i="6"/>
  <c r="T3" i="19"/>
  <c r="T23" i="19" s="1"/>
  <c r="T65" i="4"/>
  <c r="U59" i="4" s="1"/>
  <c r="T66" i="4"/>
  <c r="U60" i="4" s="1"/>
  <c r="S69" i="4"/>
  <c r="S72" i="4" s="1"/>
  <c r="U68" i="4"/>
  <c r="V62" i="4" s="1"/>
  <c r="U67" i="4"/>
  <c r="S63" i="4"/>
  <c r="V61" i="4" l="1"/>
  <c r="P14" i="4"/>
  <c r="O14" i="4"/>
  <c r="Y5" i="6"/>
  <c r="U3" i="19"/>
  <c r="U23" i="19" s="1"/>
  <c r="U65" i="4"/>
  <c r="V59" i="4" s="1"/>
  <c r="T69" i="4"/>
  <c r="T72" i="4" s="1"/>
  <c r="V68" i="4"/>
  <c r="W62" i="4" s="1"/>
  <c r="V67" i="4"/>
  <c r="U66" i="4"/>
  <c r="V60" i="4" s="1"/>
  <c r="T63" i="4"/>
  <c r="W61" i="4" l="1"/>
  <c r="Q75" i="4"/>
  <c r="Q71" i="4" s="1"/>
  <c r="Q20" i="4" s="1"/>
  <c r="R75" i="4"/>
  <c r="R71" i="4" s="1"/>
  <c r="R20" i="4" s="1"/>
  <c r="Z5" i="6"/>
  <c r="V3" i="19"/>
  <c r="V23" i="19" s="1"/>
  <c r="V65" i="4"/>
  <c r="W59" i="4" s="1"/>
  <c r="W68" i="4"/>
  <c r="X62" i="4" s="1"/>
  <c r="W67" i="4"/>
  <c r="V66" i="4"/>
  <c r="W60" i="4" s="1"/>
  <c r="U69" i="4"/>
  <c r="U72" i="4" s="1"/>
  <c r="U63" i="4"/>
  <c r="X61" i="4" l="1"/>
  <c r="R14" i="4"/>
  <c r="AA5" i="6"/>
  <c r="W3" i="19"/>
  <c r="W23" i="19" s="1"/>
  <c r="W65" i="4"/>
  <c r="X59" i="4" s="1"/>
  <c r="W66" i="4"/>
  <c r="X60" i="4" s="1"/>
  <c r="X68" i="4"/>
  <c r="Y62" i="4" s="1"/>
  <c r="X67" i="4"/>
  <c r="V69" i="4"/>
  <c r="V72" i="4" s="1"/>
  <c r="V63" i="4"/>
  <c r="Y61" i="4" l="1"/>
  <c r="S75" i="4"/>
  <c r="S71" i="4" s="1"/>
  <c r="S20" i="4" s="1"/>
  <c r="Q14" i="4"/>
  <c r="T75" i="4"/>
  <c r="T71" i="4" s="1"/>
  <c r="T20" i="4" s="1"/>
  <c r="AB5" i="6"/>
  <c r="X3" i="19"/>
  <c r="X23" i="19" s="1"/>
  <c r="X65" i="4"/>
  <c r="Y59" i="4" s="1"/>
  <c r="W69" i="4"/>
  <c r="W72" i="4" s="1"/>
  <c r="X66" i="4"/>
  <c r="Y60" i="4" s="1"/>
  <c r="Y68" i="4"/>
  <c r="Z62" i="4" s="1"/>
  <c r="Y67" i="4"/>
  <c r="W63" i="4"/>
  <c r="Z61" i="4" l="1"/>
  <c r="T14" i="4"/>
  <c r="S14" i="4"/>
  <c r="Y65" i="4"/>
  <c r="Z59" i="4" s="1"/>
  <c r="AC5" i="6"/>
  <c r="Y3" i="19"/>
  <c r="Y23" i="19" s="1"/>
  <c r="Z68" i="4"/>
  <c r="AA62" i="4" s="1"/>
  <c r="Z67" i="4"/>
  <c r="Y66" i="4"/>
  <c r="Z60" i="4" s="1"/>
  <c r="X69" i="4"/>
  <c r="X72" i="4" s="1"/>
  <c r="X63" i="4"/>
  <c r="AA61" i="4" l="1"/>
  <c r="U75" i="4"/>
  <c r="U71" i="4" s="1"/>
  <c r="U20" i="4" s="1"/>
  <c r="V75" i="4"/>
  <c r="V71" i="4" s="1"/>
  <c r="V20" i="4" s="1"/>
  <c r="Z65" i="4"/>
  <c r="AA59" i="4" s="1"/>
  <c r="AD5" i="6"/>
  <c r="AA3" i="19" s="1"/>
  <c r="AA23" i="19" s="1"/>
  <c r="Z3" i="19"/>
  <c r="Z23" i="19" s="1"/>
  <c r="Z66" i="4"/>
  <c r="AA60" i="4" s="1"/>
  <c r="AA68" i="4"/>
  <c r="AB62" i="4" s="1"/>
  <c r="AA67" i="4"/>
  <c r="Y69" i="4"/>
  <c r="Y72" i="4" s="1"/>
  <c r="Y63" i="4"/>
  <c r="AB61" i="4" l="1"/>
  <c r="AA65" i="4"/>
  <c r="AB59" i="4" s="1"/>
  <c r="V14" i="4"/>
  <c r="U14" i="4"/>
  <c r="Z69" i="4"/>
  <c r="Z72" i="4" s="1"/>
  <c r="AA66" i="4"/>
  <c r="AB60" i="4" s="1"/>
  <c r="AB68" i="4"/>
  <c r="AC62" i="4" s="1"/>
  <c r="AB67" i="4"/>
  <c r="Z63" i="4"/>
  <c r="AC61" i="4" l="1"/>
  <c r="W75" i="4"/>
  <c r="W71" i="4" s="1"/>
  <c r="W20" i="4" s="1"/>
  <c r="X75" i="4"/>
  <c r="X71" i="4" s="1"/>
  <c r="X20" i="4" s="1"/>
  <c r="AB65" i="4"/>
  <c r="AC59" i="4" s="1"/>
  <c r="AA69" i="4"/>
  <c r="AA72" i="4" s="1"/>
  <c r="AB66" i="4"/>
  <c r="AC60" i="4" s="1"/>
  <c r="AC68" i="4"/>
  <c r="AC67" i="4"/>
  <c r="AA63" i="4"/>
  <c r="X14" i="4" l="1"/>
  <c r="W14" i="4"/>
  <c r="AC65" i="4"/>
  <c r="AC63" i="4"/>
  <c r="AC66" i="4"/>
  <c r="AB69" i="4"/>
  <c r="AB72" i="4" s="1"/>
  <c r="AB63" i="4"/>
  <c r="Y75" i="4" l="1"/>
  <c r="Y71" i="4" s="1"/>
  <c r="Y20" i="4" s="1"/>
  <c r="Z75" i="4"/>
  <c r="Z71" i="4" s="1"/>
  <c r="Z20" i="4" s="1"/>
  <c r="AC69" i="4"/>
  <c r="AC72" i="4" s="1"/>
  <c r="Z14" i="4" l="1"/>
  <c r="Y14" i="4"/>
  <c r="AD44" i="4"/>
  <c r="AD47" i="4"/>
  <c r="AA75" i="4" l="1"/>
  <c r="AA71" i="4" s="1"/>
  <c r="AA20" i="4" s="1"/>
  <c r="X11" i="9"/>
  <c r="AC75" i="4"/>
  <c r="AC71" i="4" s="1"/>
  <c r="AC20" i="4" s="1"/>
  <c r="Z11" i="9"/>
  <c r="AF21" i="7"/>
  <c r="W11" i="9"/>
  <c r="U11" i="9"/>
  <c r="S11" i="9"/>
  <c r="Q11" i="9"/>
  <c r="O11" i="9"/>
  <c r="M11" i="9"/>
  <c r="K11" i="9"/>
  <c r="I11" i="9"/>
  <c r="G11" i="9"/>
  <c r="E11" i="9"/>
  <c r="C11" i="9"/>
  <c r="V11" i="9"/>
  <c r="T11" i="9"/>
  <c r="R11" i="9"/>
  <c r="P11" i="9"/>
  <c r="N11" i="9"/>
  <c r="L11" i="9"/>
  <c r="J11" i="9"/>
  <c r="H11" i="9"/>
  <c r="F11" i="9"/>
  <c r="D11" i="9"/>
  <c r="B11" i="9"/>
  <c r="AC14" i="4" l="1"/>
  <c r="Y11" i="9"/>
  <c r="AA11" i="9" s="1"/>
  <c r="AB75" i="4"/>
  <c r="AB71" i="4" s="1"/>
  <c r="AB20" i="4" s="1"/>
  <c r="AD27" i="4"/>
  <c r="AD26" i="4" s="1"/>
  <c r="B15" i="9"/>
  <c r="E7" i="11" s="1"/>
  <c r="G19" i="7"/>
  <c r="E6" i="4"/>
  <c r="E69" i="5" l="1"/>
  <c r="E72" i="5" s="1"/>
  <c r="E74" i="5"/>
  <c r="E77" i="5" s="1"/>
  <c r="AB14" i="4"/>
  <c r="AA14" i="4"/>
  <c r="F16" i="6"/>
  <c r="E18" i="17"/>
  <c r="E19" i="11"/>
  <c r="F8" i="10"/>
  <c r="F6" i="5"/>
  <c r="F74" i="5" l="1"/>
  <c r="F75" i="5" s="1"/>
  <c r="F76" i="5" s="1"/>
  <c r="F69" i="5"/>
  <c r="F70" i="5" s="1"/>
  <c r="AD20" i="4"/>
  <c r="F21" i="10"/>
  <c r="G10" i="21"/>
  <c r="G23" i="21" s="1"/>
  <c r="E20" i="17"/>
  <c r="G6" i="5"/>
  <c r="G19" i="16"/>
  <c r="F78" i="5" l="1"/>
  <c r="D31" i="19" s="1"/>
  <c r="F71" i="5"/>
  <c r="G74" i="5"/>
  <c r="G69" i="5"/>
  <c r="G9" i="7"/>
  <c r="H6" i="5"/>
  <c r="H74" i="5" l="1"/>
  <c r="H69" i="5"/>
  <c r="F27" i="5"/>
  <c r="F81" i="5" s="1"/>
  <c r="C25" i="19"/>
  <c r="G18" i="16"/>
  <c r="G61" i="16" s="1"/>
  <c r="B8" i="9"/>
  <c r="I6" i="5"/>
  <c r="I69" i="5" l="1"/>
  <c r="I74" i="5"/>
  <c r="H42" i="16"/>
  <c r="H20" i="7"/>
  <c r="H19" i="7" s="1"/>
  <c r="F26" i="5"/>
  <c r="F84" i="5"/>
  <c r="F80" i="5" s="1"/>
  <c r="F20" i="5" s="1"/>
  <c r="G30" i="16"/>
  <c r="G54" i="16" s="1"/>
  <c r="J6" i="5"/>
  <c r="J74" i="5" l="1"/>
  <c r="J69" i="5"/>
  <c r="C7" i="9"/>
  <c r="C15" i="9" s="1"/>
  <c r="D27" i="19"/>
  <c r="H41" i="16"/>
  <c r="H24" i="16"/>
  <c r="H18" i="16" s="1"/>
  <c r="H14" i="7"/>
  <c r="F14" i="5"/>
  <c r="D30" i="19" s="1"/>
  <c r="G63" i="16"/>
  <c r="H36" i="7"/>
  <c r="K6" i="5"/>
  <c r="K74" i="5" l="1"/>
  <c r="K69" i="5"/>
  <c r="C8" i="9"/>
  <c r="D25" i="19"/>
  <c r="H61" i="16"/>
  <c r="H30" i="16"/>
  <c r="H53" i="16"/>
  <c r="H65" i="16"/>
  <c r="F7" i="11"/>
  <c r="L6" i="5"/>
  <c r="L74" i="5" l="1"/>
  <c r="L69" i="5"/>
  <c r="H63" i="16"/>
  <c r="H54" i="16"/>
  <c r="G16" i="6"/>
  <c r="F18" i="17"/>
  <c r="G8" i="10"/>
  <c r="H10" i="21" s="1"/>
  <c r="F19" i="11"/>
  <c r="M6" i="5"/>
  <c r="M69" i="5" l="1"/>
  <c r="M74" i="5"/>
  <c r="H23" i="21"/>
  <c r="F20" i="17"/>
  <c r="G21" i="10"/>
  <c r="N6" i="5"/>
  <c r="N74" i="5" l="1"/>
  <c r="N69" i="5"/>
  <c r="O6" i="5"/>
  <c r="O74" i="5" l="1"/>
  <c r="O69" i="5"/>
  <c r="P6" i="5"/>
  <c r="P74" i="5" l="1"/>
  <c r="P69" i="5"/>
  <c r="Q6" i="5"/>
  <c r="Q69" i="5" l="1"/>
  <c r="Q74" i="5"/>
  <c r="R6" i="5"/>
  <c r="R74" i="5" l="1"/>
  <c r="R69" i="5"/>
  <c r="S6" i="5"/>
  <c r="S74" i="5" l="1"/>
  <c r="S69" i="5"/>
  <c r="T6" i="5"/>
  <c r="T74" i="5" l="1"/>
  <c r="T69" i="5"/>
  <c r="U6" i="5"/>
  <c r="U69" i="5" l="1"/>
  <c r="U74" i="5"/>
  <c r="V6" i="5"/>
  <c r="V74" i="5" l="1"/>
  <c r="V69" i="5"/>
  <c r="W6" i="5"/>
  <c r="W74" i="5" l="1"/>
  <c r="W69" i="5"/>
  <c r="X6" i="5"/>
  <c r="X74" i="5" l="1"/>
  <c r="X69" i="5"/>
  <c r="Y6" i="5"/>
  <c r="Y69" i="5" l="1"/>
  <c r="Y74" i="5"/>
  <c r="Z6" i="5"/>
  <c r="AF25" i="16"/>
  <c r="Z74" i="5" l="1"/>
  <c r="Z69" i="5"/>
  <c r="AA6" i="5"/>
  <c r="AA74" i="5" l="1"/>
  <c r="AA69" i="5"/>
  <c r="AF26" i="16"/>
  <c r="AB6" i="5"/>
  <c r="AF27" i="16"/>
  <c r="AB74" i="5" l="1"/>
  <c r="AB69" i="5"/>
  <c r="AC6" i="5"/>
  <c r="AC69" i="5" l="1"/>
  <c r="AC74" i="5"/>
  <c r="AD15" i="5"/>
  <c r="AD15" i="4"/>
  <c r="AF9" i="7" l="1"/>
  <c r="AF19" i="16" l="1"/>
  <c r="F6" i="4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E13" i="8" l="1"/>
  <c r="L4" i="3"/>
  <c r="E14" i="8" l="1"/>
  <c r="E12" i="8"/>
  <c r="D11" i="13"/>
  <c r="E11" i="13"/>
  <c r="G56" i="5"/>
  <c r="F56" i="5"/>
  <c r="J8" i="13"/>
  <c r="F72" i="5"/>
  <c r="N4" i="3"/>
  <c r="P4" i="3" s="1"/>
  <c r="F15" i="3" l="1"/>
  <c r="F16" i="8" s="1"/>
  <c r="E18" i="8"/>
  <c r="E11" i="8"/>
  <c r="F7" i="3"/>
  <c r="F8" i="8" s="1"/>
  <c r="G9" i="11"/>
  <c r="G21" i="11" s="1"/>
  <c r="J9" i="11"/>
  <c r="J21" i="11" s="1"/>
  <c r="I9" i="11"/>
  <c r="I21" i="11" s="1"/>
  <c r="H9" i="11"/>
  <c r="H21" i="11" s="1"/>
  <c r="F9" i="11"/>
  <c r="F21" i="11" s="1"/>
  <c r="G55" i="5"/>
  <c r="E9" i="19" s="1"/>
  <c r="E10" i="19" s="1"/>
  <c r="I24" i="7"/>
  <c r="I23" i="7" s="1"/>
  <c r="L24" i="7"/>
  <c r="L23" i="7" s="1"/>
  <c r="L37" i="7" s="1"/>
  <c r="J24" i="7"/>
  <c r="J23" i="7" s="1"/>
  <c r="J37" i="7" s="1"/>
  <c r="K24" i="7"/>
  <c r="K23" i="7" s="1"/>
  <c r="K37" i="7" s="1"/>
  <c r="E56" i="5"/>
  <c r="AD56" i="5" s="1"/>
  <c r="H24" i="7"/>
  <c r="H23" i="7" s="1"/>
  <c r="H37" i="7" s="1"/>
  <c r="F55" i="5"/>
  <c r="C11" i="13"/>
  <c r="I11" i="13" s="1"/>
  <c r="G70" i="5"/>
  <c r="F77" i="5"/>
  <c r="D9" i="19" l="1"/>
  <c r="E9" i="11"/>
  <c r="E21" i="11" s="1"/>
  <c r="AD21" i="11" s="1"/>
  <c r="H30" i="11" s="1"/>
  <c r="K66" i="16"/>
  <c r="G10" i="19"/>
  <c r="J66" i="16"/>
  <c r="F10" i="19"/>
  <c r="L66" i="16"/>
  <c r="H10" i="19"/>
  <c r="D6" i="9"/>
  <c r="D14" i="9" s="1"/>
  <c r="I66" i="16"/>
  <c r="F64" i="5"/>
  <c r="I37" i="7"/>
  <c r="F9" i="3"/>
  <c r="F10" i="8" s="1"/>
  <c r="F16" i="3"/>
  <c r="F17" i="8" s="1"/>
  <c r="F6" i="3"/>
  <c r="F8" i="3"/>
  <c r="F9" i="8" s="1"/>
  <c r="G8" i="11"/>
  <c r="I8" i="11"/>
  <c r="F6" i="9"/>
  <c r="F14" i="9" s="1"/>
  <c r="J8" i="11"/>
  <c r="G6" i="9"/>
  <c r="G14" i="9" s="1"/>
  <c r="H8" i="11"/>
  <c r="E6" i="9"/>
  <c r="E14" i="9" s="1"/>
  <c r="E55" i="5"/>
  <c r="G24" i="7"/>
  <c r="G23" i="7" s="1"/>
  <c r="F8" i="11"/>
  <c r="C6" i="9"/>
  <c r="C14" i="9" s="1"/>
  <c r="G71" i="5"/>
  <c r="G72" i="5" s="1"/>
  <c r="H70" i="5" s="1"/>
  <c r="G75" i="5"/>
  <c r="G78" i="5" s="1"/>
  <c r="F11" i="3"/>
  <c r="F12" i="8" s="1"/>
  <c r="F13" i="3"/>
  <c r="F14" i="8" s="1"/>
  <c r="F12" i="3"/>
  <c r="F13" i="8" s="1"/>
  <c r="F10" i="3"/>
  <c r="F11" i="8" s="1"/>
  <c r="F14" i="3"/>
  <c r="F15" i="8" s="1"/>
  <c r="E31" i="19" l="1"/>
  <c r="F17" i="3"/>
  <c r="F18" i="8" s="1"/>
  <c r="D10" i="19"/>
  <c r="AD55" i="5"/>
  <c r="F7" i="8"/>
  <c r="AD9" i="11"/>
  <c r="F30" i="11" s="1"/>
  <c r="C9" i="19"/>
  <c r="C10" i="19" s="1"/>
  <c r="H66" i="16"/>
  <c r="G17" i="6"/>
  <c r="G15" i="6" s="1"/>
  <c r="F15" i="17"/>
  <c r="H17" i="6"/>
  <c r="G15" i="17"/>
  <c r="I17" i="6"/>
  <c r="H15" i="17"/>
  <c r="K17" i="6"/>
  <c r="J15" i="17"/>
  <c r="J17" i="6"/>
  <c r="I15" i="17"/>
  <c r="E8" i="11"/>
  <c r="E20" i="11" s="1"/>
  <c r="E64" i="5"/>
  <c r="H71" i="5"/>
  <c r="H72" i="5" s="1"/>
  <c r="I70" i="5" s="1"/>
  <c r="G20" i="11"/>
  <c r="B6" i="9"/>
  <c r="B14" i="9" s="1"/>
  <c r="AA14" i="9" s="1"/>
  <c r="H20" i="11"/>
  <c r="J20" i="11"/>
  <c r="I20" i="11"/>
  <c r="AF24" i="7"/>
  <c r="F20" i="11"/>
  <c r="G76" i="5"/>
  <c r="G77" i="5" s="1"/>
  <c r="H75" i="5" s="1"/>
  <c r="H78" i="5" s="1"/>
  <c r="AF23" i="7"/>
  <c r="H45" i="7" s="1"/>
  <c r="E56" i="4"/>
  <c r="J56" i="4"/>
  <c r="G56" i="4"/>
  <c r="K56" i="4"/>
  <c r="M56" i="4"/>
  <c r="O56" i="4"/>
  <c r="Q56" i="4"/>
  <c r="S56" i="4"/>
  <c r="U56" i="4"/>
  <c r="W56" i="4"/>
  <c r="AC56" i="4"/>
  <c r="T56" i="4"/>
  <c r="I56" i="4"/>
  <c r="Y56" i="4"/>
  <c r="AA56" i="4"/>
  <c r="L56" i="4"/>
  <c r="AB56" i="4"/>
  <c r="N56" i="4"/>
  <c r="V56" i="4"/>
  <c r="Z56" i="4"/>
  <c r="H56" i="4"/>
  <c r="X56" i="4"/>
  <c r="P56" i="4"/>
  <c r="R56" i="4"/>
  <c r="F56" i="4"/>
  <c r="H27" i="5" l="1"/>
  <c r="H81" i="5" s="1"/>
  <c r="G27" i="5"/>
  <c r="G81" i="5" s="1"/>
  <c r="F31" i="19"/>
  <c r="G66" i="16"/>
  <c r="AF66" i="16" s="1"/>
  <c r="H79" i="16" s="1"/>
  <c r="AB9" i="19"/>
  <c r="AB10" i="19"/>
  <c r="AF45" i="16"/>
  <c r="F79" i="16" s="1"/>
  <c r="G68" i="16"/>
  <c r="H69" i="16"/>
  <c r="H68" i="16"/>
  <c r="I17" i="17"/>
  <c r="J17" i="17"/>
  <c r="H17" i="17"/>
  <c r="G17" i="17"/>
  <c r="F14" i="17"/>
  <c r="F25" i="17" s="1"/>
  <c r="F17" i="17"/>
  <c r="F17" i="6"/>
  <c r="F15" i="6" s="1"/>
  <c r="E15" i="17"/>
  <c r="AD8" i="11"/>
  <c r="I71" i="5"/>
  <c r="I72" i="5" s="1"/>
  <c r="J70" i="5" s="1"/>
  <c r="AD14" i="4"/>
  <c r="AD20" i="11"/>
  <c r="AA6" i="9"/>
  <c r="H76" i="5"/>
  <c r="H77" i="5" s="1"/>
  <c r="I75" i="5" s="1"/>
  <c r="I78" i="5" s="1"/>
  <c r="H26" i="5" l="1"/>
  <c r="E7" i="9" s="1"/>
  <c r="J42" i="16"/>
  <c r="J20" i="7"/>
  <c r="G26" i="5"/>
  <c r="I20" i="7"/>
  <c r="I19" i="7" s="1"/>
  <c r="I36" i="7" s="1"/>
  <c r="I42" i="16"/>
  <c r="G84" i="5"/>
  <c r="G80" i="5" s="1"/>
  <c r="G20" i="5" s="1"/>
  <c r="H84" i="5"/>
  <c r="H80" i="5" s="1"/>
  <c r="H20" i="5" s="1"/>
  <c r="I27" i="5"/>
  <c r="I81" i="5" s="1"/>
  <c r="G31" i="19"/>
  <c r="AE17" i="6"/>
  <c r="G69" i="16"/>
  <c r="G12" i="18"/>
  <c r="G10" i="18"/>
  <c r="AD15" i="17"/>
  <c r="E14" i="17"/>
  <c r="E25" i="17" s="1"/>
  <c r="E17" i="17"/>
  <c r="AD17" i="17" s="1"/>
  <c r="J71" i="5"/>
  <c r="J72" i="5" s="1"/>
  <c r="K70" i="5" s="1"/>
  <c r="K71" i="5" s="1"/>
  <c r="K72" i="5" s="1"/>
  <c r="L70" i="5" s="1"/>
  <c r="I76" i="5"/>
  <c r="I77" i="5" s="1"/>
  <c r="J75" i="5" s="1"/>
  <c r="J78" i="5" s="1"/>
  <c r="P12" i="9"/>
  <c r="T12" i="9"/>
  <c r="W12" i="9"/>
  <c r="Q12" i="9"/>
  <c r="N12" i="9"/>
  <c r="I12" i="9"/>
  <c r="G12" i="9"/>
  <c r="H12" i="9"/>
  <c r="G8" i="7"/>
  <c r="G27" i="7" s="1"/>
  <c r="H8" i="7"/>
  <c r="H27" i="7" s="1"/>
  <c r="J14" i="7" l="1"/>
  <c r="J8" i="7" s="1"/>
  <c r="J35" i="7" s="1"/>
  <c r="I26" i="5"/>
  <c r="F7" i="9" s="1"/>
  <c r="K20" i="7"/>
  <c r="K42" i="16"/>
  <c r="K41" i="16" s="1"/>
  <c r="K53" i="16" s="1"/>
  <c r="I84" i="5"/>
  <c r="I80" i="5" s="1"/>
  <c r="I20" i="5" s="1"/>
  <c r="D7" i="9"/>
  <c r="D15" i="9" s="1"/>
  <c r="G7" i="11" s="1"/>
  <c r="G18" i="17" s="1"/>
  <c r="E27" i="19"/>
  <c r="I41" i="16"/>
  <c r="I24" i="16"/>
  <c r="I14" i="7"/>
  <c r="G14" i="5"/>
  <c r="E30" i="19" s="1"/>
  <c r="F10" i="18"/>
  <c r="F41" i="18" s="1"/>
  <c r="H31" i="19"/>
  <c r="AE15" i="17"/>
  <c r="G43" i="18"/>
  <c r="G41" i="18"/>
  <c r="J41" i="16"/>
  <c r="J53" i="16" s="1"/>
  <c r="F12" i="18"/>
  <c r="F43" i="18" s="1"/>
  <c r="F27" i="19"/>
  <c r="J19" i="7"/>
  <c r="J76" i="5"/>
  <c r="J77" i="5" s="1"/>
  <c r="K75" i="5" s="1"/>
  <c r="K78" i="5" s="1"/>
  <c r="V12" i="9"/>
  <c r="X12" i="9"/>
  <c r="Z12" i="9"/>
  <c r="S12" i="9"/>
  <c r="U12" i="9"/>
  <c r="K12" i="9"/>
  <c r="M12" i="9"/>
  <c r="R12" i="9"/>
  <c r="O12" i="9"/>
  <c r="Y12" i="9"/>
  <c r="L12" i="9"/>
  <c r="J12" i="9"/>
  <c r="C12" i="9"/>
  <c r="C16" i="9" s="1"/>
  <c r="F6" i="11" s="1"/>
  <c r="D12" i="9"/>
  <c r="F12" i="9"/>
  <c r="B12" i="9"/>
  <c r="E12" i="9"/>
  <c r="L71" i="5"/>
  <c r="L72" i="5" s="1"/>
  <c r="M70" i="5" s="1"/>
  <c r="H35" i="7"/>
  <c r="H39" i="7"/>
  <c r="G35" i="7"/>
  <c r="G39" i="7"/>
  <c r="J27" i="7" l="1"/>
  <c r="J39" i="7" s="1"/>
  <c r="K24" i="16"/>
  <c r="K18" i="16" s="1"/>
  <c r="K61" i="16" s="1"/>
  <c r="J24" i="16"/>
  <c r="J18" i="16" s="1"/>
  <c r="H14" i="5"/>
  <c r="H8" i="10"/>
  <c r="H21" i="10" s="1"/>
  <c r="K27" i="5"/>
  <c r="K81" i="5" s="1"/>
  <c r="G19" i="11"/>
  <c r="I8" i="7"/>
  <c r="I53" i="16"/>
  <c r="I65" i="16"/>
  <c r="H16" i="6"/>
  <c r="H15" i="6" s="1"/>
  <c r="E25" i="19"/>
  <c r="D8" i="9"/>
  <c r="G64" i="5"/>
  <c r="I18" i="16"/>
  <c r="J27" i="5"/>
  <c r="J81" i="5" s="1"/>
  <c r="K65" i="16"/>
  <c r="I31" i="19"/>
  <c r="G27" i="19"/>
  <c r="K19" i="7"/>
  <c r="J65" i="16"/>
  <c r="F12" i="11"/>
  <c r="F24" i="11" s="1"/>
  <c r="F10" i="17"/>
  <c r="F9" i="17" s="1"/>
  <c r="G20" i="17"/>
  <c r="G14" i="17"/>
  <c r="G25" i="17" s="1"/>
  <c r="J36" i="7"/>
  <c r="E15" i="9"/>
  <c r="K76" i="5"/>
  <c r="K77" i="5" s="1"/>
  <c r="L75" i="5" s="1"/>
  <c r="L78" i="5" s="1"/>
  <c r="AD56" i="4"/>
  <c r="AA12" i="9"/>
  <c r="B16" i="9"/>
  <c r="E6" i="11" s="1"/>
  <c r="F18" i="11"/>
  <c r="G9" i="6"/>
  <c r="M71" i="5"/>
  <c r="M72" i="5" s="1"/>
  <c r="N70" i="5" s="1"/>
  <c r="H8" i="21" l="1"/>
  <c r="G6" i="10"/>
  <c r="G18" i="10" s="1"/>
  <c r="K30" i="16"/>
  <c r="K63" i="16" s="1"/>
  <c r="F30" i="19"/>
  <c r="F25" i="19"/>
  <c r="E8" i="9"/>
  <c r="E16" i="9" s="1"/>
  <c r="H6" i="11" s="1"/>
  <c r="H10" i="17" s="1"/>
  <c r="H9" i="17" s="1"/>
  <c r="I7" i="18" s="1"/>
  <c r="I29" i="18" s="1"/>
  <c r="H64" i="5"/>
  <c r="I14" i="5"/>
  <c r="I64" i="5" s="1"/>
  <c r="J61" i="16"/>
  <c r="J30" i="16"/>
  <c r="K14" i="7"/>
  <c r="K8" i="7" s="1"/>
  <c r="K35" i="7" s="1"/>
  <c r="J26" i="5"/>
  <c r="H27" i="19" s="1"/>
  <c r="L42" i="16"/>
  <c r="L41" i="16" s="1"/>
  <c r="L53" i="16" s="1"/>
  <c r="L20" i="7"/>
  <c r="J84" i="5"/>
  <c r="J80" i="5" s="1"/>
  <c r="J20" i="5" s="1"/>
  <c r="K26" i="5"/>
  <c r="H7" i="9" s="1"/>
  <c r="M20" i="7"/>
  <c r="M42" i="16"/>
  <c r="M41" i="16" s="1"/>
  <c r="M53" i="16" s="1"/>
  <c r="K84" i="5"/>
  <c r="K80" i="5" s="1"/>
  <c r="K20" i="5" s="1"/>
  <c r="I10" i="21"/>
  <c r="I23" i="21" s="1"/>
  <c r="L27" i="5"/>
  <c r="L81" i="5" s="1"/>
  <c r="I68" i="16"/>
  <c r="G7" i="9"/>
  <c r="I61" i="16"/>
  <c r="I30" i="16"/>
  <c r="I63" i="16" s="1"/>
  <c r="I35" i="7"/>
  <c r="I27" i="7"/>
  <c r="I39" i="7" s="1"/>
  <c r="D16" i="9"/>
  <c r="G6" i="11" s="1"/>
  <c r="K68" i="16"/>
  <c r="H10" i="18"/>
  <c r="H41" i="18" s="1"/>
  <c r="J31" i="19"/>
  <c r="H20" i="21"/>
  <c r="F12" i="17"/>
  <c r="G8" i="18" s="1"/>
  <c r="G30" i="18" s="1"/>
  <c r="G7" i="18"/>
  <c r="G29" i="18" s="1"/>
  <c r="L76" i="5"/>
  <c r="L77" i="5" s="1"/>
  <c r="M75" i="5" s="1"/>
  <c r="M78" i="5" s="1"/>
  <c r="J68" i="16"/>
  <c r="H7" i="11"/>
  <c r="N71" i="5"/>
  <c r="N72" i="5" s="1"/>
  <c r="O70" i="5" s="1"/>
  <c r="K36" i="7"/>
  <c r="K54" i="16" l="1"/>
  <c r="K69" i="16" s="1"/>
  <c r="F8" i="9"/>
  <c r="F16" i="9" s="1"/>
  <c r="I6" i="11" s="1"/>
  <c r="J9" i="6" s="1"/>
  <c r="K8" i="21" s="1"/>
  <c r="K20" i="21" s="1"/>
  <c r="L84" i="5"/>
  <c r="L80" i="5" s="1"/>
  <c r="L20" i="5" s="1"/>
  <c r="I9" i="6"/>
  <c r="J8" i="21" s="1"/>
  <c r="J20" i="21" s="1"/>
  <c r="H18" i="11"/>
  <c r="H12" i="17"/>
  <c r="I8" i="18" s="1"/>
  <c r="I30" i="18" s="1"/>
  <c r="M24" i="16"/>
  <c r="M18" i="16" s="1"/>
  <c r="J63" i="16"/>
  <c r="J54" i="16"/>
  <c r="J69" i="16" s="1"/>
  <c r="G30" i="19"/>
  <c r="G25" i="19"/>
  <c r="K27" i="7"/>
  <c r="K39" i="7" s="1"/>
  <c r="M14" i="7"/>
  <c r="M8" i="7" s="1"/>
  <c r="M35" i="7" s="1"/>
  <c r="K14" i="5"/>
  <c r="I30" i="19" s="1"/>
  <c r="L26" i="5"/>
  <c r="I7" i="9" s="1"/>
  <c r="N42" i="16"/>
  <c r="N20" i="7"/>
  <c r="M27" i="5"/>
  <c r="M81" i="5" s="1"/>
  <c r="G10" i="17"/>
  <c r="G9" i="17" s="1"/>
  <c r="G18" i="11"/>
  <c r="H9" i="6"/>
  <c r="G12" i="11"/>
  <c r="G24" i="11" s="1"/>
  <c r="L24" i="16"/>
  <c r="L14" i="7"/>
  <c r="J14" i="5"/>
  <c r="I54" i="16"/>
  <c r="I69" i="16" s="1"/>
  <c r="K31" i="19"/>
  <c r="H18" i="17"/>
  <c r="H20" i="17" s="1"/>
  <c r="M65" i="16"/>
  <c r="I27" i="19"/>
  <c r="M76" i="5"/>
  <c r="M77" i="5" s="1"/>
  <c r="N75" i="5" s="1"/>
  <c r="N78" i="5" s="1"/>
  <c r="F26" i="17"/>
  <c r="G13" i="18" s="1"/>
  <c r="G44" i="18" s="1"/>
  <c r="H12" i="18"/>
  <c r="L65" i="16"/>
  <c r="M68" i="16"/>
  <c r="E12" i="11"/>
  <c r="E24" i="11" s="1"/>
  <c r="E10" i="17"/>
  <c r="I16" i="6"/>
  <c r="I15" i="6" s="1"/>
  <c r="H12" i="11"/>
  <c r="F9" i="6"/>
  <c r="E18" i="11"/>
  <c r="G15" i="9"/>
  <c r="J7" i="11" s="1"/>
  <c r="F15" i="9"/>
  <c r="O71" i="5"/>
  <c r="O72" i="5" s="1"/>
  <c r="P70" i="5" s="1"/>
  <c r="I8" i="10"/>
  <c r="J10" i="21" s="1"/>
  <c r="H19" i="11"/>
  <c r="L19" i="7"/>
  <c r="J6" i="10" l="1"/>
  <c r="J18" i="10" s="1"/>
  <c r="I10" i="17"/>
  <c r="I9" i="17" s="1"/>
  <c r="I12" i="17" s="1"/>
  <c r="J8" i="18" s="1"/>
  <c r="J30" i="18" s="1"/>
  <c r="I18" i="11"/>
  <c r="N14" i="7"/>
  <c r="N8" i="7" s="1"/>
  <c r="N35" i="7" s="1"/>
  <c r="N24" i="16"/>
  <c r="N18" i="16" s="1"/>
  <c r="N61" i="16" s="1"/>
  <c r="L14" i="5"/>
  <c r="J30" i="19" s="1"/>
  <c r="M84" i="5"/>
  <c r="M80" i="5" s="1"/>
  <c r="M20" i="5" s="1"/>
  <c r="J7" i="18"/>
  <c r="J29" i="18" s="1"/>
  <c r="I25" i="19"/>
  <c r="I6" i="10"/>
  <c r="I18" i="10" s="1"/>
  <c r="M30" i="16"/>
  <c r="M63" i="16" s="1"/>
  <c r="M61" i="16"/>
  <c r="J64" i="5"/>
  <c r="H30" i="19"/>
  <c r="H8" i="9"/>
  <c r="H16" i="9" s="1"/>
  <c r="K6" i="11" s="1"/>
  <c r="L9" i="6" s="1"/>
  <c r="M26" i="5"/>
  <c r="J7" i="9" s="1"/>
  <c r="O20" i="7"/>
  <c r="O42" i="16"/>
  <c r="N27" i="5"/>
  <c r="N81" i="5" s="1"/>
  <c r="L8" i="7"/>
  <c r="L27" i="7" s="1"/>
  <c r="H25" i="19"/>
  <c r="G8" i="9"/>
  <c r="L18" i="16"/>
  <c r="I8" i="21"/>
  <c r="I20" i="21" s="1"/>
  <c r="H6" i="10"/>
  <c r="H18" i="10" s="1"/>
  <c r="G12" i="17"/>
  <c r="H7" i="18"/>
  <c r="H29" i="18" s="1"/>
  <c r="H14" i="17"/>
  <c r="H25" i="17" s="1"/>
  <c r="L31" i="19"/>
  <c r="J23" i="21"/>
  <c r="G8" i="21"/>
  <c r="J18" i="17"/>
  <c r="J14" i="17" s="1"/>
  <c r="J25" i="17" s="1"/>
  <c r="N41" i="16"/>
  <c r="N53" i="16" s="1"/>
  <c r="N76" i="5"/>
  <c r="N77" i="5" s="1"/>
  <c r="O75" i="5" s="1"/>
  <c r="O78" i="5" s="1"/>
  <c r="H43" i="18"/>
  <c r="L68" i="16"/>
  <c r="E9" i="17"/>
  <c r="F7" i="18" s="1"/>
  <c r="F29" i="18" s="1"/>
  <c r="K16" i="6"/>
  <c r="K15" i="6" s="1"/>
  <c r="J27" i="19"/>
  <c r="M19" i="7"/>
  <c r="K64" i="5"/>
  <c r="F6" i="10"/>
  <c r="H24" i="11"/>
  <c r="I21" i="10"/>
  <c r="K8" i="10"/>
  <c r="L10" i="21" s="1"/>
  <c r="J19" i="11"/>
  <c r="P71" i="5"/>
  <c r="P72" i="5" s="1"/>
  <c r="Q70" i="5" s="1"/>
  <c r="I7" i="11"/>
  <c r="L36" i="7"/>
  <c r="N30" i="16" l="1"/>
  <c r="N63" i="16" s="1"/>
  <c r="I8" i="9"/>
  <c r="I16" i="9" s="1"/>
  <c r="L6" i="11" s="1"/>
  <c r="L10" i="17" s="1"/>
  <c r="L9" i="17" s="1"/>
  <c r="J25" i="19"/>
  <c r="O14" i="7"/>
  <c r="O8" i="7" s="1"/>
  <c r="O35" i="7" s="1"/>
  <c r="M14" i="5"/>
  <c r="K30" i="19" s="1"/>
  <c r="O24" i="16"/>
  <c r="O18" i="16" s="1"/>
  <c r="O30" i="16" s="1"/>
  <c r="O63" i="16" s="1"/>
  <c r="N84" i="5"/>
  <c r="N80" i="5" s="1"/>
  <c r="N20" i="5" s="1"/>
  <c r="M54" i="16"/>
  <c r="M69" i="16" s="1"/>
  <c r="K10" i="17"/>
  <c r="K9" i="17" s="1"/>
  <c r="K12" i="17" s="1"/>
  <c r="L8" i="18" s="1"/>
  <c r="L30" i="18" s="1"/>
  <c r="K18" i="11"/>
  <c r="N26" i="5"/>
  <c r="K7" i="9" s="1"/>
  <c r="P42" i="16"/>
  <c r="P20" i="7"/>
  <c r="O27" i="5"/>
  <c r="O81" i="5" s="1"/>
  <c r="H8" i="18"/>
  <c r="H30" i="18" s="1"/>
  <c r="G26" i="17"/>
  <c r="H13" i="18" s="1"/>
  <c r="H44" i="18" s="1"/>
  <c r="G16" i="9"/>
  <c r="L35" i="7"/>
  <c r="L18" i="11"/>
  <c r="L61" i="16"/>
  <c r="L30" i="16"/>
  <c r="M8" i="21"/>
  <c r="M20" i="21" s="1"/>
  <c r="L6" i="10"/>
  <c r="L18" i="10" s="1"/>
  <c r="I10" i="18"/>
  <c r="I41" i="18" s="1"/>
  <c r="I12" i="18"/>
  <c r="I43" i="18" s="1"/>
  <c r="M31" i="19"/>
  <c r="L23" i="21"/>
  <c r="G20" i="21"/>
  <c r="J20" i="17"/>
  <c r="I18" i="17"/>
  <c r="I14" i="17" s="1"/>
  <c r="I25" i="17" s="1"/>
  <c r="N65" i="16"/>
  <c r="N19" i="7"/>
  <c r="N27" i="7" s="1"/>
  <c r="L64" i="5"/>
  <c r="O76" i="5"/>
  <c r="O77" i="5" s="1"/>
  <c r="P75" i="5" s="1"/>
  <c r="P78" i="5" s="1"/>
  <c r="K10" i="18"/>
  <c r="K41" i="18" s="1"/>
  <c r="N68" i="16"/>
  <c r="E12" i="17"/>
  <c r="F8" i="18" s="1"/>
  <c r="F30" i="18" s="1"/>
  <c r="J16" i="6"/>
  <c r="J15" i="6" s="1"/>
  <c r="I12" i="11"/>
  <c r="M36" i="7"/>
  <c r="M27" i="7"/>
  <c r="M39" i="7" s="1"/>
  <c r="H15" i="9"/>
  <c r="F18" i="10"/>
  <c r="Q71" i="5"/>
  <c r="Q72" i="5" s="1"/>
  <c r="R70" i="5" s="1"/>
  <c r="K21" i="10"/>
  <c r="J8" i="10"/>
  <c r="K10" i="21" s="1"/>
  <c r="I19" i="11"/>
  <c r="L39" i="7"/>
  <c r="M9" i="6" l="1"/>
  <c r="K25" i="19"/>
  <c r="N54" i="16"/>
  <c r="N69" i="16" s="1"/>
  <c r="O61" i="16"/>
  <c r="J8" i="9"/>
  <c r="J16" i="9" s="1"/>
  <c r="M6" i="11" s="1"/>
  <c r="M10" i="17" s="1"/>
  <c r="M9" i="17" s="1"/>
  <c r="L7" i="18"/>
  <c r="L29" i="18" s="1"/>
  <c r="P14" i="7"/>
  <c r="P8" i="7" s="1"/>
  <c r="P35" i="7" s="1"/>
  <c r="P24" i="16"/>
  <c r="P18" i="16" s="1"/>
  <c r="P61" i="16" s="1"/>
  <c r="N14" i="5"/>
  <c r="L30" i="19" s="1"/>
  <c r="O84" i="5"/>
  <c r="O80" i="5" s="1"/>
  <c r="O20" i="5" s="1"/>
  <c r="O26" i="5"/>
  <c r="L7" i="9" s="1"/>
  <c r="Q20" i="7"/>
  <c r="Q42" i="16"/>
  <c r="P27" i="5"/>
  <c r="P81" i="5" s="1"/>
  <c r="L63" i="16"/>
  <c r="L54" i="16"/>
  <c r="L69" i="16" s="1"/>
  <c r="M7" i="18"/>
  <c r="M29" i="18" s="1"/>
  <c r="L12" i="17"/>
  <c r="M8" i="18" s="1"/>
  <c r="M30" i="18" s="1"/>
  <c r="J6" i="11"/>
  <c r="N8" i="21"/>
  <c r="N20" i="21" s="1"/>
  <c r="M8" i="6"/>
  <c r="M6" i="10"/>
  <c r="M18" i="10" s="1"/>
  <c r="H26" i="17"/>
  <c r="I13" i="18" s="1"/>
  <c r="I44" i="18" s="1"/>
  <c r="J10" i="18"/>
  <c r="J41" i="18" s="1"/>
  <c r="N31" i="19"/>
  <c r="I20" i="17"/>
  <c r="K23" i="21"/>
  <c r="P76" i="5"/>
  <c r="P77" i="5" s="1"/>
  <c r="Q75" i="5" s="1"/>
  <c r="Q78" i="5" s="1"/>
  <c r="O41" i="16"/>
  <c r="O53" i="16" s="1"/>
  <c r="O54" i="16" s="1"/>
  <c r="K12" i="18"/>
  <c r="K43" i="18" s="1"/>
  <c r="E26" i="17"/>
  <c r="F13" i="18" s="1"/>
  <c r="F44" i="18" s="1"/>
  <c r="I15" i="9"/>
  <c r="L7" i="11" s="1"/>
  <c r="K7" i="11"/>
  <c r="R71" i="5"/>
  <c r="R72" i="5" s="1"/>
  <c r="S70" i="5" s="1"/>
  <c r="I24" i="11"/>
  <c r="J21" i="10"/>
  <c r="N36" i="7"/>
  <c r="L25" i="19" l="1"/>
  <c r="N9" i="6"/>
  <c r="N8" i="6" s="1"/>
  <c r="M18" i="11"/>
  <c r="K8" i="9"/>
  <c r="K16" i="9" s="1"/>
  <c r="P30" i="16"/>
  <c r="P63" i="16" s="1"/>
  <c r="Q24" i="16"/>
  <c r="Q18" i="16" s="1"/>
  <c r="Q61" i="16" s="1"/>
  <c r="Q14" i="7"/>
  <c r="Q8" i="7" s="1"/>
  <c r="Q35" i="7" s="1"/>
  <c r="O14" i="5"/>
  <c r="M30" i="19" s="1"/>
  <c r="P84" i="5"/>
  <c r="P80" i="5" s="1"/>
  <c r="P20" i="5" s="1"/>
  <c r="P26" i="5"/>
  <c r="M7" i="9" s="1"/>
  <c r="R42" i="16"/>
  <c r="R20" i="7"/>
  <c r="Q27" i="5"/>
  <c r="Q81" i="5" s="1"/>
  <c r="J10" i="17"/>
  <c r="K9" i="6"/>
  <c r="J18" i="11"/>
  <c r="J12" i="11"/>
  <c r="J24" i="11" s="1"/>
  <c r="O8" i="21"/>
  <c r="O20" i="21" s="1"/>
  <c r="N7" i="18"/>
  <c r="N29" i="18" s="1"/>
  <c r="M12" i="17"/>
  <c r="N8" i="18" s="1"/>
  <c r="N30" i="18" s="1"/>
  <c r="O65" i="16"/>
  <c r="O31" i="19"/>
  <c r="L18" i="17"/>
  <c r="L14" i="17" s="1"/>
  <c r="L25" i="17" s="1"/>
  <c r="K18" i="17"/>
  <c r="K14" i="17" s="1"/>
  <c r="K25" i="17" s="1"/>
  <c r="Q76" i="5"/>
  <c r="Q77" i="5" s="1"/>
  <c r="R75" i="5" s="1"/>
  <c r="R78" i="5" s="1"/>
  <c r="K27" i="19"/>
  <c r="O19" i="7"/>
  <c r="O27" i="7" s="1"/>
  <c r="I26" i="17"/>
  <c r="J13" i="18" s="1"/>
  <c r="J44" i="18" s="1"/>
  <c r="J12" i="18"/>
  <c r="L16" i="6"/>
  <c r="L15" i="6" s="1"/>
  <c r="K12" i="11"/>
  <c r="M16" i="6"/>
  <c r="M15" i="6" s="1"/>
  <c r="M21" i="6" s="1"/>
  <c r="L12" i="11"/>
  <c r="L24" i="11" s="1"/>
  <c r="S71" i="5"/>
  <c r="S72" i="5" s="1"/>
  <c r="T70" i="5" s="1"/>
  <c r="M8" i="10"/>
  <c r="L19" i="11"/>
  <c r="L8" i="10"/>
  <c r="K19" i="11"/>
  <c r="N39" i="7"/>
  <c r="L8" i="9" l="1"/>
  <c r="L16" i="9" s="1"/>
  <c r="O6" i="11" s="1"/>
  <c r="P9" i="6" s="1"/>
  <c r="N6" i="10"/>
  <c r="N18" i="10" s="1"/>
  <c r="Q30" i="16"/>
  <c r="Q63" i="16" s="1"/>
  <c r="R24" i="16"/>
  <c r="R18" i="16" s="1"/>
  <c r="R30" i="16" s="1"/>
  <c r="R63" i="16" s="1"/>
  <c r="P14" i="5"/>
  <c r="N30" i="19" s="1"/>
  <c r="R14" i="7"/>
  <c r="R8" i="7" s="1"/>
  <c r="R35" i="7" s="1"/>
  <c r="Q84" i="5"/>
  <c r="Q80" i="5" s="1"/>
  <c r="Q20" i="5" s="1"/>
  <c r="M25" i="19"/>
  <c r="Q26" i="5"/>
  <c r="N7" i="9" s="1"/>
  <c r="S20" i="7"/>
  <c r="S42" i="16"/>
  <c r="R27" i="5"/>
  <c r="R81" i="5" s="1"/>
  <c r="N6" i="11"/>
  <c r="L8" i="21"/>
  <c r="K6" i="10"/>
  <c r="O10" i="17"/>
  <c r="O9" i="17" s="1"/>
  <c r="O18" i="11"/>
  <c r="J9" i="17"/>
  <c r="L10" i="18"/>
  <c r="L41" i="18" s="1"/>
  <c r="O68" i="16"/>
  <c r="O69" i="16"/>
  <c r="P31" i="19"/>
  <c r="M64" i="5"/>
  <c r="L12" i="10"/>
  <c r="M10" i="21"/>
  <c r="L20" i="17"/>
  <c r="M12" i="10"/>
  <c r="M25" i="10" s="1"/>
  <c r="N10" i="21"/>
  <c r="K20" i="17"/>
  <c r="R76" i="5"/>
  <c r="R77" i="5" s="1"/>
  <c r="S75" i="5" s="1"/>
  <c r="S78" i="5" s="1"/>
  <c r="P41" i="16"/>
  <c r="P53" i="16" s="1"/>
  <c r="P54" i="16" s="1"/>
  <c r="M10" i="18"/>
  <c r="M41" i="18" s="1"/>
  <c r="J43" i="18"/>
  <c r="K24" i="11"/>
  <c r="L21" i="10"/>
  <c r="M21" i="10"/>
  <c r="J15" i="9"/>
  <c r="M7" i="11" s="1"/>
  <c r="T71" i="5"/>
  <c r="T72" i="5" s="1"/>
  <c r="U70" i="5" s="1"/>
  <c r="O36" i="7"/>
  <c r="O39" i="7"/>
  <c r="M8" i="9" l="1"/>
  <c r="N25" i="19"/>
  <c r="R61" i="16"/>
  <c r="S14" i="7"/>
  <c r="S8" i="7" s="1"/>
  <c r="S35" i="7" s="1"/>
  <c r="S24" i="16"/>
  <c r="S18" i="16" s="1"/>
  <c r="S61" i="16" s="1"/>
  <c r="Q14" i="5"/>
  <c r="O30" i="19" s="1"/>
  <c r="R84" i="5"/>
  <c r="R80" i="5" s="1"/>
  <c r="R20" i="5" s="1"/>
  <c r="R26" i="5"/>
  <c r="O7" i="9" s="1"/>
  <c r="T42" i="16"/>
  <c r="T20" i="7"/>
  <c r="S27" i="5"/>
  <c r="S81" i="5" s="1"/>
  <c r="K7" i="18"/>
  <c r="K29" i="18" s="1"/>
  <c r="J12" i="17"/>
  <c r="P7" i="18"/>
  <c r="P29" i="18" s="1"/>
  <c r="O12" i="17"/>
  <c r="P8" i="18" s="1"/>
  <c r="P30" i="18" s="1"/>
  <c r="L20" i="21"/>
  <c r="N10" i="17"/>
  <c r="O9" i="6"/>
  <c r="N18" i="11"/>
  <c r="M16" i="9"/>
  <c r="Q8" i="21"/>
  <c r="Q20" i="21" s="1"/>
  <c r="P8" i="6"/>
  <c r="P6" i="10"/>
  <c r="P18" i="10" s="1"/>
  <c r="K18" i="10"/>
  <c r="P65" i="16"/>
  <c r="P69" i="16"/>
  <c r="Q31" i="19"/>
  <c r="P19" i="7"/>
  <c r="P27" i="7" s="1"/>
  <c r="N23" i="21"/>
  <c r="N14" i="21"/>
  <c r="N27" i="21" s="1"/>
  <c r="M23" i="21"/>
  <c r="M14" i="21"/>
  <c r="M27" i="21" s="1"/>
  <c r="M18" i="17"/>
  <c r="M14" i="17" s="1"/>
  <c r="M25" i="17" s="1"/>
  <c r="S76" i="5"/>
  <c r="S77" i="5" s="1"/>
  <c r="T75" i="5" s="1"/>
  <c r="T78" i="5" s="1"/>
  <c r="L27" i="19"/>
  <c r="K26" i="17"/>
  <c r="L13" i="18" s="1"/>
  <c r="L44" i="18" s="1"/>
  <c r="L12" i="18"/>
  <c r="L26" i="17"/>
  <c r="M13" i="18" s="1"/>
  <c r="M44" i="18" s="1"/>
  <c r="M12" i="18"/>
  <c r="M43" i="18" s="1"/>
  <c r="N16" i="6"/>
  <c r="N15" i="6" s="1"/>
  <c r="N21" i="6" s="1"/>
  <c r="M12" i="11"/>
  <c r="U71" i="5"/>
  <c r="U72" i="5" s="1"/>
  <c r="V70" i="5" s="1"/>
  <c r="N8" i="10"/>
  <c r="M19" i="11"/>
  <c r="O25" i="19" l="1"/>
  <c r="S30" i="16"/>
  <c r="S63" i="16" s="1"/>
  <c r="T14" i="7"/>
  <c r="T8" i="7" s="1"/>
  <c r="T35" i="7" s="1"/>
  <c r="T24" i="16"/>
  <c r="T18" i="16" s="1"/>
  <c r="T30" i="16" s="1"/>
  <c r="T63" i="16" s="1"/>
  <c r="R14" i="5"/>
  <c r="P30" i="19" s="1"/>
  <c r="N8" i="9"/>
  <c r="N16" i="9" s="1"/>
  <c r="Q6" i="11" s="1"/>
  <c r="Q18" i="11" s="1"/>
  <c r="S26" i="5"/>
  <c r="P7" i="9" s="1"/>
  <c r="U20" i="7"/>
  <c r="U42" i="16"/>
  <c r="S84" i="5"/>
  <c r="S80" i="5" s="1"/>
  <c r="S20" i="5" s="1"/>
  <c r="T27" i="5"/>
  <c r="T81" i="5" s="1"/>
  <c r="P8" i="21"/>
  <c r="O8" i="6"/>
  <c r="O6" i="10"/>
  <c r="P6" i="11"/>
  <c r="N9" i="17"/>
  <c r="K8" i="18"/>
  <c r="K30" i="18" s="1"/>
  <c r="J26" i="17"/>
  <c r="K13" i="18" s="1"/>
  <c r="K44" i="18" s="1"/>
  <c r="P68" i="16"/>
  <c r="R31" i="19"/>
  <c r="N12" i="10"/>
  <c r="O10" i="21"/>
  <c r="M20" i="17"/>
  <c r="T76" i="5"/>
  <c r="T77" i="5" s="1"/>
  <c r="U75" i="5" s="1"/>
  <c r="U78" i="5" s="1"/>
  <c r="N64" i="5"/>
  <c r="Q41" i="16"/>
  <c r="Q53" i="16" s="1"/>
  <c r="Q54" i="16" s="1"/>
  <c r="N10" i="18"/>
  <c r="L43" i="18"/>
  <c r="V71" i="5"/>
  <c r="V72" i="5" s="1"/>
  <c r="W70" i="5" s="1"/>
  <c r="K15" i="9"/>
  <c r="N7" i="11" s="1"/>
  <c r="M24" i="11"/>
  <c r="N21" i="10"/>
  <c r="P36" i="7"/>
  <c r="P39" i="7"/>
  <c r="R9" i="6" l="1"/>
  <c r="R8" i="6" s="1"/>
  <c r="T61" i="16"/>
  <c r="P25" i="19"/>
  <c r="Q10" i="17"/>
  <c r="Q9" i="17" s="1"/>
  <c r="R7" i="18" s="1"/>
  <c r="R29" i="18" s="1"/>
  <c r="T84" i="5"/>
  <c r="T80" i="5" s="1"/>
  <c r="T20" i="5" s="1"/>
  <c r="O8" i="9"/>
  <c r="O16" i="9" s="1"/>
  <c r="R6" i="11" s="1"/>
  <c r="R10" i="17" s="1"/>
  <c r="R9" i="17" s="1"/>
  <c r="U24" i="16"/>
  <c r="U18" i="16" s="1"/>
  <c r="T26" i="5"/>
  <c r="Q7" i="9" s="1"/>
  <c r="V42" i="16"/>
  <c r="V20" i="7"/>
  <c r="U27" i="5"/>
  <c r="U81" i="5" s="1"/>
  <c r="O7" i="18"/>
  <c r="O29" i="18" s="1"/>
  <c r="N12" i="17"/>
  <c r="O8" i="18" s="1"/>
  <c r="O30" i="18" s="1"/>
  <c r="P10" i="17"/>
  <c r="P18" i="11"/>
  <c r="Q9" i="6"/>
  <c r="O18" i="10"/>
  <c r="P20" i="21"/>
  <c r="S31" i="19"/>
  <c r="U76" i="5"/>
  <c r="U77" i="5" s="1"/>
  <c r="V75" i="5" s="1"/>
  <c r="V78" i="5" s="1"/>
  <c r="O23" i="21"/>
  <c r="O14" i="21"/>
  <c r="O27" i="21" s="1"/>
  <c r="N18" i="17"/>
  <c r="N20" i="17" s="1"/>
  <c r="Q19" i="7"/>
  <c r="Q27" i="7" s="1"/>
  <c r="Q65" i="16"/>
  <c r="M27" i="19"/>
  <c r="N41" i="18"/>
  <c r="M26" i="17"/>
  <c r="N13" i="18" s="1"/>
  <c r="N44" i="18" s="1"/>
  <c r="N12" i="18"/>
  <c r="N43" i="18" s="1"/>
  <c r="Q68" i="16"/>
  <c r="Q69" i="16"/>
  <c r="O16" i="6"/>
  <c r="O15" i="6" s="1"/>
  <c r="O21" i="6" s="1"/>
  <c r="N12" i="11"/>
  <c r="O8" i="10"/>
  <c r="N19" i="11"/>
  <c r="W71" i="5"/>
  <c r="W72" i="5" s="1"/>
  <c r="X70" i="5" s="1"/>
  <c r="N25" i="10"/>
  <c r="R6" i="10" l="1"/>
  <c r="R18" i="10" s="1"/>
  <c r="S8" i="21"/>
  <c r="S20" i="21" s="1"/>
  <c r="Q12" i="17"/>
  <c r="R8" i="18" s="1"/>
  <c r="R30" i="18" s="1"/>
  <c r="R18" i="11"/>
  <c r="S9" i="6"/>
  <c r="S6" i="10" s="1"/>
  <c r="S18" i="10" s="1"/>
  <c r="V24" i="16"/>
  <c r="V18" i="16" s="1"/>
  <c r="V61" i="16" s="1"/>
  <c r="T14" i="5"/>
  <c r="R30" i="19" s="1"/>
  <c r="V14" i="7"/>
  <c r="V8" i="7" s="1"/>
  <c r="V35" i="7" s="1"/>
  <c r="U84" i="5"/>
  <c r="U80" i="5" s="1"/>
  <c r="U20" i="5" s="1"/>
  <c r="S14" i="5"/>
  <c r="Q25" i="19" s="1"/>
  <c r="U30" i="16"/>
  <c r="U63" i="16" s="1"/>
  <c r="U61" i="16"/>
  <c r="U14" i="7"/>
  <c r="U8" i="7" s="1"/>
  <c r="U35" i="7" s="1"/>
  <c r="U26" i="5"/>
  <c r="R7" i="9" s="1"/>
  <c r="W20" i="7"/>
  <c r="W42" i="16"/>
  <c r="V27" i="5"/>
  <c r="V81" i="5" s="1"/>
  <c r="R8" i="21"/>
  <c r="Q6" i="10"/>
  <c r="Q8" i="6"/>
  <c r="P9" i="17"/>
  <c r="S7" i="18"/>
  <c r="S29" i="18" s="1"/>
  <c r="R12" i="17"/>
  <c r="S8" i="18" s="1"/>
  <c r="S30" i="18" s="1"/>
  <c r="T31" i="19"/>
  <c r="V76" i="5"/>
  <c r="V77" i="5" s="1"/>
  <c r="W75" i="5" s="1"/>
  <c r="W78" i="5" s="1"/>
  <c r="O12" i="10"/>
  <c r="P10" i="21"/>
  <c r="N14" i="17"/>
  <c r="N25" i="17" s="1"/>
  <c r="O64" i="5"/>
  <c r="R41" i="16"/>
  <c r="R53" i="16" s="1"/>
  <c r="R54" i="16" s="1"/>
  <c r="X71" i="5"/>
  <c r="X72" i="5" s="1"/>
  <c r="Y70" i="5" s="1"/>
  <c r="N24" i="11"/>
  <c r="O21" i="10"/>
  <c r="L15" i="9"/>
  <c r="O7" i="11" s="1"/>
  <c r="Q36" i="7"/>
  <c r="Q39" i="7"/>
  <c r="Q8" i="9" l="1"/>
  <c r="Q16" i="9" s="1"/>
  <c r="T6" i="11" s="1"/>
  <c r="T18" i="11" s="1"/>
  <c r="T8" i="21"/>
  <c r="T20" i="21" s="1"/>
  <c r="V30" i="16"/>
  <c r="V63" i="16" s="1"/>
  <c r="S8" i="6"/>
  <c r="W24" i="16"/>
  <c r="W18" i="16" s="1"/>
  <c r="W61" i="16" s="1"/>
  <c r="W14" i="7"/>
  <c r="W8" i="7" s="1"/>
  <c r="W35" i="7" s="1"/>
  <c r="U14" i="5"/>
  <c r="S30" i="19" s="1"/>
  <c r="R25" i="19"/>
  <c r="Q30" i="19"/>
  <c r="P8" i="9"/>
  <c r="P16" i="9" s="1"/>
  <c r="S6" i="11" s="1"/>
  <c r="S10" i="17" s="1"/>
  <c r="V26" i="5"/>
  <c r="S7" i="9" s="1"/>
  <c r="X42" i="16"/>
  <c r="X20" i="7"/>
  <c r="V84" i="5"/>
  <c r="V80" i="5" s="1"/>
  <c r="V20" i="5" s="1"/>
  <c r="W27" i="5"/>
  <c r="W81" i="5" s="1"/>
  <c r="T10" i="17"/>
  <c r="T9" i="17" s="1"/>
  <c r="U9" i="6"/>
  <c r="Q7" i="18"/>
  <c r="Q29" i="18" s="1"/>
  <c r="P12" i="17"/>
  <c r="Q8" i="18" s="1"/>
  <c r="Q30" i="18" s="1"/>
  <c r="R20" i="21"/>
  <c r="Q18" i="10"/>
  <c r="U31" i="19"/>
  <c r="O10" i="18"/>
  <c r="O41" i="18" s="1"/>
  <c r="W76" i="5"/>
  <c r="W77" i="5" s="1"/>
  <c r="X75" i="5" s="1"/>
  <c r="X78" i="5" s="1"/>
  <c r="P23" i="21"/>
  <c r="P14" i="21"/>
  <c r="P27" i="21" s="1"/>
  <c r="R65" i="16"/>
  <c r="O18" i="17"/>
  <c r="O14" i="17" s="1"/>
  <c r="O25" i="17" s="1"/>
  <c r="N27" i="19"/>
  <c r="R19" i="7"/>
  <c r="R27" i="7" s="1"/>
  <c r="N26" i="17"/>
  <c r="O13" i="18" s="1"/>
  <c r="O44" i="18" s="1"/>
  <c r="O12" i="18"/>
  <c r="O43" i="18" s="1"/>
  <c r="R68" i="16"/>
  <c r="R69" i="16"/>
  <c r="P16" i="6"/>
  <c r="P15" i="6" s="1"/>
  <c r="P21" i="6" s="1"/>
  <c r="O12" i="11"/>
  <c r="O24" i="11" s="1"/>
  <c r="O25" i="10"/>
  <c r="Y71" i="5"/>
  <c r="Y72" i="5" s="1"/>
  <c r="Z70" i="5" s="1"/>
  <c r="P8" i="10"/>
  <c r="O19" i="11"/>
  <c r="S25" i="19" l="1"/>
  <c r="W30" i="16"/>
  <c r="W63" i="16" s="1"/>
  <c r="R8" i="9"/>
  <c r="R16" i="9" s="1"/>
  <c r="U6" i="11" s="1"/>
  <c r="S18" i="11"/>
  <c r="W84" i="5"/>
  <c r="W80" i="5" s="1"/>
  <c r="W20" i="5" s="1"/>
  <c r="T9" i="6"/>
  <c r="T8" i="6" s="1"/>
  <c r="V14" i="5"/>
  <c r="T30" i="19" s="1"/>
  <c r="W26" i="5"/>
  <c r="T7" i="9" s="1"/>
  <c r="Y20" i="7"/>
  <c r="Y42" i="16"/>
  <c r="O20" i="17"/>
  <c r="X27" i="5"/>
  <c r="X81" i="5" s="1"/>
  <c r="V8" i="21"/>
  <c r="V20" i="21" s="1"/>
  <c r="U8" i="6"/>
  <c r="U6" i="10"/>
  <c r="U18" i="10" s="1"/>
  <c r="S9" i="17"/>
  <c r="U7" i="18"/>
  <c r="U29" i="18" s="1"/>
  <c r="T12" i="17"/>
  <c r="U8" i="18" s="1"/>
  <c r="U30" i="18" s="1"/>
  <c r="V31" i="19"/>
  <c r="X76" i="5"/>
  <c r="X77" i="5" s="1"/>
  <c r="Y75" i="5" s="1"/>
  <c r="Y78" i="5" s="1"/>
  <c r="P12" i="10"/>
  <c r="P25" i="10" s="1"/>
  <c r="Q10" i="21"/>
  <c r="P64" i="5"/>
  <c r="S41" i="16"/>
  <c r="S53" i="16" s="1"/>
  <c r="S54" i="16" s="1"/>
  <c r="P10" i="18"/>
  <c r="P41" i="18" s="1"/>
  <c r="Z71" i="5"/>
  <c r="Z72" i="5" s="1"/>
  <c r="AA70" i="5" s="1"/>
  <c r="P21" i="10"/>
  <c r="M15" i="9"/>
  <c r="P7" i="11" s="1"/>
  <c r="R36" i="7"/>
  <c r="R39" i="7"/>
  <c r="U8" i="21" l="1"/>
  <c r="U20" i="21" s="1"/>
  <c r="S8" i="9"/>
  <c r="S16" i="9" s="1"/>
  <c r="V6" i="11" s="1"/>
  <c r="V18" i="11" s="1"/>
  <c r="Y14" i="7"/>
  <c r="Y8" i="7" s="1"/>
  <c r="Y35" i="7" s="1"/>
  <c r="Y24" i="16"/>
  <c r="Y18" i="16" s="1"/>
  <c r="Y61" i="16" s="1"/>
  <c r="W14" i="5"/>
  <c r="U30" i="19" s="1"/>
  <c r="X84" i="5"/>
  <c r="X80" i="5" s="1"/>
  <c r="X20" i="5" s="1"/>
  <c r="T6" i="10"/>
  <c r="T18" i="10" s="1"/>
  <c r="T25" i="19"/>
  <c r="X24" i="16"/>
  <c r="X18" i="16" s="1"/>
  <c r="X14" i="7"/>
  <c r="X8" i="7" s="1"/>
  <c r="X35" i="7" s="1"/>
  <c r="X26" i="5"/>
  <c r="U7" i="9" s="1"/>
  <c r="Z42" i="16"/>
  <c r="Z20" i="7"/>
  <c r="Y27" i="5"/>
  <c r="Y81" i="5" s="1"/>
  <c r="V10" i="17"/>
  <c r="V9" i="17" s="1"/>
  <c r="T7" i="18"/>
  <c r="T29" i="18" s="1"/>
  <c r="S12" i="17"/>
  <c r="T8" i="18" s="1"/>
  <c r="T30" i="18" s="1"/>
  <c r="U10" i="17"/>
  <c r="V9" i="6"/>
  <c r="U18" i="11"/>
  <c r="Y76" i="5"/>
  <c r="Y77" i="5" s="1"/>
  <c r="Z75" i="5" s="1"/>
  <c r="Z78" i="5" s="1"/>
  <c r="S65" i="16"/>
  <c r="W31" i="19"/>
  <c r="Q23" i="21"/>
  <c r="Q14" i="21"/>
  <c r="Q27" i="21" s="1"/>
  <c r="P18" i="17"/>
  <c r="P14" i="17" s="1"/>
  <c r="P25" i="17" s="1"/>
  <c r="S19" i="7"/>
  <c r="S27" i="7" s="1"/>
  <c r="O27" i="19"/>
  <c r="O26" i="17"/>
  <c r="P13" i="18" s="1"/>
  <c r="P44" i="18" s="1"/>
  <c r="P12" i="18"/>
  <c r="P43" i="18" s="1"/>
  <c r="S68" i="16"/>
  <c r="S69" i="16"/>
  <c r="Q16" i="6"/>
  <c r="Q15" i="6" s="1"/>
  <c r="Q21" i="6" s="1"/>
  <c r="P12" i="11"/>
  <c r="P24" i="11" s="1"/>
  <c r="AA71" i="5"/>
  <c r="AA72" i="5" s="1"/>
  <c r="AB70" i="5" s="1"/>
  <c r="Q8" i="10"/>
  <c r="P19" i="11"/>
  <c r="W9" i="6" l="1"/>
  <c r="W6" i="10" s="1"/>
  <c r="W18" i="10" s="1"/>
  <c r="Y30" i="16"/>
  <c r="Y63" i="16" s="1"/>
  <c r="U25" i="19"/>
  <c r="T8" i="9"/>
  <c r="T16" i="9" s="1"/>
  <c r="W6" i="11" s="1"/>
  <c r="X9" i="6" s="1"/>
  <c r="Z14" i="7"/>
  <c r="Z8" i="7" s="1"/>
  <c r="Z35" i="7" s="1"/>
  <c r="X14" i="5"/>
  <c r="V30" i="19" s="1"/>
  <c r="Z24" i="16"/>
  <c r="Z18" i="16" s="1"/>
  <c r="Z61" i="16" s="1"/>
  <c r="X30" i="16"/>
  <c r="X63" i="16" s="1"/>
  <c r="X61" i="16"/>
  <c r="Y26" i="5"/>
  <c r="V7" i="9" s="1"/>
  <c r="AA20" i="7"/>
  <c r="AA42" i="16"/>
  <c r="Y84" i="5"/>
  <c r="Y80" i="5" s="1"/>
  <c r="Y20" i="5" s="1"/>
  <c r="P20" i="17"/>
  <c r="X31" i="19"/>
  <c r="Z27" i="5"/>
  <c r="Z81" i="5" s="1"/>
  <c r="W8" i="21"/>
  <c r="V8" i="6"/>
  <c r="V6" i="10"/>
  <c r="U9" i="17"/>
  <c r="W8" i="6"/>
  <c r="W7" i="18"/>
  <c r="W29" i="18" s="1"/>
  <c r="V12" i="17"/>
  <c r="W8" i="18" s="1"/>
  <c r="W30" i="18" s="1"/>
  <c r="Z76" i="5"/>
  <c r="Z77" i="5" s="1"/>
  <c r="AA75" i="5" s="1"/>
  <c r="AA78" i="5" s="1"/>
  <c r="Q12" i="10"/>
  <c r="Q25" i="10" s="1"/>
  <c r="R10" i="21"/>
  <c r="Q64" i="5"/>
  <c r="T41" i="16"/>
  <c r="T53" i="16" s="1"/>
  <c r="T54" i="16" s="1"/>
  <c r="Q10" i="18"/>
  <c r="Q41" i="18" s="1"/>
  <c r="N15" i="9"/>
  <c r="Q7" i="11" s="1"/>
  <c r="AB71" i="5"/>
  <c r="AB72" i="5" s="1"/>
  <c r="AC70" i="5" s="1"/>
  <c r="Q21" i="10"/>
  <c r="S36" i="7"/>
  <c r="S39" i="7"/>
  <c r="X8" i="21" l="1"/>
  <c r="X20" i="21" s="1"/>
  <c r="W10" i="17"/>
  <c r="W9" i="17" s="1"/>
  <c r="W18" i="11"/>
  <c r="U8" i="9"/>
  <c r="U16" i="9" s="1"/>
  <c r="X6" i="11" s="1"/>
  <c r="X10" i="17" s="1"/>
  <c r="X9" i="17" s="1"/>
  <c r="Z30" i="16"/>
  <c r="Z63" i="16" s="1"/>
  <c r="V25" i="19"/>
  <c r="AA24" i="16"/>
  <c r="AA18" i="16" s="1"/>
  <c r="AA61" i="16" s="1"/>
  <c r="Z26" i="5"/>
  <c r="W7" i="9" s="1"/>
  <c r="AB42" i="16"/>
  <c r="AB20" i="7"/>
  <c r="Z84" i="5"/>
  <c r="Z80" i="5" s="1"/>
  <c r="Z20" i="5" s="1"/>
  <c r="Y8" i="21"/>
  <c r="Y20" i="21" s="1"/>
  <c r="X8" i="6"/>
  <c r="X6" i="10"/>
  <c r="X18" i="10" s="1"/>
  <c r="X7" i="18"/>
  <c r="X29" i="18" s="1"/>
  <c r="W12" i="17"/>
  <c r="X8" i="18" s="1"/>
  <c r="X30" i="18" s="1"/>
  <c r="V18" i="10"/>
  <c r="Y31" i="19"/>
  <c r="AA27" i="5"/>
  <c r="AA81" i="5" s="1"/>
  <c r="V7" i="18"/>
  <c r="V29" i="18" s="1"/>
  <c r="U12" i="17"/>
  <c r="V8" i="18" s="1"/>
  <c r="V30" i="18" s="1"/>
  <c r="W20" i="21"/>
  <c r="AA76" i="5"/>
  <c r="AA77" i="5" s="1"/>
  <c r="AB75" i="5" s="1"/>
  <c r="AB78" i="5" s="1"/>
  <c r="T65" i="16"/>
  <c r="R23" i="21"/>
  <c r="R14" i="21"/>
  <c r="R27" i="21" s="1"/>
  <c r="Q18" i="17"/>
  <c r="Q14" i="17" s="1"/>
  <c r="Q25" i="17" s="1"/>
  <c r="P27" i="19"/>
  <c r="U41" i="16"/>
  <c r="U53" i="16" s="1"/>
  <c r="U54" i="16" s="1"/>
  <c r="T19" i="7"/>
  <c r="T27" i="7" s="1"/>
  <c r="P26" i="17"/>
  <c r="Q13" i="18" s="1"/>
  <c r="Q44" i="18" s="1"/>
  <c r="Q12" i="18"/>
  <c r="Q43" i="18" s="1"/>
  <c r="R16" i="6"/>
  <c r="R15" i="6" s="1"/>
  <c r="R21" i="6" s="1"/>
  <c r="Q12" i="11"/>
  <c r="Q24" i="11" s="1"/>
  <c r="R8" i="10"/>
  <c r="Q19" i="11"/>
  <c r="AC71" i="5"/>
  <c r="AC72" i="5" s="1"/>
  <c r="Y9" i="6" l="1"/>
  <c r="Z8" i="21" s="1"/>
  <c r="Z20" i="21" s="1"/>
  <c r="X18" i="11"/>
  <c r="AA30" i="16"/>
  <c r="AA63" i="16" s="1"/>
  <c r="Y14" i="5"/>
  <c r="W30" i="19" s="1"/>
  <c r="AA14" i="7"/>
  <c r="AA8" i="7" s="1"/>
  <c r="AA35" i="7" s="1"/>
  <c r="AA26" i="5"/>
  <c r="X7" i="9" s="1"/>
  <c r="AC20" i="7"/>
  <c r="AC42" i="16"/>
  <c r="AB27" i="5"/>
  <c r="AB81" i="5" s="1"/>
  <c r="Z31" i="19"/>
  <c r="AA84" i="5"/>
  <c r="AA80" i="5" s="1"/>
  <c r="AA20" i="5" s="1"/>
  <c r="Y7" i="18"/>
  <c r="Y29" i="18" s="1"/>
  <c r="X12" i="17"/>
  <c r="Y8" i="18" s="1"/>
  <c r="Y30" i="18" s="1"/>
  <c r="AB24" i="16"/>
  <c r="AB18" i="16" s="1"/>
  <c r="AB14" i="7"/>
  <c r="AB8" i="7" s="1"/>
  <c r="AB35" i="7" s="1"/>
  <c r="Z14" i="5"/>
  <c r="X30" i="19" s="1"/>
  <c r="AB76" i="5"/>
  <c r="AB77" i="5" s="1"/>
  <c r="AC75" i="5" s="1"/>
  <c r="AC78" i="5" s="1"/>
  <c r="AA31" i="19" s="1"/>
  <c r="T68" i="16"/>
  <c r="T69" i="16"/>
  <c r="Q20" i="17"/>
  <c r="R12" i="10"/>
  <c r="R25" i="10" s="1"/>
  <c r="S10" i="21"/>
  <c r="U19" i="7"/>
  <c r="U27" i="7" s="1"/>
  <c r="U65" i="16"/>
  <c r="R64" i="5"/>
  <c r="V41" i="16"/>
  <c r="V53" i="16" s="1"/>
  <c r="V54" i="16" s="1"/>
  <c r="Q27" i="19"/>
  <c r="R10" i="18"/>
  <c r="R41" i="18" s="1"/>
  <c r="U68" i="16"/>
  <c r="U69" i="16"/>
  <c r="O15" i="9"/>
  <c r="R7" i="11" s="1"/>
  <c r="R21" i="10"/>
  <c r="T36" i="7"/>
  <c r="T39" i="7"/>
  <c r="Y6" i="10" l="1"/>
  <c r="Y18" i="10" s="1"/>
  <c r="Y8" i="6"/>
  <c r="V8" i="9"/>
  <c r="V16" i="9" s="1"/>
  <c r="Y6" i="11" s="1"/>
  <c r="Y10" i="17" s="1"/>
  <c r="Y9" i="17" s="1"/>
  <c r="Z7" i="18" s="1"/>
  <c r="Z29" i="18" s="1"/>
  <c r="W25" i="19"/>
  <c r="AB26" i="5"/>
  <c r="Y7" i="9" s="1"/>
  <c r="AD42" i="16"/>
  <c r="AD20" i="7"/>
  <c r="AB84" i="5"/>
  <c r="AB80" i="5" s="1"/>
  <c r="AC76" i="5"/>
  <c r="AC77" i="5" s="1"/>
  <c r="AC61" i="5" s="1"/>
  <c r="AD61" i="5" s="1"/>
  <c r="W8" i="9"/>
  <c r="W16" i="9" s="1"/>
  <c r="Z6" i="11" s="1"/>
  <c r="X25" i="19"/>
  <c r="AB30" i="16"/>
  <c r="AB63" i="16" s="1"/>
  <c r="AB61" i="16"/>
  <c r="AC24" i="16"/>
  <c r="AC18" i="16" s="1"/>
  <c r="AC14" i="7"/>
  <c r="AC8" i="7" s="1"/>
  <c r="AC35" i="7" s="1"/>
  <c r="AA14" i="5"/>
  <c r="Y30" i="19" s="1"/>
  <c r="V65" i="16"/>
  <c r="S23" i="21"/>
  <c r="S14" i="21"/>
  <c r="S27" i="21" s="1"/>
  <c r="R18" i="17"/>
  <c r="R14" i="17" s="1"/>
  <c r="R25" i="17" s="1"/>
  <c r="V19" i="7"/>
  <c r="V27" i="7" s="1"/>
  <c r="V69" i="16"/>
  <c r="S64" i="5"/>
  <c r="R27" i="19"/>
  <c r="Q26" i="17"/>
  <c r="R13" i="18" s="1"/>
  <c r="R44" i="18" s="1"/>
  <c r="R12" i="18"/>
  <c r="R43" i="18" s="1"/>
  <c r="S16" i="6"/>
  <c r="S15" i="6" s="1"/>
  <c r="S21" i="6" s="1"/>
  <c r="R12" i="11"/>
  <c r="R24" i="11" s="1"/>
  <c r="P15" i="9"/>
  <c r="S7" i="11" s="1"/>
  <c r="R19" i="11"/>
  <c r="S8" i="10"/>
  <c r="U36" i="7"/>
  <c r="U39" i="7"/>
  <c r="Y12" i="17" l="1"/>
  <c r="Z8" i="18" s="1"/>
  <c r="Z30" i="18" s="1"/>
  <c r="Z9" i="6"/>
  <c r="AA8" i="21" s="1"/>
  <c r="AA20" i="21" s="1"/>
  <c r="Y18" i="11"/>
  <c r="AB20" i="5"/>
  <c r="AD14" i="7" s="1"/>
  <c r="AD8" i="7" s="1"/>
  <c r="AD35" i="7" s="1"/>
  <c r="Z8" i="6"/>
  <c r="Z6" i="10"/>
  <c r="Z18" i="10" s="1"/>
  <c r="AC27" i="5"/>
  <c r="AC81" i="5" s="1"/>
  <c r="AD44" i="5"/>
  <c r="Z10" i="17"/>
  <c r="Z9" i="17" s="1"/>
  <c r="Z18" i="11"/>
  <c r="AA9" i="6"/>
  <c r="X8" i="9"/>
  <c r="X16" i="9" s="1"/>
  <c r="AA6" i="11" s="1"/>
  <c r="Y25" i="19"/>
  <c r="AC30" i="16"/>
  <c r="AC63" i="16" s="1"/>
  <c r="AC61" i="16"/>
  <c r="V68" i="16"/>
  <c r="R20" i="17"/>
  <c r="S12" i="10"/>
  <c r="S25" i="10" s="1"/>
  <c r="T10" i="21"/>
  <c r="S18" i="17"/>
  <c r="S20" i="17" s="1"/>
  <c r="T64" i="5"/>
  <c r="W41" i="16"/>
  <c r="W53" i="16" s="1"/>
  <c r="W54" i="16" s="1"/>
  <c r="S10" i="18"/>
  <c r="S41" i="18" s="1"/>
  <c r="T16" i="6"/>
  <c r="T15" i="6" s="1"/>
  <c r="T21" i="6" s="1"/>
  <c r="S12" i="11"/>
  <c r="S24" i="11" s="1"/>
  <c r="S21" i="10"/>
  <c r="T8" i="10"/>
  <c r="S19" i="11"/>
  <c r="Q15" i="9"/>
  <c r="T7" i="11" s="1"/>
  <c r="V36" i="7"/>
  <c r="V39" i="7"/>
  <c r="AB14" i="5" l="1"/>
  <c r="Z30" i="19" s="1"/>
  <c r="AD24" i="16"/>
  <c r="AD18" i="16" s="1"/>
  <c r="AD61" i="16" s="1"/>
  <c r="AC26" i="5"/>
  <c r="Z7" i="9" s="1"/>
  <c r="AE20" i="7"/>
  <c r="AF20" i="7" s="1"/>
  <c r="AE42" i="16"/>
  <c r="AF42" i="16" s="1"/>
  <c r="AC84" i="5"/>
  <c r="AC80" i="5" s="1"/>
  <c r="AC20" i="5" s="1"/>
  <c r="AB8" i="21"/>
  <c r="AB20" i="21" s="1"/>
  <c r="AA6" i="10"/>
  <c r="AA18" i="10" s="1"/>
  <c r="AA8" i="6"/>
  <c r="AA7" i="18"/>
  <c r="AA29" i="18" s="1"/>
  <c r="Z12" i="17"/>
  <c r="AA8" i="18" s="1"/>
  <c r="AA30" i="18" s="1"/>
  <c r="AA10" i="17"/>
  <c r="AA9" i="17" s="1"/>
  <c r="AA18" i="11"/>
  <c r="AB9" i="6"/>
  <c r="AD27" i="5"/>
  <c r="S14" i="17"/>
  <c r="S25" i="17" s="1"/>
  <c r="W65" i="16"/>
  <c r="T12" i="10"/>
  <c r="T25" i="10" s="1"/>
  <c r="U10" i="21"/>
  <c r="T23" i="21"/>
  <c r="T14" i="21"/>
  <c r="T27" i="21" s="1"/>
  <c r="T18" i="17"/>
  <c r="T14" i="17" s="1"/>
  <c r="T25" i="17" s="1"/>
  <c r="S27" i="19"/>
  <c r="W19" i="7"/>
  <c r="W27" i="7" s="1"/>
  <c r="R26" i="17"/>
  <c r="S13" i="18" s="1"/>
  <c r="S44" i="18" s="1"/>
  <c r="S12" i="18"/>
  <c r="S43" i="18" s="1"/>
  <c r="W69" i="16"/>
  <c r="W68" i="16"/>
  <c r="U16" i="6"/>
  <c r="U15" i="6" s="1"/>
  <c r="U21" i="6" s="1"/>
  <c r="T12" i="11"/>
  <c r="T24" i="11" s="1"/>
  <c r="T21" i="10"/>
  <c r="T19" i="11"/>
  <c r="U8" i="10"/>
  <c r="Y8" i="9" l="1"/>
  <c r="Y16" i="9" s="1"/>
  <c r="AB6" i="11" s="1"/>
  <c r="AC9" i="6" s="1"/>
  <c r="AC8" i="6" s="1"/>
  <c r="Z25" i="19"/>
  <c r="AD30" i="16"/>
  <c r="AD63" i="16" s="1"/>
  <c r="T20" i="17"/>
  <c r="AC8" i="21"/>
  <c r="AC20" i="21" s="1"/>
  <c r="AB8" i="6"/>
  <c r="AB6" i="10"/>
  <c r="AB18" i="10" s="1"/>
  <c r="AB7" i="18"/>
  <c r="AB29" i="18" s="1"/>
  <c r="AA12" i="17"/>
  <c r="AB8" i="18" s="1"/>
  <c r="AB30" i="18" s="1"/>
  <c r="AE24" i="16"/>
  <c r="AE14" i="7"/>
  <c r="AC14" i="5"/>
  <c r="AA30" i="19" s="1"/>
  <c r="AB30" i="19" s="1"/>
  <c r="AD20" i="5"/>
  <c r="T10" i="18"/>
  <c r="T41" i="18" s="1"/>
  <c r="U12" i="10"/>
  <c r="U25" i="10" s="1"/>
  <c r="V10" i="21"/>
  <c r="U23" i="21"/>
  <c r="U14" i="21"/>
  <c r="U27" i="21" s="1"/>
  <c r="U64" i="5"/>
  <c r="X41" i="16"/>
  <c r="X53" i="16" s="1"/>
  <c r="X54" i="16" s="1"/>
  <c r="U10" i="18"/>
  <c r="U41" i="18" s="1"/>
  <c r="S26" i="17"/>
  <c r="T13" i="18" s="1"/>
  <c r="T44" i="18" s="1"/>
  <c r="T12" i="18"/>
  <c r="T43" i="18" s="1"/>
  <c r="R15" i="9"/>
  <c r="U7" i="11" s="1"/>
  <c r="U21" i="10"/>
  <c r="W36" i="7"/>
  <c r="W39" i="7"/>
  <c r="AB18" i="11" l="1"/>
  <c r="AC6" i="10"/>
  <c r="AC18" i="10" s="1"/>
  <c r="AD8" i="21"/>
  <c r="AD20" i="21" s="1"/>
  <c r="AB10" i="17"/>
  <c r="AB9" i="17" s="1"/>
  <c r="AC7" i="18" s="1"/>
  <c r="AC29" i="18" s="1"/>
  <c r="AE8" i="7"/>
  <c r="AF14" i="7"/>
  <c r="Z8" i="9"/>
  <c r="AA25" i="19"/>
  <c r="AB25" i="19" s="1"/>
  <c r="AD14" i="5"/>
  <c r="AE18" i="16"/>
  <c r="AF24" i="16"/>
  <c r="X65" i="16"/>
  <c r="V23" i="21"/>
  <c r="V14" i="21"/>
  <c r="V27" i="21" s="1"/>
  <c r="U18" i="17"/>
  <c r="U14" i="17" s="1"/>
  <c r="U25" i="17" s="1"/>
  <c r="X19" i="7"/>
  <c r="X27" i="7" s="1"/>
  <c r="T27" i="19"/>
  <c r="T26" i="17"/>
  <c r="U13" i="18" s="1"/>
  <c r="U44" i="18" s="1"/>
  <c r="U12" i="18"/>
  <c r="U43" i="18" s="1"/>
  <c r="V16" i="6"/>
  <c r="V15" i="6" s="1"/>
  <c r="V21" i="6" s="1"/>
  <c r="U12" i="11"/>
  <c r="U24" i="11" s="1"/>
  <c r="V8" i="10"/>
  <c r="U19" i="11"/>
  <c r="AB12" i="17" l="1"/>
  <c r="AC8" i="18" s="1"/>
  <c r="AC30" i="18" s="1"/>
  <c r="AE61" i="16"/>
  <c r="AF61" i="16" s="1"/>
  <c r="H74" i="16" s="1"/>
  <c r="AF18" i="16"/>
  <c r="F74" i="16" s="1"/>
  <c r="Z16" i="9"/>
  <c r="AA8" i="9"/>
  <c r="AE35" i="7"/>
  <c r="AF35" i="7" s="1"/>
  <c r="J43" i="7" s="1"/>
  <c r="AF8" i="7"/>
  <c r="H43" i="7" s="1"/>
  <c r="X68" i="16"/>
  <c r="X69" i="16"/>
  <c r="U20" i="17"/>
  <c r="V12" i="10"/>
  <c r="V25" i="10" s="1"/>
  <c r="W10" i="21"/>
  <c r="V64" i="5"/>
  <c r="Y41" i="16"/>
  <c r="Y53" i="16" s="1"/>
  <c r="Y54" i="16" s="1"/>
  <c r="V10" i="18"/>
  <c r="V41" i="18" s="1"/>
  <c r="S15" i="9"/>
  <c r="V7" i="11" s="1"/>
  <c r="V21" i="10"/>
  <c r="X36" i="7"/>
  <c r="X39" i="7"/>
  <c r="AC6" i="11" l="1"/>
  <c r="AA16" i="9"/>
  <c r="Y65" i="16"/>
  <c r="Y69" i="16"/>
  <c r="W23" i="21"/>
  <c r="W14" i="21"/>
  <c r="W27" i="21" s="1"/>
  <c r="V18" i="17"/>
  <c r="V14" i="17" s="1"/>
  <c r="V25" i="17" s="1"/>
  <c r="U27" i="19"/>
  <c r="Y19" i="7"/>
  <c r="Y27" i="7" s="1"/>
  <c r="U26" i="17"/>
  <c r="V13" i="18" s="1"/>
  <c r="V44" i="18" s="1"/>
  <c r="V12" i="18"/>
  <c r="V43" i="18" s="1"/>
  <c r="W16" i="6"/>
  <c r="W15" i="6" s="1"/>
  <c r="W21" i="6" s="1"/>
  <c r="V12" i="11"/>
  <c r="V24" i="11" s="1"/>
  <c r="V19" i="11"/>
  <c r="W8" i="10"/>
  <c r="AC10" i="17" l="1"/>
  <c r="AD10" i="17" s="1"/>
  <c r="AD9" i="6"/>
  <c r="AC18" i="11"/>
  <c r="AD18" i="11" s="1"/>
  <c r="AD6" i="11"/>
  <c r="Y68" i="16"/>
  <c r="V20" i="17"/>
  <c r="W12" i="10"/>
  <c r="W25" i="10" s="1"/>
  <c r="X10" i="21"/>
  <c r="W64" i="5"/>
  <c r="Z41" i="16"/>
  <c r="Z53" i="16" s="1"/>
  <c r="Z54" i="16" s="1"/>
  <c r="W10" i="18"/>
  <c r="W41" i="18" s="1"/>
  <c r="T15" i="9"/>
  <c r="W7" i="11" s="1"/>
  <c r="W21" i="10"/>
  <c r="Y36" i="7"/>
  <c r="Y39" i="7"/>
  <c r="F28" i="11" l="1"/>
  <c r="AE8" i="21"/>
  <c r="AD6" i="10"/>
  <c r="AE9" i="6"/>
  <c r="D11" i="14"/>
  <c r="H28" i="11"/>
  <c r="Z65" i="16"/>
  <c r="X23" i="21"/>
  <c r="X14" i="21"/>
  <c r="X27" i="21" s="1"/>
  <c r="W18" i="17"/>
  <c r="W14" i="17" s="1"/>
  <c r="W25" i="17" s="1"/>
  <c r="V27" i="19"/>
  <c r="Z19" i="7"/>
  <c r="Z27" i="7" s="1"/>
  <c r="V26" i="17"/>
  <c r="W13" i="18" s="1"/>
  <c r="W44" i="18" s="1"/>
  <c r="W12" i="18"/>
  <c r="W43" i="18" s="1"/>
  <c r="Z68" i="16"/>
  <c r="Z69" i="16"/>
  <c r="X16" i="6"/>
  <c r="X15" i="6" s="1"/>
  <c r="X21" i="6" s="1"/>
  <c r="W12" i="11"/>
  <c r="W24" i="11" s="1"/>
  <c r="X8" i="10"/>
  <c r="W19" i="11"/>
  <c r="W20" i="17" l="1"/>
  <c r="AD18" i="10"/>
  <c r="AE18" i="10" s="1"/>
  <c r="I29" i="10" s="1"/>
  <c r="AE6" i="10"/>
  <c r="AE20" i="21"/>
  <c r="AF20" i="21" s="1"/>
  <c r="J31" i="21" s="1"/>
  <c r="AF8" i="21"/>
  <c r="H31" i="21" s="1"/>
  <c r="X64" i="5"/>
  <c r="X12" i="10"/>
  <c r="X25" i="10" s="1"/>
  <c r="Y10" i="21"/>
  <c r="AA41" i="16"/>
  <c r="AA53" i="16" s="1"/>
  <c r="AA54" i="16" s="1"/>
  <c r="X10" i="18"/>
  <c r="X41" i="18" s="1"/>
  <c r="X21" i="10"/>
  <c r="U15" i="9"/>
  <c r="X7" i="11" s="1"/>
  <c r="Z36" i="7"/>
  <c r="Z39" i="7"/>
  <c r="AF6" i="10" l="1"/>
  <c r="G29" i="10"/>
  <c r="AA65" i="16"/>
  <c r="AA69" i="16"/>
  <c r="Y23" i="21"/>
  <c r="Y14" i="21"/>
  <c r="Y27" i="21" s="1"/>
  <c r="X18" i="17"/>
  <c r="X14" i="17" s="1"/>
  <c r="X25" i="17" s="1"/>
  <c r="W27" i="19"/>
  <c r="AA19" i="7"/>
  <c r="AA27" i="7" s="1"/>
  <c r="W26" i="17"/>
  <c r="X13" i="18" s="1"/>
  <c r="X44" i="18" s="1"/>
  <c r="X12" i="18"/>
  <c r="X43" i="18" s="1"/>
  <c r="Y16" i="6"/>
  <c r="Y15" i="6" s="1"/>
  <c r="Y21" i="6" s="1"/>
  <c r="X12" i="11"/>
  <c r="X24" i="11" s="1"/>
  <c r="X19" i="11"/>
  <c r="Y8" i="10"/>
  <c r="AA68" i="16" l="1"/>
  <c r="X20" i="17"/>
  <c r="Y64" i="5"/>
  <c r="Y12" i="10"/>
  <c r="Y25" i="10" s="1"/>
  <c r="Z10" i="21"/>
  <c r="AB41" i="16"/>
  <c r="AB53" i="16" s="1"/>
  <c r="AB54" i="16" s="1"/>
  <c r="Y10" i="18"/>
  <c r="Y41" i="18" s="1"/>
  <c r="V15" i="9"/>
  <c r="Y7" i="11" s="1"/>
  <c r="Y21" i="10"/>
  <c r="AA36" i="7"/>
  <c r="AA39" i="7"/>
  <c r="AB65" i="16" l="1"/>
  <c r="Z23" i="21"/>
  <c r="Z14" i="21"/>
  <c r="Z27" i="21" s="1"/>
  <c r="Y18" i="17"/>
  <c r="Y14" i="17" s="1"/>
  <c r="Y25" i="17" s="1"/>
  <c r="X27" i="19"/>
  <c r="AB19" i="7"/>
  <c r="AB27" i="7" s="1"/>
  <c r="X26" i="17"/>
  <c r="Y13" i="18" s="1"/>
  <c r="Y44" i="18" s="1"/>
  <c r="Y12" i="18"/>
  <c r="Y43" i="18" s="1"/>
  <c r="Z16" i="6"/>
  <c r="Z15" i="6" s="1"/>
  <c r="Z21" i="6" s="1"/>
  <c r="Y12" i="11"/>
  <c r="Y24" i="11" s="1"/>
  <c r="Z8" i="10"/>
  <c r="Y19" i="11"/>
  <c r="Y20" i="17" l="1"/>
  <c r="AB68" i="16"/>
  <c r="Z64" i="5"/>
  <c r="AB69" i="16"/>
  <c r="Z12" i="10"/>
  <c r="Z25" i="10" s="1"/>
  <c r="AA10" i="21"/>
  <c r="AC41" i="16"/>
  <c r="AC53" i="16" s="1"/>
  <c r="AC54" i="16" s="1"/>
  <c r="Z10" i="18"/>
  <c r="Z41" i="18" s="1"/>
  <c r="W15" i="9"/>
  <c r="Z7" i="11" s="1"/>
  <c r="Z21" i="10"/>
  <c r="AB36" i="7"/>
  <c r="AB39" i="7"/>
  <c r="AC65" i="16" l="1"/>
  <c r="AA23" i="21"/>
  <c r="AA14" i="21"/>
  <c r="AA27" i="21" s="1"/>
  <c r="Z18" i="17"/>
  <c r="Z14" i="17" s="1"/>
  <c r="Z25" i="17" s="1"/>
  <c r="Y27" i="19"/>
  <c r="AC19" i="7"/>
  <c r="AC27" i="7" s="1"/>
  <c r="Y26" i="17"/>
  <c r="Z13" i="18" s="1"/>
  <c r="Z44" i="18" s="1"/>
  <c r="Z12" i="18"/>
  <c r="Z43" i="18" s="1"/>
  <c r="AA16" i="6"/>
  <c r="AA15" i="6" s="1"/>
  <c r="AA21" i="6" s="1"/>
  <c r="Z12" i="11"/>
  <c r="Z24" i="11" s="1"/>
  <c r="Z19" i="11"/>
  <c r="AA8" i="10"/>
  <c r="Z20" i="17" l="1"/>
  <c r="AC68" i="16"/>
  <c r="AA64" i="5"/>
  <c r="AC69" i="16"/>
  <c r="AA12" i="10"/>
  <c r="AA25" i="10" s="1"/>
  <c r="AB10" i="21"/>
  <c r="AD41" i="16"/>
  <c r="AD53" i="16" s="1"/>
  <c r="AD54" i="16" s="1"/>
  <c r="AA10" i="18"/>
  <c r="AA41" i="18" s="1"/>
  <c r="X15" i="9"/>
  <c r="AA7" i="11" s="1"/>
  <c r="AA21" i="10"/>
  <c r="AC36" i="7"/>
  <c r="AC39" i="7"/>
  <c r="AD65" i="16" l="1"/>
  <c r="AB23" i="21"/>
  <c r="AB14" i="21"/>
  <c r="AB27" i="21" s="1"/>
  <c r="AA18" i="17"/>
  <c r="AA14" i="17" s="1"/>
  <c r="AA25" i="17" s="1"/>
  <c r="Z27" i="19"/>
  <c r="AD19" i="7"/>
  <c r="AD27" i="7" s="1"/>
  <c r="Z26" i="17"/>
  <c r="AA13" i="18" s="1"/>
  <c r="AA44" i="18" s="1"/>
  <c r="AA12" i="18"/>
  <c r="AA43" i="18" s="1"/>
  <c r="AB16" i="6"/>
  <c r="AB15" i="6" s="1"/>
  <c r="AB21" i="6" s="1"/>
  <c r="AA12" i="11"/>
  <c r="AA24" i="11" s="1"/>
  <c r="AB8" i="10"/>
  <c r="AA19" i="11"/>
  <c r="AA20" i="17" l="1"/>
  <c r="AD68" i="16"/>
  <c r="AB64" i="5"/>
  <c r="AD69" i="16"/>
  <c r="AB12" i="10"/>
  <c r="AB25" i="10" s="1"/>
  <c r="AC10" i="21"/>
  <c r="AB31" i="19"/>
  <c r="AB10" i="18"/>
  <c r="AB41" i="18" s="1"/>
  <c r="Y15" i="9"/>
  <c r="AB7" i="11" s="1"/>
  <c r="AB21" i="10"/>
  <c r="AD36" i="7"/>
  <c r="AD39" i="7"/>
  <c r="AE29" i="16"/>
  <c r="AC23" i="21" l="1"/>
  <c r="AC14" i="21"/>
  <c r="AC27" i="21" s="1"/>
  <c r="AB18" i="17"/>
  <c r="AB20" i="17" s="1"/>
  <c r="AA26" i="17"/>
  <c r="AB13" i="18" s="1"/>
  <c r="AB44" i="18" s="1"/>
  <c r="AB12" i="18"/>
  <c r="AB43" i="18" s="1"/>
  <c r="AE41" i="16"/>
  <c r="AE53" i="16" s="1"/>
  <c r="AF44" i="16"/>
  <c r="AF29" i="16"/>
  <c r="F75" i="16" s="1"/>
  <c r="AE30" i="16"/>
  <c r="AE62" i="16"/>
  <c r="AF62" i="16" s="1"/>
  <c r="H75" i="16" s="1"/>
  <c r="AC16" i="6"/>
  <c r="AC15" i="6" s="1"/>
  <c r="AC21" i="6" s="1"/>
  <c r="AB12" i="11"/>
  <c r="AB24" i="11" s="1"/>
  <c r="AA27" i="19"/>
  <c r="AF22" i="7"/>
  <c r="AB19" i="11"/>
  <c r="AC8" i="10"/>
  <c r="AC60" i="5"/>
  <c r="AE54" i="16" l="1"/>
  <c r="AB27" i="19"/>
  <c r="AC11" i="11"/>
  <c r="AC11" i="17" s="1"/>
  <c r="AD60" i="5"/>
  <c r="AC12" i="10"/>
  <c r="AC25" i="10" s="1"/>
  <c r="AD10" i="21"/>
  <c r="AB14" i="17"/>
  <c r="AB25" i="17" s="1"/>
  <c r="AE65" i="16"/>
  <c r="AF65" i="16" s="1"/>
  <c r="H78" i="16" s="1"/>
  <c r="AF41" i="16"/>
  <c r="F78" i="16" s="1"/>
  <c r="AE63" i="16"/>
  <c r="AF63" i="16" s="1"/>
  <c r="H76" i="16" s="1"/>
  <c r="AF30" i="16"/>
  <c r="F76" i="16" s="1"/>
  <c r="AC64" i="5"/>
  <c r="AC21" i="10"/>
  <c r="AE26" i="7"/>
  <c r="AD40" i="5"/>
  <c r="AC23" i="11" l="1"/>
  <c r="AD23" i="11" s="1"/>
  <c r="D10" i="14" s="1"/>
  <c r="AD11" i="11"/>
  <c r="C10" i="14" s="1"/>
  <c r="AC10" i="18"/>
  <c r="AC41" i="18" s="1"/>
  <c r="AC12" i="18"/>
  <c r="AC43" i="18" s="1"/>
  <c r="AD14" i="6"/>
  <c r="AE14" i="6" s="1"/>
  <c r="AD23" i="21"/>
  <c r="AD14" i="21"/>
  <c r="AD27" i="21" s="1"/>
  <c r="AB26" i="17"/>
  <c r="AC13" i="18" s="1"/>
  <c r="AC44" i="18" s="1"/>
  <c r="AE68" i="16"/>
  <c r="AF68" i="16" s="1"/>
  <c r="H81" i="16" s="1"/>
  <c r="AF53" i="16"/>
  <c r="F81" i="16" s="1"/>
  <c r="AD11" i="17"/>
  <c r="AC9" i="17"/>
  <c r="AD7" i="18" s="1"/>
  <c r="AD26" i="5"/>
  <c r="AD64" i="5" s="1"/>
  <c r="AE38" i="7"/>
  <c r="AF38" i="7" s="1"/>
  <c r="J46" i="7" s="1"/>
  <c r="AF26" i="7"/>
  <c r="H46" i="7" s="1"/>
  <c r="AE19" i="7"/>
  <c r="AE27" i="7" s="1"/>
  <c r="G36" i="7"/>
  <c r="G37" i="7"/>
  <c r="AF37" i="7" s="1"/>
  <c r="J45" i="7" s="1"/>
  <c r="H31" i="11" l="1"/>
  <c r="F31" i="11"/>
  <c r="AD8" i="6"/>
  <c r="AD7" i="10"/>
  <c r="AE9" i="21" s="1"/>
  <c r="AE22" i="21" s="1"/>
  <c r="AF22" i="21" s="1"/>
  <c r="J33" i="21" s="1"/>
  <c r="AD29" i="18"/>
  <c r="AE29" i="18" s="1"/>
  <c r="I49" i="18" s="1"/>
  <c r="AE7" i="18"/>
  <c r="G49" i="18" s="1"/>
  <c r="AE69" i="16"/>
  <c r="AF69" i="16" s="1"/>
  <c r="H82" i="16" s="1"/>
  <c r="H85" i="16" s="1"/>
  <c r="AF54" i="16"/>
  <c r="F82" i="16" s="1"/>
  <c r="AC12" i="17"/>
  <c r="AD8" i="18" s="1"/>
  <c r="AD9" i="17"/>
  <c r="Z15" i="9"/>
  <c r="AA7" i="9"/>
  <c r="AE36" i="7"/>
  <c r="AF36" i="7" s="1"/>
  <c r="J44" i="7" s="1"/>
  <c r="AF19" i="7"/>
  <c r="H44" i="7" s="1"/>
  <c r="AE7" i="10" l="1"/>
  <c r="AF7" i="10" s="1"/>
  <c r="AF9" i="21"/>
  <c r="H33" i="21" s="1"/>
  <c r="AD20" i="10"/>
  <c r="AE20" i="10" s="1"/>
  <c r="I31" i="10" s="1"/>
  <c r="AD30" i="18"/>
  <c r="AE30" i="18" s="1"/>
  <c r="I50" i="18" s="1"/>
  <c r="AE8" i="18"/>
  <c r="G50" i="18" s="1"/>
  <c r="AD12" i="17"/>
  <c r="G31" i="10"/>
  <c r="AC7" i="11"/>
  <c r="AA15" i="9"/>
  <c r="AE39" i="7"/>
  <c r="AF39" i="7" s="1"/>
  <c r="J47" i="7" s="1"/>
  <c r="AF27" i="7"/>
  <c r="H47" i="7" s="1"/>
  <c r="AC18" i="17" l="1"/>
  <c r="AC14" i="17" s="1"/>
  <c r="AC25" i="17" s="1"/>
  <c r="AD16" i="6"/>
  <c r="AD15" i="6" s="1"/>
  <c r="AD21" i="6" s="1"/>
  <c r="AC12" i="11"/>
  <c r="F37" i="11" s="1"/>
  <c r="AE16" i="6"/>
  <c r="AD8" i="10"/>
  <c r="AC19" i="11"/>
  <c r="AD19" i="11" s="1"/>
  <c r="B21" i="1" s="1"/>
  <c r="AD7" i="11"/>
  <c r="H51" i="7"/>
  <c r="AC20" i="17" l="1"/>
  <c r="AD20" i="17" s="1"/>
  <c r="AD10" i="18"/>
  <c r="AD41" i="18" s="1"/>
  <c r="AE41" i="18" s="1"/>
  <c r="I52" i="18" s="1"/>
  <c r="AD12" i="10"/>
  <c r="AE10" i="21"/>
  <c r="AD18" i="17"/>
  <c r="AD12" i="18"/>
  <c r="AD14" i="17"/>
  <c r="D12" i="14"/>
  <c r="D18" i="14" s="1"/>
  <c r="D20" i="14" s="1"/>
  <c r="C22" i="14" s="1"/>
  <c r="F2" i="2"/>
  <c r="AE15" i="6"/>
  <c r="AD21" i="10"/>
  <c r="AE21" i="10" s="1"/>
  <c r="I32" i="10" s="1"/>
  <c r="AE8" i="10"/>
  <c r="AF8" i="10" s="1"/>
  <c r="AC24" i="11"/>
  <c r="AD12" i="11"/>
  <c r="F32" i="11" s="1"/>
  <c r="F29" i="11"/>
  <c r="H29" i="11"/>
  <c r="F38" i="11" s="1"/>
  <c r="G19" i="3" l="1"/>
  <c r="V22" i="3"/>
  <c r="T22" i="3"/>
  <c r="AE18" i="17"/>
  <c r="AE10" i="18"/>
  <c r="G52" i="18" s="1"/>
  <c r="AE23" i="21"/>
  <c r="AF23" i="21" s="1"/>
  <c r="J34" i="21" s="1"/>
  <c r="AF10" i="21"/>
  <c r="H34" i="21" s="1"/>
  <c r="AE14" i="21"/>
  <c r="AE27" i="21" s="1"/>
  <c r="AD43" i="18"/>
  <c r="AE43" i="18" s="1"/>
  <c r="I54" i="18" s="1"/>
  <c r="G60" i="18" s="1"/>
  <c r="AE12" i="18"/>
  <c r="G54" i="18" s="1"/>
  <c r="AD25" i="17"/>
  <c r="AC26" i="17"/>
  <c r="G38" i="11"/>
  <c r="C7" i="14"/>
  <c r="AD24" i="11"/>
  <c r="H32" i="11" s="1"/>
  <c r="F36" i="11" s="1"/>
  <c r="G32" i="10"/>
  <c r="G37" i="11"/>
  <c r="C30" i="14"/>
  <c r="AD25" i="10"/>
  <c r="G20" i="3" l="1"/>
  <c r="T20" i="3"/>
  <c r="V20" i="3"/>
  <c r="V23" i="3" s="1"/>
  <c r="V24" i="3" s="1"/>
  <c r="C24" i="14"/>
  <c r="D14" i="12"/>
  <c r="AD26" i="17"/>
  <c r="AD13" i="18"/>
  <c r="C31" i="14"/>
  <c r="G36" i="11"/>
  <c r="G21" i="3" l="1"/>
  <c r="N22" i="3" s="1"/>
  <c r="N23" i="3" s="1"/>
  <c r="I9" i="3"/>
  <c r="I10" i="8" s="1"/>
  <c r="I8" i="3"/>
  <c r="I9" i="8" s="1"/>
  <c r="I14" i="3"/>
  <c r="I15" i="8" s="1"/>
  <c r="I15" i="3"/>
  <c r="I16" i="8" s="1"/>
  <c r="I10" i="3"/>
  <c r="I11" i="8" s="1"/>
  <c r="I16" i="3"/>
  <c r="I17" i="8" s="1"/>
  <c r="I11" i="3"/>
  <c r="I12" i="8" s="1"/>
  <c r="I12" i="3"/>
  <c r="I13" i="8" s="1"/>
  <c r="I7" i="3"/>
  <c r="I8" i="8" s="1"/>
  <c r="I13" i="3"/>
  <c r="I14" i="8" s="1"/>
  <c r="V27" i="3"/>
  <c r="K23" i="6"/>
  <c r="H7" i="13"/>
  <c r="L25" i="3"/>
  <c r="M25" i="3"/>
  <c r="N25" i="3"/>
  <c r="O25" i="3"/>
  <c r="P25" i="3"/>
  <c r="Q25" i="3"/>
  <c r="T23" i="3"/>
  <c r="T24" i="3" s="1"/>
  <c r="F51" i="7"/>
  <c r="J51" i="7" s="1"/>
  <c r="G6" i="13"/>
  <c r="AD44" i="18"/>
  <c r="AE44" i="18" s="1"/>
  <c r="I55" i="18" s="1"/>
  <c r="G58" i="18" s="1"/>
  <c r="G59" i="18"/>
  <c r="D13" i="12" s="1"/>
  <c r="AE13" i="18"/>
  <c r="G55" i="18" s="1"/>
  <c r="L24" i="10"/>
  <c r="L25" i="10"/>
  <c r="L8" i="6"/>
  <c r="L21" i="6" s="1"/>
  <c r="R22" i="3" l="1"/>
  <c r="F6" i="13" s="1"/>
  <c r="P22" i="3"/>
  <c r="P23" i="3" s="1"/>
  <c r="P24" i="3" s="1"/>
  <c r="P27" i="3" s="1"/>
  <c r="L22" i="3"/>
  <c r="L23" i="3" s="1"/>
  <c r="L24" i="3" s="1"/>
  <c r="L27" i="3" s="1"/>
  <c r="G22" i="3"/>
  <c r="I6" i="3"/>
  <c r="I17" i="3" s="1"/>
  <c r="J22" i="3"/>
  <c r="B6" i="13" s="1"/>
  <c r="D6" i="13"/>
  <c r="G13" i="6" s="1"/>
  <c r="D13" i="19" s="1"/>
  <c r="H12" i="6"/>
  <c r="F12" i="6"/>
  <c r="T27" i="3"/>
  <c r="J23" i="6"/>
  <c r="G7" i="13"/>
  <c r="N24" i="3"/>
  <c r="N27" i="3" s="1"/>
  <c r="G12" i="6"/>
  <c r="D16" i="12"/>
  <c r="E14" i="19"/>
  <c r="O24" i="3"/>
  <c r="O27" i="3" s="1"/>
  <c r="C14" i="19"/>
  <c r="Q24" i="3"/>
  <c r="Q27" i="3" s="1"/>
  <c r="D14" i="19"/>
  <c r="M24" i="3"/>
  <c r="M27" i="3" s="1"/>
  <c r="L13" i="21"/>
  <c r="K12" i="10"/>
  <c r="K25" i="10" s="1"/>
  <c r="H6" i="13"/>
  <c r="F12" i="19"/>
  <c r="F17" i="19" s="1"/>
  <c r="F85" i="16"/>
  <c r="J85" i="16" s="1"/>
  <c r="D12" i="12"/>
  <c r="E6" i="13" l="1"/>
  <c r="H13" i="6" s="1"/>
  <c r="E13" i="19" s="1"/>
  <c r="E12" i="19" s="1"/>
  <c r="E17" i="19" s="1"/>
  <c r="C6" i="13"/>
  <c r="R23" i="3"/>
  <c r="R24" i="3" s="1"/>
  <c r="F7" i="13" s="1"/>
  <c r="I7" i="8"/>
  <c r="E9" i="13"/>
  <c r="D9" i="13"/>
  <c r="G11" i="6"/>
  <c r="G23" i="6" s="1"/>
  <c r="D7" i="13"/>
  <c r="H11" i="6"/>
  <c r="H23" i="6" s="1"/>
  <c r="E7" i="13"/>
  <c r="C9" i="13"/>
  <c r="C7" i="13"/>
  <c r="F11" i="10" s="1"/>
  <c r="G13" i="21" s="1"/>
  <c r="G26" i="21" s="1"/>
  <c r="I18" i="8"/>
  <c r="C34" i="19"/>
  <c r="K24" i="10"/>
  <c r="L26" i="21"/>
  <c r="L14" i="21"/>
  <c r="L27" i="21" s="1"/>
  <c r="K8" i="6"/>
  <c r="K21" i="6" s="1"/>
  <c r="G12" i="19"/>
  <c r="G17" i="19" s="1"/>
  <c r="I23" i="6" l="1"/>
  <c r="R27" i="3"/>
  <c r="I8" i="6"/>
  <c r="I21" i="6" s="1"/>
  <c r="I9" i="13"/>
  <c r="H11" i="10"/>
  <c r="I13" i="21" s="1"/>
  <c r="I26" i="21" s="1"/>
  <c r="G8" i="6"/>
  <c r="G21" i="6" s="1"/>
  <c r="G11" i="10"/>
  <c r="G24" i="10" s="1"/>
  <c r="J13" i="21"/>
  <c r="I24" i="10"/>
  <c r="I12" i="10"/>
  <c r="I25" i="10" s="1"/>
  <c r="F24" i="10"/>
  <c r="F12" i="10"/>
  <c r="F25" i="10" s="1"/>
  <c r="G14" i="21"/>
  <c r="G27" i="21" s="1"/>
  <c r="AE12" i="6"/>
  <c r="J8" i="6"/>
  <c r="J21" i="6" s="1"/>
  <c r="K13" i="21"/>
  <c r="J24" i="10"/>
  <c r="J12" i="10"/>
  <c r="J25" i="10" s="1"/>
  <c r="F26" i="19"/>
  <c r="F24" i="19" s="1"/>
  <c r="F28" i="19" s="1"/>
  <c r="H26" i="19"/>
  <c r="H24" i="19" s="1"/>
  <c r="H28" i="19" s="1"/>
  <c r="J26" i="19"/>
  <c r="J24" i="19" s="1"/>
  <c r="J28" i="19" s="1"/>
  <c r="L26" i="19"/>
  <c r="L24" i="19" s="1"/>
  <c r="L28" i="19" s="1"/>
  <c r="N26" i="19"/>
  <c r="N24" i="19" s="1"/>
  <c r="N28" i="19" s="1"/>
  <c r="P26" i="19"/>
  <c r="P24" i="19" s="1"/>
  <c r="P28" i="19" s="1"/>
  <c r="R26" i="19"/>
  <c r="R24" i="19" s="1"/>
  <c r="R28" i="19" s="1"/>
  <c r="T26" i="19"/>
  <c r="T24" i="19" s="1"/>
  <c r="T28" i="19" s="1"/>
  <c r="V26" i="19"/>
  <c r="V24" i="19" s="1"/>
  <c r="V28" i="19" s="1"/>
  <c r="X26" i="19"/>
  <c r="X24" i="19" s="1"/>
  <c r="X28" i="19" s="1"/>
  <c r="Z26" i="19"/>
  <c r="Z24" i="19" s="1"/>
  <c r="Z28" i="19" s="1"/>
  <c r="AB26" i="19"/>
  <c r="C26" i="19"/>
  <c r="E26" i="19"/>
  <c r="E24" i="19" s="1"/>
  <c r="E28" i="19" s="1"/>
  <c r="G26" i="19"/>
  <c r="G24" i="19" s="1"/>
  <c r="G28" i="19" s="1"/>
  <c r="I26" i="19"/>
  <c r="I24" i="19" s="1"/>
  <c r="I28" i="19" s="1"/>
  <c r="K26" i="19"/>
  <c r="K24" i="19" s="1"/>
  <c r="K28" i="19" s="1"/>
  <c r="M26" i="19"/>
  <c r="M24" i="19" s="1"/>
  <c r="M28" i="19" s="1"/>
  <c r="O26" i="19"/>
  <c r="O24" i="19" s="1"/>
  <c r="O28" i="19" s="1"/>
  <c r="Q26" i="19"/>
  <c r="Q24" i="19" s="1"/>
  <c r="Q28" i="19" s="1"/>
  <c r="S26" i="19"/>
  <c r="S24" i="19" s="1"/>
  <c r="S28" i="19" s="1"/>
  <c r="U26" i="19"/>
  <c r="U24" i="19" s="1"/>
  <c r="U28" i="19" s="1"/>
  <c r="W26" i="19"/>
  <c r="W24" i="19" s="1"/>
  <c r="W28" i="19" s="1"/>
  <c r="Y26" i="19"/>
  <c r="Y24" i="19" s="1"/>
  <c r="Y28" i="19" s="1"/>
  <c r="AA26" i="19"/>
  <c r="AA24" i="19" s="1"/>
  <c r="AA28" i="19" s="1"/>
  <c r="AA32" i="19" s="1"/>
  <c r="D26" i="19"/>
  <c r="D24" i="19" s="1"/>
  <c r="D28" i="19" s="1"/>
  <c r="H12" i="19"/>
  <c r="H17" i="19" s="1"/>
  <c r="H8" i="6"/>
  <c r="H21" i="6" s="1"/>
  <c r="D12" i="19"/>
  <c r="D17" i="19" s="1"/>
  <c r="I14" i="21" l="1"/>
  <c r="I27" i="21" s="1"/>
  <c r="H12" i="10"/>
  <c r="H25" i="10" s="1"/>
  <c r="H24" i="10"/>
  <c r="AE24" i="10" s="1"/>
  <c r="I35" i="10" s="1"/>
  <c r="H13" i="21"/>
  <c r="H26" i="21" s="1"/>
  <c r="G12" i="10"/>
  <c r="G25" i="10" s="1"/>
  <c r="AE11" i="10"/>
  <c r="G35" i="10" s="1"/>
  <c r="J14" i="21"/>
  <c r="J27" i="21" s="1"/>
  <c r="J26" i="21"/>
  <c r="W32" i="19"/>
  <c r="X5" i="19" s="1"/>
  <c r="X7" i="19" s="1"/>
  <c r="X18" i="19" s="1"/>
  <c r="S32" i="19"/>
  <c r="T5" i="19" s="1"/>
  <c r="T7" i="19" s="1"/>
  <c r="T18" i="19" s="1"/>
  <c r="O32" i="19"/>
  <c r="P5" i="19" s="1"/>
  <c r="P7" i="19" s="1"/>
  <c r="P18" i="19" s="1"/>
  <c r="K32" i="19"/>
  <c r="L5" i="19" s="1"/>
  <c r="L7" i="19" s="1"/>
  <c r="L18" i="19" s="1"/>
  <c r="G32" i="19"/>
  <c r="H5" i="19" s="1"/>
  <c r="H7" i="19" s="1"/>
  <c r="H18" i="19" s="1"/>
  <c r="Z32" i="19"/>
  <c r="AA5" i="19" s="1"/>
  <c r="AA7" i="19" s="1"/>
  <c r="AA18" i="19" s="1"/>
  <c r="V32" i="19"/>
  <c r="W5" i="19" s="1"/>
  <c r="W7" i="19" s="1"/>
  <c r="W18" i="19" s="1"/>
  <c r="R32" i="19"/>
  <c r="S5" i="19" s="1"/>
  <c r="S7" i="19" s="1"/>
  <c r="S18" i="19" s="1"/>
  <c r="N32" i="19"/>
  <c r="O5" i="19" s="1"/>
  <c r="O7" i="19" s="1"/>
  <c r="O18" i="19" s="1"/>
  <c r="J32" i="19"/>
  <c r="K5" i="19" s="1"/>
  <c r="K7" i="19" s="1"/>
  <c r="K18" i="19" s="1"/>
  <c r="F32" i="19"/>
  <c r="G5" i="19" s="1"/>
  <c r="G7" i="19" s="1"/>
  <c r="G18" i="19" s="1"/>
  <c r="D32" i="19"/>
  <c r="E5" i="19" s="1"/>
  <c r="E7" i="19" s="1"/>
  <c r="E18" i="19" s="1"/>
  <c r="Y32" i="19"/>
  <c r="Z5" i="19" s="1"/>
  <c r="Z7" i="19" s="1"/>
  <c r="Z18" i="19" s="1"/>
  <c r="U32" i="19"/>
  <c r="V5" i="19" s="1"/>
  <c r="V7" i="19" s="1"/>
  <c r="V18" i="19" s="1"/>
  <c r="Q32" i="19"/>
  <c r="R5" i="19" s="1"/>
  <c r="R7" i="19" s="1"/>
  <c r="R18" i="19" s="1"/>
  <c r="M32" i="19"/>
  <c r="N5" i="19" s="1"/>
  <c r="N7" i="19" s="1"/>
  <c r="N18" i="19" s="1"/>
  <c r="I32" i="19"/>
  <c r="J5" i="19" s="1"/>
  <c r="J7" i="19" s="1"/>
  <c r="J18" i="19" s="1"/>
  <c r="E32" i="19"/>
  <c r="F5" i="19" s="1"/>
  <c r="F7" i="19" s="1"/>
  <c r="F18" i="19" s="1"/>
  <c r="X32" i="19"/>
  <c r="Y5" i="19" s="1"/>
  <c r="Y7" i="19" s="1"/>
  <c r="Y18" i="19" s="1"/>
  <c r="T32" i="19"/>
  <c r="U5" i="19" s="1"/>
  <c r="U7" i="19" s="1"/>
  <c r="U18" i="19" s="1"/>
  <c r="P32" i="19"/>
  <c r="Q5" i="19" s="1"/>
  <c r="Q7" i="19" s="1"/>
  <c r="Q18" i="19" s="1"/>
  <c r="L32" i="19"/>
  <c r="M5" i="19" s="1"/>
  <c r="M7" i="19" s="1"/>
  <c r="M18" i="19" s="1"/>
  <c r="H32" i="19"/>
  <c r="I5" i="19" s="1"/>
  <c r="I7" i="19" s="1"/>
  <c r="I18" i="19" s="1"/>
  <c r="K14" i="21"/>
  <c r="K26" i="21"/>
  <c r="C7" i="19"/>
  <c r="C24" i="19"/>
  <c r="AE25" i="10" l="1"/>
  <c r="I36" i="10" s="1"/>
  <c r="G39" i="10" s="1"/>
  <c r="F42" i="21" s="1"/>
  <c r="AE12" i="10"/>
  <c r="G36" i="10" s="1"/>
  <c r="AF13" i="21"/>
  <c r="H37" i="21" s="1"/>
  <c r="H14" i="21"/>
  <c r="H27" i="21" s="1"/>
  <c r="AF26" i="21"/>
  <c r="J37" i="21" s="1"/>
  <c r="G40" i="10"/>
  <c r="E30" i="14" s="1"/>
  <c r="K27" i="21"/>
  <c r="C28" i="19"/>
  <c r="C32" i="19" s="1"/>
  <c r="AB24" i="19"/>
  <c r="E31" i="14" l="1"/>
  <c r="AF14" i="21"/>
  <c r="H38" i="21" s="1"/>
  <c r="AF27" i="21"/>
  <c r="J38" i="21" s="1"/>
  <c r="H42" i="21" s="1"/>
  <c r="J42" i="21" s="1"/>
  <c r="AB28" i="19"/>
  <c r="D5" i="19" l="1"/>
  <c r="AB32" i="19"/>
  <c r="D7" i="19" l="1"/>
  <c r="AB5" i="19"/>
  <c r="AB7" i="19" l="1"/>
  <c r="D18" i="19"/>
  <c r="D27" i="4" l="1"/>
  <c r="D44" i="5"/>
  <c r="D26" i="4" l="1"/>
  <c r="D26" i="5" s="1"/>
  <c r="D20" i="4"/>
  <c r="D27" i="5"/>
  <c r="D84" i="5" l="1"/>
  <c r="D81" i="5"/>
  <c r="D80" i="5"/>
  <c r="D20" i="5" l="1"/>
  <c r="D14" i="5" s="1"/>
  <c r="D64" i="5" s="1"/>
  <c r="D14" i="4"/>
  <c r="D56" i="4" s="1"/>
  <c r="F13" i="6"/>
  <c r="J23" i="3"/>
  <c r="I23" i="3" s="1"/>
  <c r="I24" i="3" s="1"/>
  <c r="I22" i="3"/>
  <c r="I6" i="13" l="1"/>
  <c r="J6" i="13" s="1"/>
  <c r="J24" i="3"/>
  <c r="B7" i="13" s="1"/>
  <c r="I7" i="13" s="1"/>
  <c r="J7" i="13" s="1"/>
  <c r="C13" i="19"/>
  <c r="AE13" i="6"/>
  <c r="F11" i="6" l="1"/>
  <c r="F23" i="6" s="1"/>
  <c r="J27" i="3"/>
  <c r="C12" i="19"/>
  <c r="AB13" i="19"/>
  <c r="F8" i="6" l="1"/>
  <c r="F21" i="6" s="1"/>
  <c r="AE11" i="6"/>
  <c r="AE8" i="6" s="1"/>
  <c r="AE21" i="6" s="1"/>
  <c r="AB12" i="19"/>
  <c r="C17" i="19"/>
  <c r="AB17" i="19" l="1"/>
  <c r="C18" i="19"/>
  <c r="C19" i="19" l="1"/>
  <c r="AB18" i="19"/>
  <c r="D19" i="19" l="1"/>
  <c r="E19" i="19" s="1"/>
  <c r="F19" i="19" s="1"/>
  <c r="G19" i="19" s="1"/>
  <c r="H19" i="19" s="1"/>
  <c r="I19" i="19" s="1"/>
  <c r="J19" i="19" s="1"/>
  <c r="K19" i="19" s="1"/>
  <c r="L19" i="19" s="1"/>
  <c r="M19" i="19" s="1"/>
  <c r="N19" i="19" s="1"/>
  <c r="O19" i="19" s="1"/>
  <c r="P19" i="19" s="1"/>
  <c r="Q19" i="19" s="1"/>
  <c r="R19" i="19" s="1"/>
  <c r="S19" i="19" s="1"/>
  <c r="T19" i="19" s="1"/>
  <c r="U19" i="19" s="1"/>
  <c r="V19" i="19" s="1"/>
  <c r="W19" i="19" s="1"/>
  <c r="X19" i="19" s="1"/>
  <c r="Y19" i="19" s="1"/>
  <c r="Z19" i="19" s="1"/>
  <c r="AA19" i="19" s="1"/>
  <c r="D15" i="12" l="1"/>
  <c r="AB19" i="19"/>
</calcChain>
</file>

<file path=xl/sharedStrings.xml><?xml version="1.0" encoding="utf-8"?>
<sst xmlns="http://schemas.openxmlformats.org/spreadsheetml/2006/main" count="1430" uniqueCount="614">
  <si>
    <t>Izvēlieties datumu!</t>
  </si>
  <si>
    <t>Izvēlieties mēnesi!</t>
  </si>
  <si>
    <t>Izvēlieties gadu!</t>
  </si>
  <si>
    <t>Janvāris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</si>
  <si>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</si>
  <si>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</si>
  <si>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</si>
  <si>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</si>
  <si>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</si>
  <si>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</si>
  <si>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</si>
  <si>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</si>
  <si>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</si>
  <si>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</si>
  <si>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25 gadi</t>
  </si>
  <si>
    <t>Nr.</t>
  </si>
  <si>
    <t>Izmaksu pozīcijas nosaukums</t>
  </si>
  <si>
    <t>Kopējā summa</t>
  </si>
  <si>
    <t>Izmaksas kopā</t>
  </si>
  <si>
    <t>Projekta netiešās izmaksas kopā:</t>
  </si>
  <si>
    <t>EUR</t>
  </si>
  <si>
    <t>%</t>
  </si>
  <si>
    <t>attiecināmas</t>
  </si>
  <si>
    <t>neattiecināmas</t>
  </si>
  <si>
    <t>attiecināmas izmaksas</t>
  </si>
  <si>
    <t>neattiecināmas izmaksas</t>
  </si>
  <si>
    <t>1.</t>
  </si>
  <si>
    <t>1.1.</t>
  </si>
  <si>
    <t>1.2.</t>
  </si>
  <si>
    <t>2.</t>
  </si>
  <si>
    <t>3.</t>
  </si>
  <si>
    <t>3.1.</t>
  </si>
  <si>
    <t>3.2.</t>
  </si>
  <si>
    <t>MK noteikumu punkts</t>
  </si>
  <si>
    <t>4.</t>
  </si>
  <si>
    <t>5.</t>
  </si>
  <si>
    <t>6.</t>
  </si>
  <si>
    <t>7.</t>
  </si>
  <si>
    <t>Projekta maksimālais īstenošanas laiks</t>
  </si>
  <si>
    <t>Gads</t>
  </si>
  <si>
    <t>Kopā</t>
  </si>
  <si>
    <t>Naudas plūsmas pozīcijas</t>
  </si>
  <si>
    <t>1.2.1.</t>
  </si>
  <si>
    <t>1.2.2.</t>
  </si>
  <si>
    <t>1.2.3.</t>
  </si>
  <si>
    <t>1.2.4.</t>
  </si>
  <si>
    <t>Pēdējais gads pirms projekta uzsākšanas</t>
  </si>
  <si>
    <t>Mērvienības</t>
  </si>
  <si>
    <t>t</t>
  </si>
  <si>
    <t>3. Investīciju naudas plūsmas aprēķins ar projektu</t>
  </si>
  <si>
    <t>Izdevumi bez projekta (-)</t>
  </si>
  <si>
    <t>2.1.</t>
  </si>
  <si>
    <t>2.2.</t>
  </si>
  <si>
    <t>2.3.</t>
  </si>
  <si>
    <t>2.4.</t>
  </si>
  <si>
    <t>2.5.</t>
  </si>
  <si>
    <t>2.6.</t>
  </si>
  <si>
    <t>Ēkas un būves</t>
  </si>
  <si>
    <t>Iekārtas un mašīnas</t>
  </si>
  <si>
    <t>Nemateriālie ieguldījumi</t>
  </si>
  <si>
    <t>Citi pamatlīdzekļi</t>
  </si>
  <si>
    <t>Esošo pamatlīdzekļu kopējā vērtība</t>
  </si>
  <si>
    <t>Esošo pamatlīdzekļu kopējais nolietojums</t>
  </si>
  <si>
    <t>Investīciju izmaksu nolietojuma aprēķins  - EUR, faktiskajās cenās</t>
  </si>
  <si>
    <t xml:space="preserve">    Sākotnējā vērtība</t>
  </si>
  <si>
    <t xml:space="preserve">    Nolietojums gadā</t>
  </si>
  <si>
    <t xml:space="preserve">    Nolietojums uzkrājošā formā</t>
  </si>
  <si>
    <t xml:space="preserve">    Atlikuma vērtība</t>
  </si>
  <si>
    <t>3.1.1.</t>
  </si>
  <si>
    <t>Investīciju izmaksas bez neparedzētajām izmaksām</t>
  </si>
  <si>
    <t xml:space="preserve">Neparedzētās izmaksas </t>
  </si>
  <si>
    <t>3.2.1.</t>
  </si>
  <si>
    <t>Neparedzētās izmaksas</t>
  </si>
  <si>
    <t>Projekta atlikusī vērtība (+)</t>
  </si>
  <si>
    <t>4.1.</t>
  </si>
  <si>
    <t>Projekta atlikusī vērtība</t>
  </si>
  <si>
    <t>DARBA LAPA Nr.4</t>
  </si>
  <si>
    <t>1. Kopējie ieņēmumi (+):</t>
  </si>
  <si>
    <t>Projekta ieņēmumi</t>
  </si>
  <si>
    <t>Aizņēmuma pamatsummas saņemšana</t>
  </si>
  <si>
    <t>1.3.</t>
  </si>
  <si>
    <t>1.5.</t>
  </si>
  <si>
    <t>1.6.</t>
  </si>
  <si>
    <t>2. Kopējās izmaksas (-):</t>
  </si>
  <si>
    <t>"Ar projektu" darbības izmaksas</t>
  </si>
  <si>
    <t>Investīciju izmaksas</t>
  </si>
  <si>
    <t>Finansēšanas izmaksas</t>
  </si>
  <si>
    <t>Aizņēmuma pamatsummas atmaksa</t>
  </si>
  <si>
    <t>Aizņēmuma procentu atmaksa</t>
  </si>
  <si>
    <t>Neto naudas plūsma</t>
  </si>
  <si>
    <t>Gadi</t>
  </si>
  <si>
    <t>4. Aizņēmumu atmaksas grafiks - EUR, faktiskajās cenās</t>
  </si>
  <si>
    <t>Aizņēmums attiecināmo un neattiecināmo izmaksu segšanai</t>
  </si>
  <si>
    <t>Procentu likme</t>
  </si>
  <si>
    <t>Aizņēmuma pamatsumma</t>
  </si>
  <si>
    <t>Kopā maksājumi</t>
  </si>
  <si>
    <t>Procentu atmaksa</t>
  </si>
  <si>
    <t>Pamatsummas atmaksa</t>
  </si>
  <si>
    <t>Maksājumu bilance</t>
  </si>
  <si>
    <t>4.2.</t>
  </si>
  <si>
    <t>4.3.</t>
  </si>
  <si>
    <t>4.4.</t>
  </si>
  <si>
    <t>4.5.</t>
  </si>
  <si>
    <t>Pamatlīdzekļu nodošana ekspluatācijā gads:</t>
  </si>
  <si>
    <t>DARBA LAPA Nr.6</t>
  </si>
  <si>
    <t>JUTĪGUMA ANALĪZE INVESTĪCIJU NAUDAS PLŪSMAI</t>
  </si>
  <si>
    <t xml:space="preserve">Naudas plūsmas pozīcijas </t>
  </si>
  <si>
    <t>Citi ieņēmumi</t>
  </si>
  <si>
    <t>Projekta darbības izmaksas</t>
  </si>
  <si>
    <t>Diskontēšana</t>
  </si>
  <si>
    <t>Reālā finansiālā diskonta likme</t>
  </si>
  <si>
    <t>Projekta dzīves cikls</t>
  </si>
  <si>
    <t>gadi</t>
  </si>
  <si>
    <t>Diskonta faktors</t>
  </si>
  <si>
    <t>faktors</t>
  </si>
  <si>
    <t>Diskontētie projekta ieņēmumi</t>
  </si>
  <si>
    <t>Diskontētās ietaupītās izmaksas</t>
  </si>
  <si>
    <t>Diskontētās projekta darbības izmaksas</t>
  </si>
  <si>
    <t>Diskontētās investīciju izmaksas</t>
  </si>
  <si>
    <t>Diskontētā projekta atlikusī vērtība</t>
  </si>
  <si>
    <t>Diskontētā neto naudas plūsma</t>
  </si>
  <si>
    <t>Pieņēmumu definēšana finanšu analīzes veikšanai</t>
  </si>
  <si>
    <t>Nediskontēti</t>
  </si>
  <si>
    <t>Diskontēti</t>
  </si>
  <si>
    <t>3.3.</t>
  </si>
  <si>
    <t>3.4.</t>
  </si>
  <si>
    <t>3.5.</t>
  </si>
  <si>
    <t>Rādītāju aprēķināšana</t>
  </si>
  <si>
    <t>Vērtība bez mainīgā izmaiņām</t>
  </si>
  <si>
    <t>Vērtība pēc mainīgā izmaiņām</t>
  </si>
  <si>
    <t>Novirze</t>
  </si>
  <si>
    <t>Finansiālais investīciju neto tagadnes ienesīgums (FNPV/C)</t>
  </si>
  <si>
    <t>kopā</t>
  </si>
  <si>
    <t>Jūtīgo mainīgo elastības pārbaude, %
(0% atbilst bāzes vērtībai)</t>
  </si>
  <si>
    <t>ALTERNATĪVU ANALĪZE</t>
  </si>
  <si>
    <t>„ar projektu”</t>
  </si>
  <si>
    <t>Darbības izmaksas</t>
  </si>
  <si>
    <t>Ieņēmumi</t>
  </si>
  <si>
    <t>„bez projekta”</t>
  </si>
  <si>
    <t>Projekta (papildus) izmaksu naudas plūsma</t>
  </si>
  <si>
    <t>KAPITĀLA NAUDAS PLŪSMA</t>
  </si>
  <si>
    <t>Projekta  ieņēmumi</t>
  </si>
  <si>
    <t>1.4.</t>
  </si>
  <si>
    <t>Aizņēmuma pamatsumma un procenti</t>
  </si>
  <si>
    <t xml:space="preserve">Projektā ieguldītais kapitāls </t>
  </si>
  <si>
    <t>1.7.</t>
  </si>
  <si>
    <t>LVL</t>
  </si>
  <si>
    <t>Diskontētā atlikusī vērtība</t>
  </si>
  <si>
    <t>Diskontētās finansēšanas izmaksas</t>
  </si>
  <si>
    <t>Diskontētā aizņēmuma pamatsumma un procenti</t>
  </si>
  <si>
    <t>Diskontētais ieguldītais kapitāls</t>
  </si>
  <si>
    <t>2.7.</t>
  </si>
  <si>
    <t>Ietaupītās izmaksas</t>
  </si>
  <si>
    <t>3.6.</t>
  </si>
  <si>
    <t>3.7.</t>
  </si>
  <si>
    <t>Finansiālais kapitāla neto tagadnes ienesīgums (FNPVk)</t>
  </si>
  <si>
    <t>Finanšu iekšējā kapitāla peļņas norma (FRRk)</t>
  </si>
  <si>
    <t>INVESTĪCIJU NAUDAS PLŪSMA</t>
  </si>
  <si>
    <t>1.3.1.</t>
  </si>
  <si>
    <t>Investīciju izmaksas bez neparedzētajiem izdevumiem</t>
  </si>
  <si>
    <t>2.3.1.</t>
  </si>
  <si>
    <t>Diskontētās investīciju izmaksas bez neparedzētajiem izdevumiem</t>
  </si>
  <si>
    <t>Neto ieņēmumi (DNR) &gt;0</t>
  </si>
  <si>
    <t>neto ieņēmumi (DNR)≤0</t>
  </si>
  <si>
    <t>Finansiālais investīciju neto tagadnes ienesīgums (FNPVc)</t>
  </si>
  <si>
    <t>Finanšu iekšējā investīciju peļņas norma (FRRc)</t>
  </si>
  <si>
    <t>Neto ieņēmumi (DNR)</t>
  </si>
  <si>
    <t>PIV 2.pielikums</t>
  </si>
  <si>
    <t>Finansējuma avots</t>
  </si>
  <si>
    <t>Summa</t>
  </si>
  <si>
    <t>Kopējās attiecināmās izmaksas</t>
  </si>
  <si>
    <t>Neattiecināmās izmaksas kopā</t>
  </si>
  <si>
    <t>Kopējās izmaksas</t>
  </si>
  <si>
    <t>PIV 4.pielikums</t>
  </si>
  <si>
    <t>I. Finanšu analīze</t>
  </si>
  <si>
    <r>
      <t xml:space="preserve">2. Galvenie elementi un parametri, ko izmanto IIA finanšu analīzei (visiem skaitļiem jāatbilst IIA dokumentam. IIA jāveic </t>
    </r>
    <r>
      <rPr>
        <b/>
        <i/>
        <sz val="10"/>
        <rFont val="Calibri"/>
        <family val="2"/>
        <charset val="186"/>
        <scheme val="minor"/>
      </rPr>
      <t>euro</t>
    </r>
    <r>
      <rPr>
        <b/>
        <sz val="10"/>
        <rFont val="Calibri"/>
        <family val="2"/>
        <charset val="186"/>
        <scheme val="minor"/>
      </rPr>
      <t>)</t>
    </r>
  </si>
  <si>
    <t>Galvenie elementi un parametri</t>
  </si>
  <si>
    <t>Vērtība</t>
  </si>
  <si>
    <t xml:space="preserve">Diskontēta vērtība </t>
  </si>
  <si>
    <t>Atsauce uz IIA dokumentu</t>
  </si>
  <si>
    <t>*(nodaļa / sadaļa / lapa)*</t>
  </si>
  <si>
    <t>Pārskata periods (gadi)</t>
  </si>
  <si>
    <t>Finanšu diskonta likme (%) (saskaņā ar FM vadlīnijām)</t>
  </si>
  <si>
    <t>Atlikusī vērtība (EUR)</t>
  </si>
  <si>
    <t>Ieņēmumi (EUR)</t>
  </si>
  <si>
    <t>* Ja PVN ir atgūstams, izmaksas un ieņēmumus būtu jārēķina bez PVN.</t>
  </si>
  <si>
    <t>2.1. Aizpilda tikai kopējas regulas Regula Nr. 1303/2013 61.panta 3.daļas b).punktā noteiktajā gadījumā un ievērojot citus 61.pantā noteiktus nosacījumus.</t>
  </si>
  <si>
    <t>Nediskontēta vērtība</t>
  </si>
  <si>
    <t xml:space="preserve"> = (5) -(6) +(4)</t>
  </si>
  <si>
    <t xml:space="preserve"> = (3) -(7)</t>
  </si>
  <si>
    <t>Pro - rata bez diskontētiem neto ieņēmumiem (%)</t>
  </si>
  <si>
    <t xml:space="preserve"> = (8) / (3)</t>
  </si>
  <si>
    <t>Projekta iesnieguma koriģēta lidzfinansējuma likme</t>
  </si>
  <si>
    <t>3. Finanšu analīzes galvenie rādītāji saskaņā ar IIA dokumentu</t>
  </si>
  <si>
    <t>Bez Savienības atbalsta</t>
  </si>
  <si>
    <t>A</t>
  </si>
  <si>
    <t>B</t>
  </si>
  <si>
    <t>Finanšu atdeves likme (%)</t>
  </si>
  <si>
    <t>FRR ( C)</t>
  </si>
  <si>
    <t>FRR(K)</t>
  </si>
  <si>
    <t>Neto pašreizējā vērtība</t>
  </si>
  <si>
    <t>FNPV(C)</t>
  </si>
  <si>
    <t>FNPV(K)</t>
  </si>
  <si>
    <t>Ieņēmumus gūst(2) vai negūst(1)?</t>
  </si>
  <si>
    <t>1.2.3.1.</t>
  </si>
  <si>
    <t>1.2.3.2.</t>
  </si>
  <si>
    <t>Jā</t>
  </si>
  <si>
    <t>Kopā pašvaldības ilgtermiņa saistības</t>
  </si>
  <si>
    <t>Pašvaldības aizņēmumu saraksts</t>
  </si>
  <si>
    <t>Pašvaldības galvojumu saraksts</t>
  </si>
  <si>
    <t>Pašvaldības budžeta ieņēmumi</t>
  </si>
  <si>
    <t>Lūdzu ievadīt pašvaldības aizņēmumu un galvojumus norādot saistības un to apjomu pa gadiem. Nepieciešamības gadījumā ievietojiet rindas.</t>
  </si>
  <si>
    <t>Saistību apjoms pret pamatbudžeta ieņēmumiem</t>
  </si>
  <si>
    <t>2. Informācija par aprēķinu procesu</t>
  </si>
  <si>
    <t>Aprēķinos jāizmanto papildus izmaksu metode</t>
  </si>
  <si>
    <t>1) Projekta (papildus) ieņēmumi = AR projektu ieņēmumi - BEZ projekta ieņēmumi</t>
  </si>
  <si>
    <t>2) Projekta (papildus) izmaksas (+) vai Ietaupītās izmaksas (-) = AR projektu izmaksas - BEZ projekta izmaksas</t>
  </si>
  <si>
    <t xml:space="preserve">3) Investīcijas = AR projektu investīcijas </t>
  </si>
  <si>
    <t>3. Izmaksu un ieguvumu analīzes saturs</t>
  </si>
  <si>
    <t>Nosaukums</t>
  </si>
  <si>
    <t>Ieņēmumus gūstošs projekts</t>
  </si>
  <si>
    <t>Ieņēmumus negūstošs projekts</t>
  </si>
  <si>
    <t>Paskaidrojums</t>
  </si>
  <si>
    <t>Darba lapas (DL)</t>
  </si>
  <si>
    <t>Aizpilda projekta iesniedzējs, rediģējamas šūnas</t>
  </si>
  <si>
    <t>2. Investīciju naudas plūsmas aprēķins bez projekta</t>
  </si>
  <si>
    <t>4. Finansiālā ilgtspēja</t>
  </si>
  <si>
    <t>Aprēķinu lapas (AL)</t>
  </si>
  <si>
    <t>Tiek veikti aprēķini ar jau savadītām formulām, projekta iesniedzējs datus neievada</t>
  </si>
  <si>
    <t>Rezultātu lapas (RL)</t>
  </si>
  <si>
    <t>Kontroles lapas</t>
  </si>
  <si>
    <t>Tiek kontrolēta kritēriju izpilde. Informatīva lapa finansējuma saņēmējam</t>
  </si>
  <si>
    <t>Projekta iesnieguma veidlapas tabulas (PIV)</t>
  </si>
  <si>
    <t>Kopējamas PIV formā</t>
  </si>
  <si>
    <t>Apzīmējumi:</t>
  </si>
  <si>
    <t>Norāda uz lapām, kurās ir jāpilda dati</t>
  </si>
  <si>
    <t>Dati jāievada projekta iesniedzējam</t>
  </si>
  <si>
    <t>Dati tiek aprēķināti automātiski</t>
  </si>
  <si>
    <t>Projekta iesniedzējs ir PVN maksātājs</t>
  </si>
  <si>
    <t>PVN</t>
  </si>
  <si>
    <t>Projekta izmaksu ierobežojumu kontrole</t>
  </si>
  <si>
    <t>Pārbaude</t>
  </si>
  <si>
    <t>Specifiskā atbalsta mērķa pasākuma nosaukums un Nr.</t>
  </si>
  <si>
    <t>5.1.</t>
  </si>
  <si>
    <t>5.2.</t>
  </si>
  <si>
    <t>Max kredīta apjoms</t>
  </si>
  <si>
    <t xml:space="preserve"> = MK noteikta SAM līdzfinansējuma likme * (9)</t>
  </si>
  <si>
    <t>projektu līdzfinansē ar kredītu (jā 2 un nē 1)</t>
  </si>
  <si>
    <t>2.1.1.</t>
  </si>
  <si>
    <t>2.1.2.</t>
  </si>
  <si>
    <t>2.1.3.</t>
  </si>
  <si>
    <t>2.1.4.</t>
  </si>
  <si>
    <t>2.1.5.</t>
  </si>
  <si>
    <t>2.1.6.</t>
  </si>
  <si>
    <t>2.4.1.</t>
  </si>
  <si>
    <t>2.4.2.</t>
  </si>
  <si>
    <t>2.4.3.</t>
  </si>
  <si>
    <t>2.4.4.</t>
  </si>
  <si>
    <t>2.4.5.</t>
  </si>
  <si>
    <t>Pārējās  izmaksas</t>
  </si>
  <si>
    <t>2.3.4.</t>
  </si>
  <si>
    <t>2.3.2.</t>
  </si>
  <si>
    <t>2.3.3.</t>
  </si>
  <si>
    <t>Investīciju izmaksu kopējais nolietojums, EUR</t>
  </si>
  <si>
    <t>Projekta iesniedzēja pašu finansējums</t>
  </si>
  <si>
    <t>Kopējais investīciju izmaksas attiecināmajās izmaksās, izņemot neparedzētus izdevumus (EUR)</t>
  </si>
  <si>
    <t>Attiecināmās investīciju izmaksas bez neparedzētajiem izdevumiem</t>
  </si>
  <si>
    <t>1.3.1.1.</t>
  </si>
  <si>
    <t>2.3.1.1.</t>
  </si>
  <si>
    <t>Attiecināmās diskontētās investīciju izmaksas bez neparedzētajiem izdevumiem</t>
  </si>
  <si>
    <t>PROJEKTA FINANSIĀLĀ ILGTSPĒJA</t>
  </si>
  <si>
    <t>DARBA LAPA Nr.5</t>
  </si>
  <si>
    <t>SOCIĀLEKONOMISKĀS ANALĪZES  IEGUVUMI UN ZAUDĒJUMI</t>
  </si>
  <si>
    <t>gads</t>
  </si>
  <si>
    <t>Ieguvums ...</t>
  </si>
  <si>
    <t>1.8.</t>
  </si>
  <si>
    <t>1.9.</t>
  </si>
  <si>
    <t>Zaudējumi...</t>
  </si>
  <si>
    <t>2.8.</t>
  </si>
  <si>
    <t>2.9.</t>
  </si>
  <si>
    <t>Dati darba spēka izmaksām un citām fiskālajām korekcijām</t>
  </si>
  <si>
    <t xml:space="preserve">Projekta plānotie darbības rezultāti </t>
  </si>
  <si>
    <t>DARBA LAPA Nr.7</t>
  </si>
  <si>
    <t>JUTĪGUMA ANALĪZE SOCIĀLEKONOMISKAJAI ANALĪZEI</t>
  </si>
  <si>
    <t>Sociālekonomiskie ieguvumi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</si>
  <si>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</si>
  <si>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</si>
  <si>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</si>
  <si>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</si>
  <si>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</si>
  <si>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</si>
  <si>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</si>
  <si>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</si>
  <si>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</si>
  <si>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1.2.5.</t>
  </si>
  <si>
    <t>1.2.6.</t>
  </si>
  <si>
    <t>Finanšu ieņēmumi un sociālekonomiskie ieguvumi</t>
  </si>
  <si>
    <t>Sociālekonomiskie zaudējumi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</si>
  <si>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</si>
  <si>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</si>
  <si>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</si>
  <si>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</si>
  <si>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</si>
  <si>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</si>
  <si>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</si>
  <si>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</si>
  <si>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1.5.9.</t>
  </si>
  <si>
    <t>1.6.1.</t>
  </si>
  <si>
    <t>1.6.2.</t>
  </si>
  <si>
    <t>1.6.3.</t>
  </si>
  <si>
    <t>1.7.1.</t>
  </si>
  <si>
    <t>1.7.1.1.</t>
  </si>
  <si>
    <t>1.7.2.</t>
  </si>
  <si>
    <t>Fiskālās korekcijas</t>
  </si>
  <si>
    <t>1.8.1.</t>
  </si>
  <si>
    <t>1.8.2.</t>
  </si>
  <si>
    <t>1.8.3.</t>
  </si>
  <si>
    <t>Citas fiskālas korekcijas</t>
  </si>
  <si>
    <t>Finanšu un sociālekonomiskās izmaksas</t>
  </si>
  <si>
    <t>1.10.</t>
  </si>
  <si>
    <t>Diskontētie sociālekonomiskie ieguvumi</t>
  </si>
  <si>
    <t>Diskontētie  projekta ieņēmumi</t>
  </si>
  <si>
    <t>Diskontēti finanšu un sociālekonomiskie ieguvumi</t>
  </si>
  <si>
    <t>Diskontēti sociālekonomiskie zaudējumi</t>
  </si>
  <si>
    <t>Diskontētas projekta darbības izmaksas</t>
  </si>
  <si>
    <t>Diskontētas investīciju izmaksas</t>
  </si>
  <si>
    <t>Diskontētas fiskālās korekcijas</t>
  </si>
  <si>
    <t>Diskontētas finanšu un sociālekonomiskās izmaksas</t>
  </si>
  <si>
    <t>2.10.</t>
  </si>
  <si>
    <t>Diskontēta sociālekonomiskā naudas plūsma</t>
  </si>
  <si>
    <t>Finanšu un sociālekonomiskie ieguvumi</t>
  </si>
  <si>
    <t>3.8.</t>
  </si>
  <si>
    <t>3.9.</t>
  </si>
  <si>
    <t>3.10.</t>
  </si>
  <si>
    <t>Sociālekonomiskā naudas plūsma</t>
  </si>
  <si>
    <t>Ekonomiskā neto pašreizējā vērtība (ENPV)</t>
  </si>
  <si>
    <t>Ekonomiskā ienesīguma vērtība (ERR)</t>
  </si>
  <si>
    <t>Ieguvumu un izmaksu attiecība (B/C)</t>
  </si>
  <si>
    <t xml:space="preserve">Sociālekonomiskie zaudējumi </t>
  </si>
  <si>
    <t>Projekta darbības izmaksu darbaspēka izmaksas</t>
  </si>
  <si>
    <t xml:space="preserve">Investīciju darba spēka izmaksas </t>
  </si>
  <si>
    <t>Citas fiskālās korekcijas</t>
  </si>
  <si>
    <t>APRĒĶINU LAPA Nr.9</t>
  </si>
  <si>
    <t>APRĒĶINU LAPA Nr.10</t>
  </si>
  <si>
    <t>SOCIĀLEKONOMISKĀS ANALĪZES APRĒĶINS</t>
  </si>
  <si>
    <t xml:space="preserve">Sociālekonomiskie ieguvumi </t>
  </si>
  <si>
    <t>Finanšu ieguvumi</t>
  </si>
  <si>
    <t>Sociālekonomiskie un finanšu ieguvumi</t>
  </si>
  <si>
    <t>Finanšu izmaksas</t>
  </si>
  <si>
    <t>5.1.1.</t>
  </si>
  <si>
    <t>Darbaspēka izmaksas</t>
  </si>
  <si>
    <t>5.1.2.</t>
  </si>
  <si>
    <t>Citas izmaksas</t>
  </si>
  <si>
    <t>5.2.1.</t>
  </si>
  <si>
    <t>5.2.2.</t>
  </si>
  <si>
    <t xml:space="preserve">Fiskālās korekcijas </t>
  </si>
  <si>
    <t>6.1.</t>
  </si>
  <si>
    <t>Investīciju izmaksu darbaspēka izmaksu fiskālās korekcijas</t>
  </si>
  <si>
    <t>6.2.</t>
  </si>
  <si>
    <t>Projekta darbības izmaksu darbaspēka izmaksu fiskālās korekcijas</t>
  </si>
  <si>
    <t>6.3.</t>
  </si>
  <si>
    <t>VSAOI darba devējam</t>
  </si>
  <si>
    <t>REZULTĀTU LAPA Nr.13</t>
  </si>
  <si>
    <t>SOCIĀLEKONOMISKĀ ANALĪZE</t>
  </si>
  <si>
    <t>Reālā sociālā diskonta likme</t>
  </si>
  <si>
    <t>2.1.7.</t>
  </si>
  <si>
    <t>2.1.8.</t>
  </si>
  <si>
    <t>2.1.9.</t>
  </si>
  <si>
    <t>Diskontētie finanšu ieguvumi</t>
  </si>
  <si>
    <t>Diskontētie sociālekonomiskie un finanšu ieguvumi</t>
  </si>
  <si>
    <t>Diskontētie sociālekonomiskie zaudējumi</t>
  </si>
  <si>
    <t>2.4.6.</t>
  </si>
  <si>
    <t>2.4.7.</t>
  </si>
  <si>
    <t>2.4.8.</t>
  </si>
  <si>
    <t>2.4.9.</t>
  </si>
  <si>
    <t>Diskontētās finanšu izmaksas</t>
  </si>
  <si>
    <t>Diskontētās fiskālās korekcijas</t>
  </si>
  <si>
    <t>Ekonomiskā neto pašreizējā vērtība (ENPV) ir lielāka par nulli</t>
  </si>
  <si>
    <t>Ekonomiskā ienesīguma norma (ERR) ir lielāka par sociālā diskonta likmi (5%)</t>
  </si>
  <si>
    <t>Projekta naudas plūsma ir pozitīva visā projekta dzīves cikla laikā</t>
  </si>
  <si>
    <t>Attiecināmās izmaksas = Kopējas investīciju attiecināmās izmaksas (EUR, diskontētas) - neto ieņēmumi (EUR, diskontēta)</t>
  </si>
  <si>
    <t>Neto ieņēmumi = ieņēmumi (EUR, diskontēti) - darbības izmaksas (EUR, diskontētas) + atlikusī vērtība (EUR, diskontēta)</t>
  </si>
  <si>
    <t>PROJEKTA IESNIEDZĒJA NAUDAS PLŪSMA, EUR</t>
  </si>
  <si>
    <t>Saimnieciskās darbības naudas plūsma</t>
  </si>
  <si>
    <t>Peļņa vai zaudējumi pirms nodokļiem</t>
  </si>
  <si>
    <t>Saimnieciskās darbības rezultāts</t>
  </si>
  <si>
    <t>Investīciju darbības naudas plūsma</t>
  </si>
  <si>
    <t>Investīcijas pamatlīdzekļos</t>
  </si>
  <si>
    <t>Investīciju darbības rezultāts</t>
  </si>
  <si>
    <t>Finansiālās darbības naudas plūsma</t>
  </si>
  <si>
    <t>Kopā finanšu avoti:</t>
  </si>
  <si>
    <t>Aizņēmums</t>
  </si>
  <si>
    <t>Aizņēmumu atmaksa</t>
  </si>
  <si>
    <t>Finansiālās darbības rezultāts</t>
  </si>
  <si>
    <t>Naudas un tās ekvivalentu izmaiņas pārskata perioda laikā</t>
  </si>
  <si>
    <t>Naudas un tās atlikumu atlikums pārskata perioda beigās</t>
  </si>
  <si>
    <t xml:space="preserve">Peļņas vai zaudējumu aprēķins - EUR, faktiskajās cenās </t>
  </si>
  <si>
    <t>Saimnieciskās pamatdarbības ieņēmumi</t>
  </si>
  <si>
    <t>Saimnieciskās pamatdarbības izdevumi</t>
  </si>
  <si>
    <t>Faktiskā ES atbalsta likme no attiecināmajām izmaksām, %</t>
  </si>
  <si>
    <t>DARBA LAPA Nr.8</t>
  </si>
  <si>
    <t>APRĒĶINU LAPA Nr.11</t>
  </si>
  <si>
    <t>REZULTĀTU LAPA Nr.14</t>
  </si>
  <si>
    <t>5. Projekta iesniedzēja naudas plūsma</t>
  </si>
  <si>
    <t>6. Sociālekonomiskās analīzes ieguvumi un zaudējumi</t>
  </si>
  <si>
    <t>7. Jūtīguma analīze investīciju naudas plūsmai</t>
  </si>
  <si>
    <t>Ar Savienības atbalstu</t>
  </si>
  <si>
    <t>Ekonomisko ieguvumu un izmaksu attiecība ir lielāka par 1</t>
  </si>
  <si>
    <t>REZULTĀTU LAPA Nr.15</t>
  </si>
  <si>
    <t>Privātās neattiecināmās izmaksas</t>
  </si>
  <si>
    <t>Privātās attiecināmās izmaksas</t>
  </si>
  <si>
    <t>JUTĪGUMA ANALĪZE KAPITĀLA NAUDAS PLŪSMAI</t>
  </si>
  <si>
    <t>10. AL Budžets</t>
  </si>
  <si>
    <t xml:space="preserve"> Procentu maksājumi </t>
  </si>
  <si>
    <t>Saimnieciskās pamatdarbības rezultāts</t>
  </si>
  <si>
    <t xml:space="preserve"> Nolietojums</t>
  </si>
  <si>
    <t>Izmaksu un ieguvumu analīzes galvenie rezultāti</t>
  </si>
  <si>
    <t>Ierobežojuma veids</t>
  </si>
  <si>
    <t>MK not. punkts</t>
  </si>
  <si>
    <t>Neparedzētie izdevumi</t>
  </si>
  <si>
    <t>Projekta iesnieguma sagatavošanas izmaksas</t>
  </si>
  <si>
    <t>Izmaksas, kas radušās uz darba līguma pamata</t>
  </si>
  <si>
    <t xml:space="preserve">1.Budžets </t>
  </si>
  <si>
    <t>9. Jūtīguma analīze kapitāla naudas plūsmai</t>
  </si>
  <si>
    <t>10. AL budžets kopā</t>
  </si>
  <si>
    <t>11. Alternatīvu analīze</t>
  </si>
  <si>
    <t>12. Sociālekonomiskās analīzes aprēķins</t>
  </si>
  <si>
    <t>13. Kapitāla naudas plūsma</t>
  </si>
  <si>
    <t>APRĒĶINU LAPA Nr.12</t>
  </si>
  <si>
    <t>DARBA LAPA Nr.3</t>
  </si>
  <si>
    <t>3. INVESTĪCIJU NAUDAS PLŪSMAS APRĒĶINS AR PROJEKTU</t>
  </si>
  <si>
    <t>DARBA LAPA Nr.2</t>
  </si>
  <si>
    <t>2. INVESTĪCIJU NAUDAS PLŪSMAS APRĒĶINS  BEZ PROJEKTA</t>
  </si>
  <si>
    <t>DARBA LAPA Nr.1</t>
  </si>
  <si>
    <t>PROJEKTA BUDŽETS</t>
  </si>
  <si>
    <t>Titullapa</t>
  </si>
  <si>
    <t>1: Dati par projektu</t>
  </si>
  <si>
    <t>Galvenie rezultātu dati no aprēķinu lapām, formulas visu sarēķina, projekta iesniedzējs datus neievada. Minētais nosacījums neattiecas uz Rezultātu lapu Nr.14</t>
  </si>
  <si>
    <t>Būvdarbu izmaksas</t>
  </si>
  <si>
    <t>2.1.10.</t>
  </si>
  <si>
    <t>1.2.7.</t>
  </si>
  <si>
    <t>1.2.8.</t>
  </si>
  <si>
    <t>1.2.9.</t>
  </si>
  <si>
    <t>1.2.10.</t>
  </si>
  <si>
    <t>% no attiecināmajām izmaksām</t>
  </si>
  <si>
    <t>Projekta iesniedzējs (kapitālsabiedrība(2) pārējie (1))</t>
  </si>
  <si>
    <t>Izvēlieties variantu!</t>
  </si>
  <si>
    <t>Nē</t>
  </si>
  <si>
    <t>27.1.</t>
  </si>
  <si>
    <t>Būvprojekta izstrādes izmaksas, būvuzraudzības un autoruzraudzības izmaksas</t>
  </si>
  <si>
    <t>27.2.</t>
  </si>
  <si>
    <t>27.3.</t>
  </si>
  <si>
    <t>Traktortehnikas iegādes izmaksas</t>
  </si>
  <si>
    <t>Tehnoloģisko iekārtu iegādes, uzstādīšanas un ieregulēšanas izmaksas</t>
  </si>
  <si>
    <t>26.</t>
  </si>
  <si>
    <t>29.1.</t>
  </si>
  <si>
    <t>Izmaksas, kas šo noteikumu 27.punktā nav noteiktas kā attiecināmas</t>
  </si>
  <si>
    <t>29.2.</t>
  </si>
  <si>
    <t>8.</t>
  </si>
  <si>
    <t>29.3.</t>
  </si>
  <si>
    <t>27.4.; 29.1.</t>
  </si>
  <si>
    <t>9.</t>
  </si>
  <si>
    <t>29.6.</t>
  </si>
  <si>
    <t>Iekārtu iegādes, kas atkritumu pārstrādes procesā radīto gāzi pārveido siltumenerģijā un elektroenerģijā, izmaksas</t>
  </si>
  <si>
    <t>10.</t>
  </si>
  <si>
    <t>30.</t>
  </si>
  <si>
    <t>Atkritumu pārstrādes jaudas pieaugums katrā gadā pēc projekta īstenošanas</t>
  </si>
  <si>
    <t>Februāris</t>
  </si>
  <si>
    <t>27.4.</t>
  </si>
  <si>
    <t>Paskaidrojumi:</t>
  </si>
  <si>
    <t>Iepriekšējo gadu uzkrātā peļņa vai zaudējumi</t>
  </si>
  <si>
    <t>Lūdzu norādiet prognozi, pie kuras korekti aprēķinās iekšējā kapitāla peļņas norma</t>
  </si>
  <si>
    <t>Ja šūnā G40 neaprēķina rezultātu, izklājlapas "7.DL Jūtīguma analīze_Invest" šūnā K53 norādiet aptuveno rezultāta prognozi, līdz aprēķins tiek veikts korekti</t>
  </si>
  <si>
    <t>Ja šūnā F37 neaprēķina rezultātu, izklājlapas "7.DL Jūtīguma analīze_Invest" šūnā K53 norādiet aptuveno rezultāta prognozi, līdz aprēķins tiek veikts korekti</t>
  </si>
  <si>
    <t>Ja šūnā G59 neaprēķina rezultātu, izklājlapas "7.DL Jūtīguma analīze_Invest" šūnā K53 norādiet aptuveno rezultāta prognozi, līdz aprēķins tiek veikts korekti</t>
  </si>
  <si>
    <t>no biogāzes tirdzniecības</t>
  </si>
  <si>
    <t>no elektroenerģijas tirdzniecības</t>
  </si>
  <si>
    <t xml:space="preserve">no siltumenerģijas tirdzniecības </t>
  </si>
  <si>
    <t>no zemes, ēku un tehnoloģisko iekārtu izmantošanas</t>
  </si>
  <si>
    <t>no nošķiroto, reģenerējamo sadzīves atkritumu tirdzniecības</t>
  </si>
  <si>
    <t>Izdevumi, kas rodas saistībā ar sadzīves atkritumu apglabāšanas pakalpojumu sniegšanu</t>
  </si>
  <si>
    <t>Personāla izmaksas</t>
  </si>
  <si>
    <t>darba samaksa</t>
  </si>
  <si>
    <t>sociālās apdrošināšanas izmaksas</t>
  </si>
  <si>
    <t>2.1.11.</t>
  </si>
  <si>
    <t>2.1.12.</t>
  </si>
  <si>
    <t>Nodokļu maksājumi:</t>
  </si>
  <si>
    <t>nekustamā īpašuma nodoklis</t>
  </si>
  <si>
    <t>uzņēmuma ienākuma nodoklis</t>
  </si>
  <si>
    <t>rentabilitātes %</t>
  </si>
  <si>
    <t>Izmaksas vides stāvokļa kontrolei un aizsardzībai poligona darbības laikā</t>
  </si>
  <si>
    <t>Sadzīves atkritumos konstatēto bīstamo atkritumu apsaimniekošanas un nodošanas izmaksas</t>
  </si>
  <si>
    <t>Sabiedrības izglītošanas pasākumu izdevumi</t>
  </si>
  <si>
    <t>Pētniecības un attīstības darbības izmaksas</t>
  </si>
  <si>
    <t>Poligona slēgšanas un rekultivācijas izmaksas un izmaksas, kas saistītas ar slēgtā poligona monitoringu un uzturēšanu</t>
  </si>
  <si>
    <t>Administrācijas izmaksas, kas nav iekļautas citos izmaksu posteņos</t>
  </si>
  <si>
    <t>Nodevu maksājumi</t>
  </si>
  <si>
    <t>Pārējās izmaksas</t>
  </si>
  <si>
    <t>Rentabilitāte</t>
  </si>
  <si>
    <t>Esošo pamatlīdzekļu, kurus izmanto sadzīves atkritumu apglabāšanas pakalpojumu sniegšanā, vērtība</t>
  </si>
  <si>
    <t>Esošo pamatlīdzekļu, kurus izmanto sadzīves atkritumu apglabāšanas pakalpojumu sniegšanā, nolietojums (amortizācija)</t>
  </si>
  <si>
    <t>Sadzīves atkritumu apglabāšanas pakalpojuma tarifs</t>
  </si>
  <si>
    <t>Reģenerējamo sadzīves atkritumu sagatavošanas tirdzniecībai izmaksas</t>
  </si>
  <si>
    <t>Ekspluatācijas, remontu un uzturēšanas izmaksas transportlīdzekļiem, iekārtām, mehānismiem un būvēm, kā arī izmaksas materiāliem sadzīves atkritumu apglabāšanas pakalpojumu nodrošināšanai (t.sk. noma)</t>
  </si>
  <si>
    <t>Ekspluatācijas, remontu un uzturēšanas izmaksas transportlīdzekļiem, iekārtām, mehānismiem un būvēm, kā arī izmaksas materiāliem citu (izņemot sadzīves atkritumu apglabāšanas) pakalpojumu nodrošināšanai (t.sk. noma)</t>
  </si>
  <si>
    <t>Pārējās personāla izmaksas</t>
  </si>
  <si>
    <t>Pārējās saimnieciskās darbības izmaksas, kas nav saistītas ar sadzīves atkritumu apglabāšanas pakalpojumu sniegšanu</t>
  </si>
  <si>
    <t>Administrācijas izmaksas, kas nav iekļautas citos izmaksu 2.3. budžeta posteņos</t>
  </si>
  <si>
    <t>2.3.5.</t>
  </si>
  <si>
    <t>Nodokļu un nodevu maksājumi</t>
  </si>
  <si>
    <t>Sadzīves atkritumu apglabāšanas komponente</t>
  </si>
  <si>
    <t>DRN starpības komponente</t>
  </si>
  <si>
    <t>dabas resursu nodoklis (DRN) par piesārņojošu vielu emisiju vidē</t>
  </si>
  <si>
    <t>EUR/t</t>
  </si>
  <si>
    <t>Sadzīves atkritumu apglabāšanas tarifs bez DRN</t>
  </si>
  <si>
    <t>DRN likme saskaņā ar Dabas resursu nodokļa likumu</t>
  </si>
  <si>
    <t>Izdevumi ar projektu</t>
  </si>
  <si>
    <t>1.1. Projekta iesniedzējs (MK not.12.punkts):</t>
  </si>
  <si>
    <t>Projekta iesniedzējs (MK 12.punkts)</t>
  </si>
  <si>
    <t>Projekta iesniedzējs (MK 12.1.punkts)</t>
  </si>
  <si>
    <t>1.2. Projekta iesniedzējs (MK not.12.prim punkts):</t>
  </si>
  <si>
    <t>Ir sadzīves atkritumu apglabāšanas sabiedriskā pakalpojuma sniedzējs</t>
  </si>
  <si>
    <t>Publiska privāta kapitālsabiedrība</t>
  </si>
  <si>
    <t>Pašvaldības kapitālsabiedrība</t>
  </si>
  <si>
    <t>11.</t>
  </si>
  <si>
    <t>Publicitātes izdevumi</t>
  </si>
  <si>
    <t>Projekta investīcijas bez PVN:</t>
  </si>
  <si>
    <t xml:space="preserve">1.3. Projekta iesniedzēja nosaukums: </t>
  </si>
  <si>
    <t>1.4. Projekta nosaukums:</t>
  </si>
  <si>
    <t>1.5. Projekta iesniegšanas laiks:</t>
  </si>
  <si>
    <t>1.6. Projekta sākuma laiks:</t>
  </si>
  <si>
    <t xml:space="preserve">1.7. Projekta noslēguma laiks: </t>
  </si>
  <si>
    <t>1.8. Projekta maksimālais īstenošanas laiks:</t>
  </si>
  <si>
    <t>1.9. Pamatlīdzekļu nodošana ekspluatācijā gads:</t>
  </si>
  <si>
    <t>1.10. Projekta pārskata periods:</t>
  </si>
  <si>
    <t>Projekta izmaksu kontroles lapa Nr.16</t>
  </si>
  <si>
    <t>14. Investīciju naudas plūsma</t>
  </si>
  <si>
    <t>15. Sociālekonomiskās analīze</t>
  </si>
  <si>
    <t>16. Kontroles lapa</t>
  </si>
  <si>
    <t>17. PIV 2.Pielikums Finansēšanas plāns</t>
  </si>
  <si>
    <t>18. PIV 4.Pielikums: I. Finanšu analīze</t>
  </si>
  <si>
    <t>Projektam ir nepieciešams Kohēzijas fonda līdzfinansējums (1.23.kritērijs)</t>
  </si>
  <si>
    <t>3.DL  invest.n.pl.AR pr.;    14.RL Investīciju naudas plūsma</t>
  </si>
  <si>
    <t>14. RL Investīciju naudas plūsma</t>
  </si>
  <si>
    <t xml:space="preserve"> 14. RL Investīciju naudas plūsma</t>
  </si>
  <si>
    <t>13.RL Kapitāla naudas plūsma;
14.RL Investīciju naudas plūsma</t>
  </si>
  <si>
    <t>Pašu līdzekļi</t>
  </si>
  <si>
    <t>Projekta iesniedzēja līdzfinansējuma daļa, EUR (pa gadiem)</t>
  </si>
  <si>
    <t>Pašvaldības līdzfinansējums</t>
  </si>
  <si>
    <t>Aizņēmums un pašu līdzekļi</t>
  </si>
  <si>
    <t>Bezcerīgo debitoru parādi</t>
  </si>
  <si>
    <t>Budžets kopā</t>
  </si>
  <si>
    <t>FINANSĒŠANAS PLĀNS</t>
  </si>
  <si>
    <t>no sadzīves atkritumu apglabāšanas pakalpojuma</t>
  </si>
  <si>
    <t>Sadzīves atkritumu daudzums, kuru plānots pieņemt poligonā kārtējā gadā</t>
  </si>
  <si>
    <t>Sadzīves atkritumu daudzums, kuru plānots apglabāt poligonā kārtējā gadā</t>
  </si>
  <si>
    <t>27.6.</t>
  </si>
  <si>
    <t>Jutīgo mainīgo elastības pārbaude, %
(0% atbilst bāzes vērtībai)</t>
  </si>
  <si>
    <t>Projekta iesniedzēja finansējums, ieskaitot pašvaldības līdzfinansējuma daļu, kas tiek ieguldīts projekta iesniedzēja pamatkapitālā, EUR (pa gadiem)</t>
  </si>
  <si>
    <t>Pašvaldības līdzfinansējuma daļa, kas tiek ieguldīta projekta iesniedzēja pamatkapitālā, EUR (pa gadiem)</t>
  </si>
  <si>
    <t xml:space="preserve">Kontrolei: </t>
  </si>
  <si>
    <t>Kontrole Ieņēmumu 1.2.pozīcijai:</t>
  </si>
  <si>
    <t>Darbības un aizstāšanas izmaksas (EUR) atbilstoši Eiropas Komisijas 2014.gada 3.marta deleģētās regulas Nr. 480/2014 17.pantam</t>
  </si>
  <si>
    <t>Ienākumi BEZ projekta (+)</t>
  </si>
  <si>
    <t>Ienākumi AR projektu (+)</t>
  </si>
  <si>
    <t>1.11. Trešās atlases kārtas otrā uzsaukuma ietvaros pieejamais finansējums:</t>
  </si>
  <si>
    <t>aerobo bioloģiski noārdāmo atkritumu pārstrādes iekārtu izveidei</t>
  </si>
  <si>
    <t>anaerobo bioloģiski norādārmo atkritumu pārstrādes iekārtu izveidei</t>
  </si>
  <si>
    <t>1.13. Vai projektu līdzfinansēs ar kredītu?</t>
  </si>
  <si>
    <t>1.14. Ja uz 1.13.jautājumu atbildējāt ar "Jā", lūdzu norādiet kredīta apjomu, EUR:</t>
  </si>
  <si>
    <t>1.15. Ja uz 1.13.jautājumu atbildējāt ar "Jā", lūdzu, norādiet kredīta atmaksas termiņu, gados:</t>
  </si>
  <si>
    <t>1.16. Ja uz 1.13.jautājumu atbildējāt "Jā", lūdzu, norādiet kredīta procentus, %:</t>
  </si>
  <si>
    <t>1.17. Projekta veids 
*tiek atspoguļots pēc 2.dl. un 3. dl aizpildīšanas*:</t>
  </si>
  <si>
    <t>1.18. Lūdzu norādiet procentuāli kādu daļu no pamatlīdzekļu nolietojuma (amortizācijas) iekļaujiet sadzīves atkritumu apglabāšanas pakalpojuma tarifā šobrīd</t>
  </si>
  <si>
    <t>1.19. Lūdzu norādiet procentuāli kādu daļu no pamatlīdzekļu nolietojuma (amortizācijas) iekļaujiet sadzīves atkritumu apglabāšanas pakalpojuma tarifā pēc projekta īstenošanas</t>
  </si>
  <si>
    <t xml:space="preserve">1.20. Lūdzu norādiet reālo finansiālo diskonta likmi atbilstoši FM mājas lapā publicētajiem aktuālajiem datiem: </t>
  </si>
  <si>
    <t xml:space="preserve">1.21. Lūdzu norādiet reālo sociālo diskonta likmi atbilstoši FM mājas lapā publicētajiem aktuālajiem datiem: </t>
  </si>
  <si>
    <t>1.22. Lūdzu norādiet projekta iesniedzēja peļņu, kas paredzēta novirzīt uzņēmuma attīstībai, vai zaudējumu  par gadu pirms projekta sākšanas, EUR</t>
  </si>
  <si>
    <t>1.23. Lūdzu norādiet projekta iesniedzēja naudas līdzekļu atlikumu, kas norādīts projekta iesniedzēja grāmatvedībā, uz projekta īstenošanas gada sākumu, EUR</t>
  </si>
  <si>
    <t>1.24. Lūdzu norādiet projekta iesniedzēja bezcerīgo debitoru parāda īpatsvaru gadā, %</t>
  </si>
  <si>
    <t>1.25. Lūdzu norādiet, vai esiet PVN maksātājs</t>
  </si>
  <si>
    <t>1.26. Ja uz 1.13.jautājumu sniedzāt atbildi "Jā", vai pašvaldība galvos aizņēmumu?</t>
  </si>
  <si>
    <t>1.27. Vai pašvaldība līdzfinansēs projekta īstenošanu , ieguldot projekta iesniedzēja pamatkapitālā?</t>
  </si>
  <si>
    <t xml:space="preserve">1.28. Ja pašvaldība līdzfinansē projektu, lūdzu norādiet līdzfinansējuma avotu: </t>
  </si>
  <si>
    <t>1.29. Ja uz 1.28.jautājumu sniedzāt atbildi "Aizņēmums", lūdzu norādiet pašvaldības aizņēmuma pamatsummu, kas tiks ieguldīts projekta īstenošanā attiecīgajā gadā, EUR:</t>
  </si>
  <si>
    <t>1.30. Ja uz 1.28.jautājumu sniedzāt atbildi "Pašu līdzekļi", lūdzu norādiet pašvaldības pašu līdzekļus, kas tiks ieguldīti projekta īstenošanā attiecīgajā gadā, EUR:</t>
  </si>
  <si>
    <t>1.31. Ja uz 1.26.jautājumu esiet snieguši atbildi "Jā" un/ vai uz 1.28.jautājumu esiet snieguši atbildi "Aizņēmums", lūdzu norādiet pašvaldības ilgtermiņa saistības, galvojumus un ieņēmumus, EUR:</t>
  </si>
  <si>
    <t>Maksimālais KF</t>
  </si>
  <si>
    <t>no dalīti vāktajiem bioloģiski noārdāmajaiem atkritumiem</t>
  </si>
  <si>
    <t>Dalīti vākto bioloģiski noārdāmo atkritumu daudzums kārtējā gadā</t>
  </si>
  <si>
    <t>1.12. Atbilstoši 1.11.jautājumā sniegtajai atbildei projekta maksimālais pieejamais ERAF finansējums EUR:</t>
  </si>
  <si>
    <t>SIA “Jelgavas komunālie pakalpojumi”</t>
  </si>
  <si>
    <t>SIA “Atkritumu apsaimniekošanas sabiedrība “PIEJŪRA””</t>
  </si>
  <si>
    <t>SIA “Liepājas RAS”</t>
  </si>
  <si>
    <t>13.1.3.2. "Atkritumu atkārtota izmantošana, pārstrāde un reģenerācija"</t>
  </si>
  <si>
    <t>ne ilgāk par 31.12.2023.</t>
  </si>
  <si>
    <t>Ieguldījumi no 01.02.2020. līdz pirmajam projekta īstenošanas gadam</t>
  </si>
  <si>
    <t>Maksimālā ERAF atbalsta likme (%)</t>
  </si>
  <si>
    <t>ERAF finansējums, EUR</t>
  </si>
  <si>
    <t>Izmaksas periodā no 01.02.2020.  līdz pirmajam projekta īstenošanas gadam</t>
  </si>
  <si>
    <t xml:space="preserve">ERAF finansējums, EUR </t>
  </si>
  <si>
    <t>ERAF finansējums pie ierobežota finansējuma, EUR</t>
  </si>
  <si>
    <t>ERAF likme pie ierobežota finansējuma, %</t>
  </si>
  <si>
    <t>ERAF finansējums pie ierobežota finansējuma, EUR ( pa gadiem)</t>
  </si>
  <si>
    <t>ERAF līdzfinansējums</t>
  </si>
  <si>
    <t>Citi ieņēmumi (ERAF finansējums)</t>
  </si>
  <si>
    <t>Neparedzētie izdevumi nepārsniedz 5 % no projekta kopējām attiecināmajām izmaksām</t>
  </si>
  <si>
    <t>Pašvaldības kredītsaistību ikgadējais apjoms nepārsniedz 20 % no pašvaldības ikgadējiem ieņēmumiem</t>
  </si>
  <si>
    <t>Traktortehnikas iegādes izmaksas nepārsniedz 10 % no projekta attiecināmajām izmaksām</t>
  </si>
  <si>
    <t>Būvprojekta izstrādes izmaksas, būvuzraudzības un autoruzraudzības izmaksas nepārsniedz 10 % no būvdarbu līguma summas</t>
  </si>
  <si>
    <t>1.11. 13.1.3.2.pasākuma ietvaros atbalstāmām darbībām pieejamais finansējums:</t>
  </si>
  <si>
    <t>ERAF</t>
  </si>
  <si>
    <t>anaerobo bioloģiski noārdāmo atkritumu pārstrādes iekārtu izveidei</t>
  </si>
  <si>
    <t>8. Jūtīguma analīze sociālekonomiskajai analīzei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</si>
</sst>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dd\ mmm\ yy"/>
    <numFmt numFmtId="165" formatCode="General&quot;.&quot;"/>
    <numFmt numFmtId="166" formatCode="#,##0;\(#,##0\);&quot;0&quot;"/>
    <numFmt numFmtId="167" formatCode="#,##0.0"/>
    <numFmt numFmtId="168" formatCode="\+0.00%;\-0.00%;0%"/>
    <numFmt numFmtId="169" formatCode="0.000"/>
    <numFmt numFmtId="170" formatCode="0.0%"/>
    <numFmt numFmtId="171" formatCode="#,##0.00;\(#,##0.00\);&quot;0&quot;"/>
    <numFmt numFmtId="172" formatCode="0.000000000000000%"/>
    <numFmt numFmtId="173" formatCode="_-* #,##0_-;\-* #,##0_-;_-* &quot;-&quot;??_-;_-@_-"/>
    <numFmt numFmtId="174" formatCode="0.000%"/>
    <numFmt numFmtId="175" formatCode="0.000000"/>
    <numFmt numFmtId="176" formatCode="0.00000000%"/>
  </numFmts>
  <fonts count="4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0"/>
      <color theme="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8"/>
      <name val="Times"/>
      <family val="1"/>
    </font>
    <font>
      <b/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20"/>
      <color theme="0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color indexed="2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b/>
      <sz val="16"/>
      <color rgb="FFFF0000"/>
      <name val="Calibri"/>
      <family val="2"/>
      <charset val="186"/>
      <scheme val="minor"/>
    </font>
    <font>
      <b/>
      <sz val="10"/>
      <color indexed="9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u/>
      <sz val="10"/>
      <color theme="10"/>
      <name val="Calibri"/>
      <family val="2"/>
      <charset val="186"/>
      <scheme val="minor"/>
    </font>
    <font>
      <i/>
      <sz val="10"/>
      <color rgb="FFFF0000"/>
      <name val="Arial"/>
      <family val="2"/>
      <charset val="186"/>
    </font>
    <font>
      <sz val="10"/>
      <name val="Times New Roman"/>
      <family val="1"/>
    </font>
    <font>
      <sz val="10"/>
      <color indexed="8"/>
      <name val="Arial"/>
      <family val="2"/>
      <charset val="186"/>
    </font>
    <font>
      <u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sz val="10"/>
      <color rgb="FFFF0000"/>
      <name val="Lucida Sans"/>
      <family val="2"/>
    </font>
    <font>
      <sz val="10"/>
      <name val="Lucida Sans"/>
      <family val="2"/>
    </font>
    <font>
      <b/>
      <sz val="10"/>
      <color indexed="10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6"/>
      <color theme="1"/>
      <name val="Calibri"/>
      <family val="2"/>
      <charset val="186"/>
      <scheme val="minor"/>
    </font>
    <font>
      <sz val="12"/>
      <color theme="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rgb="FFFFC0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 diagonalUp="1" diagonalDown="1">
      <left/>
      <right/>
      <top style="dashed">
        <color indexed="64"/>
      </top>
      <bottom style="dashed">
        <color indexed="64"/>
      </bottom>
      <diagonal style="dotted">
        <color indexed="64"/>
      </diagonal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dashed">
        <color indexed="64"/>
      </bottom>
      <diagonal style="dott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dashed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ashed">
        <color indexed="64"/>
      </top>
      <bottom style="dashed">
        <color indexed="64"/>
      </bottom>
      <diagonal style="dashed">
        <color indexed="64"/>
      </diagonal>
    </border>
    <border diagonalUp="1" diagonalDown="1">
      <left/>
      <right/>
      <top style="dashed">
        <color indexed="64"/>
      </top>
      <bottom style="dashed">
        <color indexed="64"/>
      </bottom>
      <diagonal style="dashed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dashed">
        <color indexed="64"/>
      </bottom>
      <diagonal style="dotted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7">
    <xf numFmtId="0" fontId="0" fillId="0" borderId="0"/>
    <xf numFmtId="0" fontId="8" fillId="0" borderId="0"/>
    <xf numFmtId="165" fontId="9" fillId="6" borderId="6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4" fillId="17" borderId="65" applyNumberFormat="0" applyFont="0" applyAlignment="0" applyProtection="0"/>
  </cellStyleXfs>
  <cellXfs count="1069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 applyAlignment="1">
      <alignment horizontal="right"/>
    </xf>
    <xf numFmtId="0" fontId="0" fillId="0" borderId="1" xfId="0" applyFont="1" applyBorder="1"/>
    <xf numFmtId="0" fontId="0" fillId="0" borderId="0" xfId="0" applyFont="1"/>
    <xf numFmtId="0" fontId="16" fillId="4" borderId="0" xfId="1" applyFont="1" applyFill="1" applyProtection="1"/>
    <xf numFmtId="0" fontId="4" fillId="4" borderId="0" xfId="1" applyFont="1" applyFill="1" applyProtection="1"/>
    <xf numFmtId="0" fontId="17" fillId="2" borderId="8" xfId="1" applyFont="1" applyFill="1" applyBorder="1" applyProtection="1"/>
    <xf numFmtId="0" fontId="3" fillId="2" borderId="8" xfId="1" applyFont="1" applyFill="1" applyBorder="1" applyProtection="1"/>
    <xf numFmtId="0" fontId="4" fillId="2" borderId="8" xfId="1" applyFont="1" applyFill="1" applyBorder="1" applyProtection="1"/>
    <xf numFmtId="0" fontId="18" fillId="2" borderId="8" xfId="1" applyFont="1" applyFill="1" applyBorder="1" applyProtection="1"/>
    <xf numFmtId="0" fontId="4" fillId="2" borderId="15" xfId="1" applyFont="1" applyFill="1" applyBorder="1" applyProtection="1"/>
    <xf numFmtId="0" fontId="4" fillId="2" borderId="7" xfId="1" applyFont="1" applyFill="1" applyBorder="1" applyProtection="1"/>
    <xf numFmtId="0" fontId="3" fillId="2" borderId="7" xfId="1" applyFont="1" applyFill="1" applyBorder="1" applyProtection="1"/>
    <xf numFmtId="0" fontId="4" fillId="5" borderId="0" xfId="1" applyFont="1" applyFill="1" applyProtection="1"/>
    <xf numFmtId="0" fontId="4" fillId="5" borderId="0" xfId="1" applyFont="1" applyFill="1" applyAlignment="1" applyProtection="1">
      <alignment horizontal="center"/>
    </xf>
    <xf numFmtId="164" fontId="4" fillId="5" borderId="0" xfId="1" applyNumberFormat="1" applyFont="1" applyFill="1" applyProtection="1"/>
    <xf numFmtId="165" fontId="3" fillId="2" borderId="2" xfId="2" applyFont="1" applyFill="1" applyBorder="1" applyProtection="1"/>
    <xf numFmtId="165" fontId="3" fillId="2" borderId="6" xfId="2" applyFont="1" applyFill="1" applyBorder="1" applyProtection="1"/>
    <xf numFmtId="165" fontId="3" fillId="2" borderId="6" xfId="2" applyFont="1" applyFill="1" applyBorder="1" applyAlignment="1" applyProtection="1">
      <alignment horizontal="right"/>
    </xf>
    <xf numFmtId="165" fontId="3" fillId="2" borderId="3" xfId="2" applyFont="1" applyFill="1" applyBorder="1" applyAlignment="1" applyProtection="1">
      <alignment horizontal="right"/>
    </xf>
    <xf numFmtId="0" fontId="3" fillId="2" borderId="0" xfId="1" applyFont="1" applyFill="1" applyBorder="1" applyProtection="1"/>
    <xf numFmtId="0" fontId="4" fillId="5" borderId="0" xfId="1" applyFont="1" applyFill="1" applyBorder="1" applyProtection="1"/>
    <xf numFmtId="0" fontId="4" fillId="0" borderId="0" xfId="1" applyFont="1" applyFill="1" applyBorder="1" applyProtection="1"/>
    <xf numFmtId="0" fontId="3" fillId="5" borderId="0" xfId="1" applyFont="1" applyFill="1" applyBorder="1" applyProtection="1"/>
    <xf numFmtId="165" fontId="3" fillId="2" borderId="7" xfId="2" applyFont="1" applyFill="1" applyBorder="1" applyProtection="1"/>
    <xf numFmtId="165" fontId="3" fillId="2" borderId="7" xfId="2" applyFont="1" applyFill="1" applyBorder="1" applyAlignment="1" applyProtection="1">
      <alignment horizontal="right"/>
    </xf>
    <xf numFmtId="165" fontId="3" fillId="2" borderId="1" xfId="2" applyFont="1" applyFill="1" applyBorder="1" applyAlignment="1" applyProtection="1">
      <alignment horizontal="right"/>
    </xf>
    <xf numFmtId="0" fontId="4" fillId="5" borderId="0" xfId="1" applyFont="1" applyFill="1" applyBorder="1" applyAlignment="1" applyProtection="1">
      <alignment horizontal="center"/>
    </xf>
    <xf numFmtId="0" fontId="4" fillId="4" borderId="0" xfId="1" applyFont="1" applyFill="1" applyBorder="1" applyProtection="1"/>
    <xf numFmtId="0" fontId="6" fillId="4" borderId="0" xfId="1" applyFont="1" applyFill="1" applyProtection="1"/>
    <xf numFmtId="165" fontId="3" fillId="4" borderId="0" xfId="2" applyFont="1" applyFill="1" applyBorder="1" applyProtection="1"/>
    <xf numFmtId="165" fontId="3" fillId="5" borderId="0" xfId="2" applyFont="1" applyFill="1" applyBorder="1" applyProtection="1"/>
    <xf numFmtId="165" fontId="3" fillId="4" borderId="0" xfId="2" applyFont="1" applyFill="1" applyBorder="1" applyAlignment="1" applyProtection="1">
      <alignment horizontal="right"/>
    </xf>
    <xf numFmtId="165" fontId="10" fillId="2" borderId="2" xfId="2" applyFont="1" applyFill="1" applyBorder="1" applyProtection="1"/>
    <xf numFmtId="165" fontId="10" fillId="2" borderId="6" xfId="2" applyFont="1" applyFill="1" applyBorder="1" applyProtection="1"/>
    <xf numFmtId="165" fontId="10" fillId="2" borderId="6" xfId="2" applyFont="1" applyFill="1" applyBorder="1" applyAlignment="1" applyProtection="1">
      <alignment horizontal="right"/>
    </xf>
    <xf numFmtId="165" fontId="10" fillId="2" borderId="3" xfId="2" applyFont="1" applyFill="1" applyBorder="1" applyAlignment="1" applyProtection="1">
      <alignment horizontal="right"/>
    </xf>
    <xf numFmtId="165" fontId="10" fillId="5" borderId="0" xfId="2" applyFont="1" applyFill="1" applyBorder="1" applyProtection="1"/>
    <xf numFmtId="168" fontId="4" fillId="11" borderId="1" xfId="1" applyNumberFormat="1" applyFont="1" applyFill="1" applyBorder="1" applyProtection="1">
      <protection locked="0"/>
    </xf>
    <xf numFmtId="168" fontId="3" fillId="11" borderId="1" xfId="1" applyNumberFormat="1" applyFont="1" applyFill="1" applyBorder="1" applyProtection="1">
      <protection locked="0"/>
    </xf>
    <xf numFmtId="0" fontId="4" fillId="4" borderId="0" xfId="1" applyFont="1" applyFill="1" applyAlignment="1" applyProtection="1">
      <alignment horizontal="center"/>
    </xf>
    <xf numFmtId="166" fontId="4" fillId="4" borderId="0" xfId="1" applyNumberFormat="1" applyFont="1" applyFill="1" applyBorder="1" applyProtection="1"/>
    <xf numFmtId="0" fontId="3" fillId="4" borderId="0" xfId="1" applyFont="1" applyFill="1" applyProtection="1"/>
    <xf numFmtId="165" fontId="3" fillId="2" borderId="13" xfId="2" applyFont="1" applyFill="1" applyBorder="1" applyProtection="1"/>
    <xf numFmtId="165" fontId="3" fillId="2" borderId="8" xfId="2" applyFont="1" applyFill="1" applyBorder="1" applyProtection="1"/>
    <xf numFmtId="165" fontId="3" fillId="2" borderId="9" xfId="2" applyFont="1" applyFill="1" applyBorder="1" applyProtection="1"/>
    <xf numFmtId="1" fontId="4" fillId="2" borderId="13" xfId="1" applyNumberFormat="1" applyFont="1" applyFill="1" applyBorder="1" applyAlignment="1" applyProtection="1">
      <alignment horizontal="center" vertical="center"/>
    </xf>
    <xf numFmtId="1" fontId="4" fillId="2" borderId="8" xfId="1" applyNumberFormat="1" applyFont="1" applyFill="1" applyBorder="1" applyAlignment="1" applyProtection="1">
      <alignment horizontal="center" vertical="center"/>
    </xf>
    <xf numFmtId="165" fontId="3" fillId="2" borderId="15" xfId="2" applyFont="1" applyFill="1" applyBorder="1" applyProtection="1"/>
    <xf numFmtId="165" fontId="3" fillId="2" borderId="11" xfId="2" applyFont="1" applyFill="1" applyBorder="1" applyProtection="1"/>
    <xf numFmtId="165" fontId="3" fillId="4" borderId="13" xfId="2" applyFont="1" applyFill="1" applyBorder="1" applyProtection="1"/>
    <xf numFmtId="165" fontId="3" fillId="4" borderId="8" xfId="2" applyFont="1" applyFill="1" applyBorder="1" applyProtection="1"/>
    <xf numFmtId="165" fontId="3" fillId="4" borderId="14" xfId="2" applyFont="1" applyFill="1" applyBorder="1" applyProtection="1"/>
    <xf numFmtId="165" fontId="3" fillId="4" borderId="15" xfId="2" applyFont="1" applyFill="1" applyBorder="1" applyProtection="1"/>
    <xf numFmtId="165" fontId="3" fillId="4" borderId="7" xfId="2" applyFont="1" applyFill="1" applyBorder="1" applyProtection="1"/>
    <xf numFmtId="0" fontId="4" fillId="4" borderId="7" xfId="1" applyFont="1" applyFill="1" applyBorder="1" applyProtection="1"/>
    <xf numFmtId="0" fontId="4" fillId="4" borderId="15" xfId="1" applyFont="1" applyFill="1" applyBorder="1" applyAlignment="1" applyProtection="1">
      <alignment horizontal="center" wrapText="1"/>
    </xf>
    <xf numFmtId="0" fontId="4" fillId="4" borderId="7" xfId="1" applyFont="1" applyFill="1" applyBorder="1" applyAlignment="1" applyProtection="1">
      <alignment horizontal="center" wrapText="1"/>
    </xf>
    <xf numFmtId="0" fontId="17" fillId="4" borderId="7" xfId="1" applyFont="1" applyFill="1" applyBorder="1" applyProtection="1"/>
    <xf numFmtId="0" fontId="4" fillId="4" borderId="14" xfId="1" applyFont="1" applyFill="1" applyBorder="1" applyAlignment="1" applyProtection="1">
      <alignment horizontal="left" wrapText="1"/>
    </xf>
    <xf numFmtId="0" fontId="4" fillId="4" borderId="0" xfId="1" applyFont="1" applyFill="1" applyBorder="1" applyAlignment="1" applyProtection="1">
      <alignment horizontal="left" wrapText="1"/>
    </xf>
    <xf numFmtId="166" fontId="3" fillId="4" borderId="0" xfId="1" applyNumberFormat="1" applyFont="1" applyFill="1" applyProtection="1"/>
    <xf numFmtId="166" fontId="3" fillId="4" borderId="0" xfId="1" applyNumberFormat="1" applyFont="1" applyFill="1" applyBorder="1" applyProtection="1"/>
    <xf numFmtId="0" fontId="3" fillId="4" borderId="0" xfId="1" applyFont="1" applyFill="1" applyBorder="1" applyProtection="1"/>
    <xf numFmtId="0" fontId="4" fillId="4" borderId="14" xfId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left"/>
    </xf>
    <xf numFmtId="0" fontId="4" fillId="4" borderId="15" xfId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horizontal="center"/>
    </xf>
    <xf numFmtId="166" fontId="4" fillId="4" borderId="0" xfId="1" applyNumberFormat="1" applyFont="1" applyFill="1" applyProtection="1"/>
    <xf numFmtId="165" fontId="3" fillId="4" borderId="6" xfId="2" applyFont="1" applyFill="1" applyBorder="1" applyProtection="1"/>
    <xf numFmtId="165" fontId="3" fillId="4" borderId="6" xfId="2" applyFont="1" applyFill="1" applyBorder="1" applyAlignment="1" applyProtection="1">
      <alignment horizontal="right"/>
    </xf>
    <xf numFmtId="165" fontId="3" fillId="2" borderId="3" xfId="2" applyFont="1" applyFill="1" applyBorder="1" applyProtection="1"/>
    <xf numFmtId="169" fontId="4" fillId="2" borderId="0" xfId="1" applyNumberFormat="1" applyFont="1" applyFill="1" applyBorder="1" applyAlignment="1" applyProtection="1">
      <alignment horizontal="center" vertical="center"/>
    </xf>
    <xf numFmtId="1" fontId="4" fillId="2" borderId="9" xfId="1" applyNumberFormat="1" applyFont="1" applyFill="1" applyBorder="1" applyAlignment="1" applyProtection="1">
      <alignment horizontal="center" vertical="center"/>
    </xf>
    <xf numFmtId="4" fontId="4" fillId="4" borderId="14" xfId="1" applyNumberFormat="1" applyFont="1" applyFill="1" applyBorder="1" applyProtection="1"/>
    <xf numFmtId="4" fontId="4" fillId="4" borderId="0" xfId="1" applyNumberFormat="1" applyFont="1" applyFill="1" applyBorder="1" applyProtection="1"/>
    <xf numFmtId="4" fontId="4" fillId="4" borderId="15" xfId="1" applyNumberFormat="1" applyFont="1" applyFill="1" applyBorder="1" applyProtection="1"/>
    <xf numFmtId="4" fontId="4" fillId="4" borderId="7" xfId="1" applyNumberFormat="1" applyFont="1" applyFill="1" applyBorder="1" applyProtection="1"/>
    <xf numFmtId="169" fontId="4" fillId="2" borderId="10" xfId="1" applyNumberFormat="1" applyFont="1" applyFill="1" applyBorder="1" applyAlignment="1" applyProtection="1">
      <alignment horizontal="center" vertical="center"/>
    </xf>
    <xf numFmtId="0" fontId="4" fillId="2" borderId="13" xfId="1" applyFont="1" applyFill="1" applyBorder="1" applyProtection="1"/>
    <xf numFmtId="0" fontId="4" fillId="2" borderId="8" xfId="1" applyFont="1" applyFill="1" applyBorder="1" applyAlignment="1" applyProtection="1">
      <alignment horizontal="right"/>
    </xf>
    <xf numFmtId="0" fontId="3" fillId="2" borderId="9" xfId="1" applyFont="1" applyFill="1" applyBorder="1" applyAlignment="1" applyProtection="1">
      <alignment horizontal="center"/>
    </xf>
    <xf numFmtId="164" fontId="4" fillId="5" borderId="0" xfId="1" applyNumberFormat="1" applyFont="1" applyFill="1" applyBorder="1" applyProtection="1"/>
    <xf numFmtId="0" fontId="4" fillId="2" borderId="7" xfId="1" applyFont="1" applyFill="1" applyBorder="1" applyAlignment="1" applyProtection="1">
      <alignment horizontal="right"/>
    </xf>
    <xf numFmtId="164" fontId="4" fillId="4" borderId="0" xfId="1" applyNumberFormat="1" applyFont="1" applyFill="1" applyProtection="1"/>
    <xf numFmtId="164" fontId="4" fillId="4" borderId="0" xfId="1" applyNumberFormat="1" applyFont="1" applyFill="1" applyBorder="1" applyProtection="1"/>
    <xf numFmtId="0" fontId="4" fillId="4" borderId="13" xfId="1" applyFont="1" applyFill="1" applyBorder="1" applyProtection="1"/>
    <xf numFmtId="0" fontId="4" fillId="4" borderId="8" xfId="1" applyFont="1" applyFill="1" applyBorder="1" applyProtection="1"/>
    <xf numFmtId="0" fontId="4" fillId="4" borderId="9" xfId="1" applyFont="1" applyFill="1" applyBorder="1" applyAlignment="1" applyProtection="1">
      <alignment horizontal="center"/>
    </xf>
    <xf numFmtId="0" fontId="4" fillId="4" borderId="14" xfId="1" applyFont="1" applyFill="1" applyBorder="1" applyProtection="1"/>
    <xf numFmtId="0" fontId="4" fillId="4" borderId="10" xfId="1" applyFont="1" applyFill="1" applyBorder="1" applyAlignment="1" applyProtection="1">
      <alignment horizontal="center"/>
    </xf>
    <xf numFmtId="166" fontId="23" fillId="4" borderId="0" xfId="1" applyNumberFormat="1" applyFont="1" applyFill="1" applyBorder="1" applyProtection="1"/>
    <xf numFmtId="1" fontId="6" fillId="4" borderId="0" xfId="1" applyNumberFormat="1" applyFont="1" applyFill="1" applyBorder="1" applyProtection="1"/>
    <xf numFmtId="1" fontId="4" fillId="2" borderId="8" xfId="1" applyNumberFormat="1" applyFont="1" applyFill="1" applyBorder="1" applyAlignment="1" applyProtection="1">
      <alignment horizontal="left"/>
    </xf>
    <xf numFmtId="0" fontId="4" fillId="2" borderId="9" xfId="1" applyFont="1" applyFill="1" applyBorder="1" applyAlignment="1" applyProtection="1">
      <alignment horizontal="right"/>
    </xf>
    <xf numFmtId="10" fontId="10" fillId="4" borderId="4" xfId="1" applyNumberFormat="1" applyFont="1" applyFill="1" applyBorder="1" applyProtection="1"/>
    <xf numFmtId="2" fontId="4" fillId="4" borderId="0" xfId="1" applyNumberFormat="1" applyFont="1" applyFill="1" applyProtection="1"/>
    <xf numFmtId="0" fontId="4" fillId="2" borderId="0" xfId="1" applyFont="1" applyFill="1" applyBorder="1" applyProtection="1"/>
    <xf numFmtId="0" fontId="4" fillId="2" borderId="10" xfId="1" applyFont="1" applyFill="1" applyBorder="1" applyAlignment="1" applyProtection="1">
      <alignment horizontal="center"/>
    </xf>
    <xf numFmtId="1" fontId="4" fillId="2" borderId="13" xfId="1" applyNumberFormat="1" applyFont="1" applyFill="1" applyBorder="1" applyProtection="1"/>
    <xf numFmtId="1" fontId="4" fillId="2" borderId="8" xfId="1" applyNumberFormat="1" applyFont="1" applyFill="1" applyBorder="1" applyProtection="1"/>
    <xf numFmtId="0" fontId="4" fillId="4" borderId="15" xfId="1" applyFont="1" applyFill="1" applyBorder="1" applyProtection="1"/>
    <xf numFmtId="0" fontId="4" fillId="2" borderId="11" xfId="1" applyFont="1" applyFill="1" applyBorder="1" applyAlignment="1" applyProtection="1">
      <alignment horizontal="center"/>
    </xf>
    <xf numFmtId="169" fontId="4" fillId="2" borderId="15" xfId="1" applyNumberFormat="1" applyFont="1" applyFill="1" applyBorder="1" applyProtection="1"/>
    <xf numFmtId="169" fontId="4" fillId="2" borderId="7" xfId="1" applyNumberFormat="1" applyFont="1" applyFill="1" applyBorder="1" applyProtection="1"/>
    <xf numFmtId="0" fontId="4" fillId="4" borderId="11" xfId="1" applyFont="1" applyFill="1" applyBorder="1" applyAlignment="1" applyProtection="1">
      <alignment horizontal="center"/>
    </xf>
    <xf numFmtId="0" fontId="4" fillId="4" borderId="7" xfId="1" applyFont="1" applyFill="1" applyBorder="1" applyAlignment="1" applyProtection="1">
      <alignment horizontal="center"/>
    </xf>
    <xf numFmtId="166" fontId="4" fillId="4" borderId="7" xfId="1" applyNumberFormat="1" applyFont="1" applyFill="1" applyBorder="1" applyProtection="1"/>
    <xf numFmtId="0" fontId="4" fillId="0" borderId="0" xfId="1" applyFont="1" applyProtection="1"/>
    <xf numFmtId="0" fontId="17" fillId="2" borderId="2" xfId="1" applyFont="1" applyFill="1" applyBorder="1" applyProtection="1"/>
    <xf numFmtId="0" fontId="17" fillId="2" borderId="6" xfId="1" applyFont="1" applyFill="1" applyBorder="1" applyProtection="1"/>
    <xf numFmtId="0" fontId="17" fillId="2" borderId="3" xfId="1" applyFont="1" applyFill="1" applyBorder="1" applyProtection="1"/>
    <xf numFmtId="0" fontId="4" fillId="4" borderId="9" xfId="1" applyFont="1" applyFill="1" applyBorder="1" applyProtection="1"/>
    <xf numFmtId="0" fontId="4" fillId="4" borderId="14" xfId="1" applyFont="1" applyFill="1" applyBorder="1" applyAlignment="1" applyProtection="1">
      <alignment horizontal="center" wrapText="1"/>
    </xf>
    <xf numFmtId="0" fontId="4" fillId="4" borderId="0" xfId="1" applyFont="1" applyFill="1" applyBorder="1" applyAlignment="1" applyProtection="1">
      <alignment horizontal="center" wrapText="1"/>
    </xf>
    <xf numFmtId="0" fontId="4" fillId="4" borderId="10" xfId="1" applyFont="1" applyFill="1" applyBorder="1" applyProtection="1"/>
    <xf numFmtId="0" fontId="4" fillId="4" borderId="14" xfId="1" applyFont="1" applyFill="1" applyBorder="1" applyAlignment="1" applyProtection="1">
      <alignment horizontal="center"/>
    </xf>
    <xf numFmtId="0" fontId="4" fillId="4" borderId="11" xfId="1" applyFont="1" applyFill="1" applyBorder="1" applyProtection="1"/>
    <xf numFmtId="0" fontId="4" fillId="4" borderId="14" xfId="1" applyFont="1" applyFill="1" applyBorder="1" applyAlignment="1" applyProtection="1">
      <alignment horizontal="right"/>
    </xf>
    <xf numFmtId="0" fontId="4" fillId="4" borderId="0" xfId="1" applyFont="1" applyFill="1" applyBorder="1" applyAlignment="1" applyProtection="1">
      <alignment horizontal="right"/>
    </xf>
    <xf numFmtId="0" fontId="4" fillId="4" borderId="8" xfId="1" applyFont="1" applyFill="1" applyBorder="1" applyAlignment="1" applyProtection="1">
      <alignment horizontal="center"/>
    </xf>
    <xf numFmtId="0" fontId="17" fillId="2" borderId="13" xfId="1" applyFont="1" applyFill="1" applyBorder="1" applyProtection="1"/>
    <xf numFmtId="0" fontId="4" fillId="2" borderId="9" xfId="1" applyFont="1" applyFill="1" applyBorder="1" applyProtection="1"/>
    <xf numFmtId="0" fontId="3" fillId="2" borderId="11" xfId="1" applyFont="1" applyFill="1" applyBorder="1" applyAlignment="1" applyProtection="1">
      <alignment horizontal="center"/>
    </xf>
    <xf numFmtId="0" fontId="17" fillId="4" borderId="14" xfId="1" applyFont="1" applyFill="1" applyBorder="1" applyProtection="1"/>
    <xf numFmtId="0" fontId="17" fillId="4" borderId="0" xfId="1" applyFont="1" applyFill="1" applyBorder="1" applyAlignment="1" applyProtection="1">
      <alignment horizontal="left"/>
    </xf>
    <xf numFmtId="0" fontId="17" fillId="4" borderId="10" xfId="1" applyFont="1" applyFill="1" applyBorder="1" applyAlignment="1" applyProtection="1">
      <alignment horizontal="left"/>
    </xf>
    <xf numFmtId="0" fontId="17" fillId="4" borderId="0" xfId="1" applyFont="1" applyFill="1" applyProtection="1"/>
    <xf numFmtId="166" fontId="17" fillId="4" borderId="0" xfId="1" applyNumberFormat="1" applyFont="1" applyFill="1" applyBorder="1" applyProtection="1"/>
    <xf numFmtId="0" fontId="17" fillId="4" borderId="0" xfId="1" applyFont="1" applyFill="1" applyBorder="1" applyProtection="1"/>
    <xf numFmtId="0" fontId="3" fillId="4" borderId="14" xfId="1" applyFont="1" applyFill="1" applyBorder="1" applyProtection="1"/>
    <xf numFmtId="0" fontId="25" fillId="4" borderId="0" xfId="1" applyFont="1" applyFill="1" applyProtection="1"/>
    <xf numFmtId="0" fontId="3" fillId="4" borderId="15" xfId="1" applyFont="1" applyFill="1" applyBorder="1" applyProtection="1"/>
    <xf numFmtId="166" fontId="3" fillId="4" borderId="0" xfId="4" applyNumberFormat="1" applyFont="1" applyFill="1" applyBorder="1" applyAlignment="1" applyProtection="1">
      <alignment horizontal="right"/>
    </xf>
    <xf numFmtId="165" fontId="10" fillId="2" borderId="13" xfId="2" applyFont="1" applyFill="1" applyBorder="1" applyProtection="1"/>
    <xf numFmtId="165" fontId="10" fillId="2" borderId="8" xfId="2" applyFont="1" applyFill="1" applyBorder="1" applyProtection="1"/>
    <xf numFmtId="1" fontId="3" fillId="2" borderId="13" xfId="1" applyNumberFormat="1" applyFont="1" applyFill="1" applyBorder="1" applyAlignment="1" applyProtection="1">
      <alignment horizontal="left"/>
    </xf>
    <xf numFmtId="1" fontId="3" fillId="2" borderId="8" xfId="1" applyNumberFormat="1" applyFont="1" applyFill="1" applyBorder="1" applyAlignment="1" applyProtection="1">
      <alignment horizontal="left"/>
    </xf>
    <xf numFmtId="2" fontId="4" fillId="4" borderId="0" xfId="1" applyNumberFormat="1" applyFont="1" applyFill="1" applyBorder="1" applyProtection="1"/>
    <xf numFmtId="0" fontId="3" fillId="2" borderId="14" xfId="1" applyFont="1" applyFill="1" applyBorder="1" applyProtection="1"/>
    <xf numFmtId="0" fontId="3" fillId="2" borderId="10" xfId="1" applyFont="1" applyFill="1" applyBorder="1" applyProtection="1"/>
    <xf numFmtId="0" fontId="3" fillId="2" borderId="8" xfId="1" applyFont="1" applyFill="1" applyBorder="1" applyAlignment="1" applyProtection="1">
      <alignment horizontal="right"/>
    </xf>
    <xf numFmtId="0" fontId="3" fillId="4" borderId="0" xfId="1" applyFont="1" applyFill="1" applyBorder="1" applyAlignment="1" applyProtection="1">
      <alignment horizontal="right"/>
    </xf>
    <xf numFmtId="164" fontId="3" fillId="4" borderId="0" xfId="1" applyNumberFormat="1" applyFont="1" applyFill="1" applyBorder="1" applyProtection="1"/>
    <xf numFmtId="0" fontId="3" fillId="2" borderId="15" xfId="1" applyFont="1" applyFill="1" applyBorder="1" applyProtection="1"/>
    <xf numFmtId="0" fontId="3" fillId="2" borderId="11" xfId="1" applyFont="1" applyFill="1" applyBorder="1" applyProtection="1"/>
    <xf numFmtId="2" fontId="3" fillId="2" borderId="0" xfId="1" applyNumberFormat="1" applyFont="1" applyFill="1" applyBorder="1" applyAlignment="1" applyProtection="1">
      <alignment horizontal="right"/>
    </xf>
    <xf numFmtId="0" fontId="4" fillId="4" borderId="10" xfId="1" applyFont="1" applyFill="1" applyBorder="1" applyAlignment="1" applyProtection="1">
      <alignment horizontal="left"/>
    </xf>
    <xf numFmtId="164" fontId="3" fillId="5" borderId="0" xfId="1" applyNumberFormat="1" applyFont="1" applyFill="1" applyBorder="1" applyProtection="1"/>
    <xf numFmtId="0" fontId="4" fillId="0" borderId="0" xfId="1" applyFont="1" applyFill="1" applyBorder="1" applyAlignment="1" applyProtection="1">
      <alignment horizontal="left"/>
    </xf>
    <xf numFmtId="166" fontId="3" fillId="5" borderId="0" xfId="1" applyNumberFormat="1" applyFont="1" applyFill="1" applyBorder="1" applyProtection="1"/>
    <xf numFmtId="0" fontId="4" fillId="2" borderId="13" xfId="1" applyFont="1" applyFill="1" applyBorder="1" applyAlignment="1" applyProtection="1">
      <alignment horizontal="center" wrapText="1"/>
    </xf>
    <xf numFmtId="0" fontId="4" fillId="2" borderId="9" xfId="1" applyFont="1" applyFill="1" applyBorder="1" applyAlignment="1" applyProtection="1">
      <alignment horizontal="center" wrapText="1"/>
    </xf>
    <xf numFmtId="0" fontId="4" fillId="4" borderId="8" xfId="1" applyFont="1" applyFill="1" applyBorder="1" applyAlignment="1" applyProtection="1">
      <alignment horizontal="right"/>
    </xf>
    <xf numFmtId="0" fontId="5" fillId="4" borderId="0" xfId="1" applyFont="1" applyFill="1" applyBorder="1" applyProtection="1"/>
    <xf numFmtId="0" fontId="4" fillId="4" borderId="7" xfId="1" applyFont="1" applyFill="1" applyBorder="1" applyAlignment="1" applyProtection="1">
      <alignment horizontal="right"/>
    </xf>
    <xf numFmtId="0" fontId="3" fillId="4" borderId="0" xfId="1" applyFont="1" applyFill="1" applyBorder="1" applyAlignment="1" applyProtection="1">
      <alignment horizontal="left"/>
    </xf>
    <xf numFmtId="0" fontId="17" fillId="4" borderId="0" xfId="1" applyFont="1" applyFill="1" applyBorder="1" applyAlignment="1" applyProtection="1">
      <alignment horizontal="left" wrapText="1"/>
    </xf>
    <xf numFmtId="4" fontId="3" fillId="4" borderId="16" xfId="1" applyNumberFormat="1" applyFont="1" applyFill="1" applyBorder="1" applyProtection="1"/>
    <xf numFmtId="4" fontId="3" fillId="4" borderId="17" xfId="1" applyNumberFormat="1" applyFont="1" applyFill="1" applyBorder="1" applyProtection="1"/>
    <xf numFmtId="4" fontId="3" fillId="4" borderId="1" xfId="1" applyNumberFormat="1" applyFont="1" applyFill="1" applyBorder="1" applyProtection="1"/>
    <xf numFmtId="4" fontId="4" fillId="11" borderId="18" xfId="1" applyNumberFormat="1" applyFont="1" applyFill="1" applyBorder="1" applyProtection="1">
      <protection locked="0"/>
    </xf>
    <xf numFmtId="4" fontId="4" fillId="11" borderId="19" xfId="1" applyNumberFormat="1" applyFont="1" applyFill="1" applyBorder="1" applyProtection="1">
      <protection locked="0"/>
    </xf>
    <xf numFmtId="4" fontId="4" fillId="11" borderId="34" xfId="1" applyNumberFormat="1" applyFont="1" applyFill="1" applyBorder="1" applyProtection="1">
      <protection locked="0"/>
    </xf>
    <xf numFmtId="4" fontId="4" fillId="11" borderId="35" xfId="1" applyNumberFormat="1" applyFont="1" applyFill="1" applyBorder="1" applyProtection="1">
      <protection locked="0"/>
    </xf>
    <xf numFmtId="3" fontId="29" fillId="3" borderId="1" xfId="6" applyNumberFormat="1" applyFont="1" applyFill="1" applyBorder="1" applyAlignment="1" applyProtection="1">
      <alignment horizontal="right"/>
      <protection locked="0"/>
    </xf>
    <xf numFmtId="0" fontId="13" fillId="3" borderId="28" xfId="0" applyFont="1" applyFill="1" applyBorder="1" applyAlignment="1" applyProtection="1">
      <alignment vertical="top" wrapText="1"/>
      <protection locked="0"/>
    </xf>
    <xf numFmtId="4" fontId="29" fillId="7" borderId="28" xfId="0" applyNumberFormat="1" applyFont="1" applyFill="1" applyBorder="1" applyAlignment="1" applyProtection="1">
      <alignment horizontal="right"/>
      <protection locked="0"/>
    </xf>
    <xf numFmtId="3" fontId="30" fillId="3" borderId="1" xfId="0" applyNumberFormat="1" applyFont="1" applyFill="1" applyBorder="1" applyAlignment="1" applyProtection="1">
      <alignment horizontal="center" vertical="center"/>
      <protection locked="0"/>
    </xf>
    <xf numFmtId="3" fontId="13" fillId="7" borderId="28" xfId="0" applyNumberFormat="1" applyFont="1" applyFill="1" applyBorder="1" applyAlignment="1" applyProtection="1">
      <alignment horizontal="right"/>
      <protection locked="0"/>
    </xf>
    <xf numFmtId="0" fontId="13" fillId="7" borderId="28" xfId="0" applyFont="1" applyFill="1" applyBorder="1" applyAlignment="1" applyProtection="1">
      <alignment vertical="top" wrapText="1"/>
      <protection locked="0"/>
    </xf>
    <xf numFmtId="0" fontId="13" fillId="7" borderId="28" xfId="0" quotePrefix="1" applyFont="1" applyFill="1" applyBorder="1" applyAlignment="1" applyProtection="1">
      <alignment vertical="top" wrapText="1"/>
      <protection locked="0"/>
    </xf>
    <xf numFmtId="165" fontId="3" fillId="2" borderId="6" xfId="2" applyFont="1" applyFill="1" applyBorder="1" applyAlignment="1" applyProtection="1">
      <alignment horizontal="center"/>
    </xf>
    <xf numFmtId="0" fontId="4" fillId="4" borderId="1" xfId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/>
    </xf>
    <xf numFmtId="0" fontId="1" fillId="0" borderId="1" xfId="0" applyNumberFormat="1" applyFont="1" applyBorder="1"/>
    <xf numFmtId="0" fontId="3" fillId="2" borderId="0" xfId="1" applyFont="1" applyFill="1" applyBorder="1" applyAlignment="1" applyProtection="1">
      <alignment horizontal="center"/>
    </xf>
    <xf numFmtId="0" fontId="3" fillId="5" borderId="0" xfId="1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vertical="top"/>
    </xf>
    <xf numFmtId="0" fontId="33" fillId="4" borderId="0" xfId="0" applyFont="1" applyFill="1" applyAlignment="1" applyProtection="1">
      <alignment vertical="top"/>
    </xf>
    <xf numFmtId="0" fontId="2" fillId="2" borderId="13" xfId="1" applyFont="1" applyFill="1" applyBorder="1" applyProtection="1"/>
    <xf numFmtId="0" fontId="17" fillId="2" borderId="14" xfId="1" applyFont="1" applyFill="1" applyBorder="1" applyProtection="1"/>
    <xf numFmtId="0" fontId="32" fillId="4" borderId="0" xfId="1" applyFont="1" applyFill="1" applyBorder="1" applyProtection="1"/>
    <xf numFmtId="165" fontId="3" fillId="4" borderId="2" xfId="2" applyFont="1" applyFill="1" applyBorder="1" applyProtection="1"/>
    <xf numFmtId="165" fontId="3" fillId="4" borderId="6" xfId="2" applyFont="1" applyFill="1" applyBorder="1" applyAlignment="1" applyProtection="1">
      <alignment horizontal="center"/>
    </xf>
    <xf numFmtId="0" fontId="4" fillId="11" borderId="0" xfId="0" applyFont="1" applyFill="1" applyProtection="1">
      <protection locked="0"/>
    </xf>
    <xf numFmtId="0" fontId="4" fillId="4" borderId="0" xfId="0" applyFont="1" applyFill="1" applyProtection="1"/>
    <xf numFmtId="0" fontId="4" fillId="4" borderId="7" xfId="0" applyFont="1" applyFill="1" applyBorder="1" applyAlignment="1" applyProtection="1">
      <alignment wrapText="1"/>
    </xf>
    <xf numFmtId="166" fontId="3" fillId="4" borderId="0" xfId="0" applyNumberFormat="1" applyFont="1" applyFill="1" applyBorder="1" applyProtection="1"/>
    <xf numFmtId="0" fontId="17" fillId="2" borderId="6" xfId="1" applyFont="1" applyFill="1" applyBorder="1" applyAlignment="1" applyProtection="1"/>
    <xf numFmtId="0" fontId="17" fillId="2" borderId="3" xfId="1" applyFont="1" applyFill="1" applyBorder="1" applyAlignment="1" applyProtection="1"/>
    <xf numFmtId="0" fontId="4" fillId="4" borderId="0" xfId="0" applyFont="1" applyFill="1" applyAlignment="1" applyProtection="1">
      <alignment horizontal="left" wrapText="1"/>
    </xf>
    <xf numFmtId="0" fontId="4" fillId="5" borderId="0" xfId="0" applyFont="1" applyFill="1" applyProtection="1"/>
    <xf numFmtId="0" fontId="16" fillId="5" borderId="0" xfId="0" applyFont="1" applyFill="1" applyAlignment="1" applyProtection="1">
      <alignment horizontal="left"/>
    </xf>
    <xf numFmtId="0" fontId="16" fillId="5" borderId="0" xfId="0" applyFont="1" applyFill="1" applyProtection="1"/>
    <xf numFmtId="0" fontId="3" fillId="2" borderId="8" xfId="1" applyFont="1" applyFill="1" applyBorder="1" applyAlignment="1" applyProtection="1">
      <alignment wrapText="1"/>
    </xf>
    <xf numFmtId="0" fontId="4" fillId="2" borderId="6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wrapText="1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right"/>
    </xf>
    <xf numFmtId="0" fontId="3" fillId="5" borderId="13" xfId="1" applyFont="1" applyFill="1" applyBorder="1" applyProtection="1"/>
    <xf numFmtId="0" fontId="3" fillId="5" borderId="8" xfId="1" applyFont="1" applyFill="1" applyBorder="1" applyAlignment="1" applyProtection="1">
      <alignment horizontal="left"/>
    </xf>
    <xf numFmtId="0" fontId="3" fillId="5" borderId="8" xfId="1" applyFont="1" applyFill="1" applyBorder="1" applyProtection="1"/>
    <xf numFmtId="9" fontId="3" fillId="5" borderId="8" xfId="1" applyNumberFormat="1" applyFont="1" applyFill="1" applyBorder="1" applyProtection="1"/>
    <xf numFmtId="0" fontId="3" fillId="5" borderId="8" xfId="1" applyFont="1" applyFill="1" applyBorder="1" applyAlignment="1" applyProtection="1">
      <alignment horizontal="center"/>
    </xf>
    <xf numFmtId="0" fontId="4" fillId="5" borderId="14" xfId="1" applyFont="1" applyFill="1" applyBorder="1" applyProtection="1"/>
    <xf numFmtId="9" fontId="4" fillId="11" borderId="1" xfId="1" applyNumberFormat="1" applyFont="1" applyFill="1" applyBorder="1" applyProtection="1">
      <protection locked="0"/>
    </xf>
    <xf numFmtId="14" fontId="4" fillId="5" borderId="0" xfId="1" applyNumberFormat="1" applyFont="1" applyFill="1" applyBorder="1" applyAlignment="1" applyProtection="1">
      <alignment horizontal="left"/>
    </xf>
    <xf numFmtId="0" fontId="3" fillId="5" borderId="14" xfId="1" applyFont="1" applyFill="1" applyBorder="1" applyProtection="1"/>
    <xf numFmtId="0" fontId="17" fillId="5" borderId="14" xfId="1" applyFont="1" applyFill="1" applyBorder="1" applyProtection="1"/>
    <xf numFmtId="0" fontId="24" fillId="5" borderId="0" xfId="1" applyFont="1" applyFill="1" applyBorder="1" applyAlignment="1" applyProtection="1">
      <alignment horizontal="left"/>
    </xf>
    <xf numFmtId="0" fontId="24" fillId="5" borderId="0" xfId="1" applyFont="1" applyFill="1" applyBorder="1" applyAlignment="1" applyProtection="1">
      <alignment horizontal="left" indent="1"/>
    </xf>
    <xf numFmtId="0" fontId="17" fillId="5" borderId="0" xfId="1" applyFont="1" applyFill="1" applyBorder="1" applyAlignment="1" applyProtection="1">
      <alignment horizontal="left"/>
    </xf>
    <xf numFmtId="9" fontId="17" fillId="4" borderId="0" xfId="1" applyNumberFormat="1" applyFont="1" applyFill="1" applyBorder="1" applyProtection="1">
      <protection locked="0"/>
    </xf>
    <xf numFmtId="14" fontId="3" fillId="5" borderId="0" xfId="1" applyNumberFormat="1" applyFont="1" applyFill="1" applyBorder="1" applyAlignment="1" applyProtection="1">
      <alignment horizontal="left"/>
    </xf>
    <xf numFmtId="9" fontId="3" fillId="4" borderId="8" xfId="1" applyNumberFormat="1" applyFont="1" applyFill="1" applyBorder="1" applyProtection="1"/>
    <xf numFmtId="0" fontId="3" fillId="5" borderId="15" xfId="1" applyFont="1" applyFill="1" applyBorder="1" applyProtection="1"/>
    <xf numFmtId="0" fontId="3" fillId="5" borderId="7" xfId="1" applyFont="1" applyFill="1" applyBorder="1" applyAlignment="1" applyProtection="1">
      <alignment horizontal="left"/>
    </xf>
    <xf numFmtId="0" fontId="3" fillId="5" borderId="7" xfId="1" applyFont="1" applyFill="1" applyBorder="1" applyProtection="1"/>
    <xf numFmtId="9" fontId="3" fillId="5" borderId="7" xfId="1" applyNumberFormat="1" applyFont="1" applyFill="1" applyBorder="1" applyProtection="1"/>
    <xf numFmtId="0" fontId="3" fillId="5" borderId="7" xfId="1" applyFont="1" applyFill="1" applyBorder="1" applyAlignment="1" applyProtection="1">
      <alignment horizontal="center"/>
    </xf>
    <xf numFmtId="165" fontId="33" fillId="2" borderId="6" xfId="2" applyFont="1" applyFill="1" applyBorder="1" applyAlignment="1" applyProtection="1">
      <alignment horizontal="right"/>
    </xf>
    <xf numFmtId="165" fontId="3" fillId="2" borderId="11" xfId="2" applyFont="1" applyFill="1" applyBorder="1" applyAlignment="1" applyProtection="1">
      <alignment horizontal="right"/>
    </xf>
    <xf numFmtId="166" fontId="5" fillId="5" borderId="0" xfId="1" applyNumberFormat="1" applyFont="1" applyFill="1" applyProtection="1"/>
    <xf numFmtId="165" fontId="3" fillId="2" borderId="8" xfId="2" applyFont="1" applyFill="1" applyBorder="1" applyAlignment="1" applyProtection="1">
      <alignment horizontal="right"/>
    </xf>
    <xf numFmtId="0" fontId="4" fillId="2" borderId="0" xfId="1" applyFont="1" applyFill="1" applyProtection="1"/>
    <xf numFmtId="0" fontId="3" fillId="2" borderId="0" xfId="1" applyFont="1" applyFill="1" applyProtection="1"/>
    <xf numFmtId="0" fontId="4" fillId="2" borderId="13" xfId="1" applyFont="1" applyFill="1" applyBorder="1" applyAlignment="1" applyProtection="1">
      <alignment horizontal="center"/>
    </xf>
    <xf numFmtId="0" fontId="4" fillId="2" borderId="15" xfId="1" applyFont="1" applyFill="1" applyBorder="1" applyAlignment="1" applyProtection="1">
      <alignment horizontal="center"/>
    </xf>
    <xf numFmtId="0" fontId="4" fillId="5" borderId="13" xfId="1" applyFont="1" applyFill="1" applyBorder="1" applyProtection="1"/>
    <xf numFmtId="0" fontId="4" fillId="5" borderId="8" xfId="1" applyFont="1" applyFill="1" applyBorder="1" applyProtection="1"/>
    <xf numFmtId="0" fontId="4" fillId="5" borderId="9" xfId="1" applyFont="1" applyFill="1" applyBorder="1" applyProtection="1"/>
    <xf numFmtId="0" fontId="4" fillId="5" borderId="9" xfId="1" applyFont="1" applyFill="1" applyBorder="1" applyAlignment="1" applyProtection="1">
      <alignment horizontal="center"/>
    </xf>
    <xf numFmtId="0" fontId="4" fillId="5" borderId="10" xfId="1" applyFont="1" applyFill="1" applyBorder="1" applyProtection="1"/>
    <xf numFmtId="0" fontId="4" fillId="5" borderId="10" xfId="1" applyFont="1" applyFill="1" applyBorder="1" applyAlignment="1" applyProtection="1">
      <alignment horizontal="center"/>
    </xf>
    <xf numFmtId="0" fontId="4" fillId="5" borderId="15" xfId="1" applyFont="1" applyFill="1" applyBorder="1" applyProtection="1"/>
    <xf numFmtId="0" fontId="4" fillId="5" borderId="7" xfId="1" applyFont="1" applyFill="1" applyBorder="1" applyProtection="1"/>
    <xf numFmtId="0" fontId="4" fillId="5" borderId="11" xfId="1" applyFont="1" applyFill="1" applyBorder="1" applyProtection="1"/>
    <xf numFmtId="0" fontId="4" fillId="5" borderId="5" xfId="1" applyFont="1" applyFill="1" applyBorder="1" applyAlignment="1" applyProtection="1">
      <alignment horizontal="center"/>
    </xf>
    <xf numFmtId="0" fontId="17" fillId="5" borderId="0" xfId="1" applyFont="1" applyFill="1" applyBorder="1" applyProtection="1"/>
    <xf numFmtId="0" fontId="4" fillId="5" borderId="0" xfId="0" applyFont="1" applyFill="1" applyBorder="1" applyProtection="1"/>
    <xf numFmtId="0" fontId="4" fillId="4" borderId="0" xfId="0" applyFont="1" applyFill="1" applyBorder="1" applyProtection="1"/>
    <xf numFmtId="10" fontId="3" fillId="4" borderId="0" xfId="3" applyNumberFormat="1" applyFont="1" applyFill="1" applyBorder="1" applyAlignment="1" applyProtection="1">
      <alignment horizontal="center"/>
    </xf>
    <xf numFmtId="0" fontId="34" fillId="4" borderId="0" xfId="0" applyFont="1" applyFill="1" applyAlignment="1" applyProtection="1">
      <alignment vertical="top"/>
    </xf>
    <xf numFmtId="0" fontId="35" fillId="4" borderId="0" xfId="0" applyFont="1" applyFill="1" applyAlignment="1" applyProtection="1">
      <alignment vertical="top"/>
    </xf>
    <xf numFmtId="0" fontId="35" fillId="0" borderId="0" xfId="0" applyFont="1" applyAlignment="1" applyProtection="1">
      <alignment vertical="top"/>
    </xf>
    <xf numFmtId="0" fontId="36" fillId="2" borderId="8" xfId="1" applyFont="1" applyFill="1" applyBorder="1" applyAlignment="1" applyProtection="1">
      <alignment horizontal="right"/>
    </xf>
    <xf numFmtId="49" fontId="4" fillId="5" borderId="0" xfId="1" applyNumberFormat="1" applyFont="1" applyFill="1" applyAlignment="1" applyProtection="1">
      <alignment horizontal="right"/>
    </xf>
    <xf numFmtId="0" fontId="4" fillId="5" borderId="0" xfId="1" applyNumberFormat="1" applyFont="1" applyFill="1" applyProtection="1"/>
    <xf numFmtId="165" fontId="4" fillId="5" borderId="0" xfId="1" applyNumberFormat="1" applyFont="1" applyFill="1" applyProtection="1"/>
    <xf numFmtId="0" fontId="6" fillId="5" borderId="0" xfId="0" applyFont="1" applyFill="1" applyProtection="1"/>
    <xf numFmtId="0" fontId="25" fillId="5" borderId="0" xfId="0" applyFont="1" applyFill="1" applyProtection="1"/>
    <xf numFmtId="0" fontId="3" fillId="5" borderId="0" xfId="0" applyFont="1" applyFill="1" applyProtection="1"/>
    <xf numFmtId="0" fontId="4" fillId="5" borderId="0" xfId="1" applyFont="1" applyFill="1" applyBorder="1" applyAlignment="1" applyProtection="1">
      <alignment horizontal="left" indent="1"/>
    </xf>
    <xf numFmtId="0" fontId="3" fillId="5" borderId="0" xfId="1" applyFont="1" applyFill="1" applyBorder="1" applyAlignment="1" applyProtection="1"/>
    <xf numFmtId="166" fontId="25" fillId="5" borderId="0" xfId="0" applyNumberFormat="1" applyFont="1" applyFill="1" applyProtection="1"/>
    <xf numFmtId="0" fontId="4" fillId="4" borderId="0" xfId="1" applyFont="1" applyFill="1" applyBorder="1" applyAlignment="1" applyProtection="1">
      <alignment horizontal="left" indent="1"/>
    </xf>
    <xf numFmtId="0" fontId="17" fillId="4" borderId="0" xfId="1" applyFont="1" applyFill="1" applyBorder="1" applyAlignment="1" applyProtection="1">
      <alignment horizontal="left" indent="2"/>
    </xf>
    <xf numFmtId="14" fontId="4" fillId="4" borderId="0" xfId="1" applyNumberFormat="1" applyFont="1" applyFill="1" applyBorder="1" applyAlignment="1" applyProtection="1">
      <alignment horizontal="left"/>
    </xf>
    <xf numFmtId="0" fontId="17" fillId="5" borderId="0" xfId="0" applyFont="1" applyFill="1" applyProtection="1"/>
    <xf numFmtId="0" fontId="3" fillId="4" borderId="0" xfId="1" applyFont="1" applyFill="1" applyBorder="1" applyAlignment="1" applyProtection="1">
      <alignment horizontal="left" indent="2"/>
    </xf>
    <xf numFmtId="166" fontId="3" fillId="5" borderId="0" xfId="0" applyNumberFormat="1" applyFont="1" applyFill="1" applyProtection="1"/>
    <xf numFmtId="0" fontId="16" fillId="4" borderId="7" xfId="0" applyFont="1" applyFill="1" applyBorder="1" applyAlignment="1" applyProtection="1">
      <alignment vertical="top"/>
    </xf>
    <xf numFmtId="0" fontId="4" fillId="5" borderId="0" xfId="1" applyFont="1" applyFill="1" applyBorder="1" applyAlignment="1" applyProtection="1">
      <alignment horizontal="left" wrapText="1" indent="1"/>
    </xf>
    <xf numFmtId="1" fontId="4" fillId="2" borderId="8" xfId="1" applyNumberFormat="1" applyFont="1" applyFill="1" applyBorder="1" applyAlignment="1" applyProtection="1">
      <alignment horizontal="right"/>
    </xf>
    <xf numFmtId="1" fontId="4" fillId="2" borderId="7" xfId="1" applyNumberFormat="1" applyFont="1" applyFill="1" applyBorder="1" applyAlignment="1" applyProtection="1">
      <alignment horizontal="right"/>
    </xf>
    <xf numFmtId="10" fontId="3" fillId="4" borderId="68" xfId="1" applyNumberFormat="1" applyFont="1" applyFill="1" applyBorder="1" applyAlignment="1" applyProtection="1">
      <alignment horizontal="center"/>
    </xf>
    <xf numFmtId="0" fontId="18" fillId="2" borderId="0" xfId="1" applyFont="1" applyFill="1" applyBorder="1" applyAlignment="1" applyProtection="1">
      <alignment wrapText="1"/>
    </xf>
    <xf numFmtId="49" fontId="4" fillId="4" borderId="0" xfId="1" applyNumberFormat="1" applyFont="1" applyFill="1" applyAlignment="1" applyProtection="1">
      <alignment horizontal="right"/>
    </xf>
    <xf numFmtId="0" fontId="4" fillId="4" borderId="0" xfId="1" applyNumberFormat="1" applyFont="1" applyFill="1" applyProtection="1"/>
    <xf numFmtId="4" fontId="3" fillId="4" borderId="9" xfId="2" applyNumberFormat="1" applyFont="1" applyFill="1" applyBorder="1" applyProtection="1"/>
    <xf numFmtId="4" fontId="3" fillId="4" borderId="13" xfId="2" applyNumberFormat="1" applyFont="1" applyFill="1" applyBorder="1" applyAlignment="1" applyProtection="1">
      <alignment horizontal="right"/>
    </xf>
    <xf numFmtId="4" fontId="3" fillId="4" borderId="8" xfId="2" applyNumberFormat="1" applyFont="1" applyFill="1" applyBorder="1" applyAlignment="1" applyProtection="1">
      <alignment horizontal="right"/>
    </xf>
    <xf numFmtId="10" fontId="3" fillId="4" borderId="38" xfId="1" applyNumberFormat="1" applyFont="1" applyFill="1" applyBorder="1" applyAlignment="1" applyProtection="1">
      <alignment horizontal="center"/>
    </xf>
    <xf numFmtId="4" fontId="4" fillId="7" borderId="1" xfId="0" applyNumberFormat="1" applyFont="1" applyFill="1" applyBorder="1" applyAlignment="1" applyProtection="1">
      <alignment horizontal="right"/>
      <protection locked="0"/>
    </xf>
    <xf numFmtId="4" fontId="4" fillId="9" borderId="1" xfId="0" applyNumberFormat="1" applyFont="1" applyFill="1" applyBorder="1" applyAlignment="1" applyProtection="1">
      <alignment horizontal="right"/>
    </xf>
    <xf numFmtId="0" fontId="11" fillId="2" borderId="8" xfId="1" applyFont="1" applyFill="1" applyBorder="1" applyProtection="1"/>
    <xf numFmtId="0" fontId="38" fillId="2" borderId="8" xfId="1" applyFont="1" applyFill="1" applyBorder="1" applyAlignment="1" applyProtection="1">
      <alignment horizontal="right"/>
    </xf>
    <xf numFmtId="0" fontId="11" fillId="2" borderId="9" xfId="1" applyFont="1" applyFill="1" applyBorder="1" applyProtection="1"/>
    <xf numFmtId="0" fontId="3" fillId="2" borderId="7" xfId="1" applyFont="1" applyFill="1" applyBorder="1" applyAlignment="1" applyProtection="1">
      <alignment horizontal="center"/>
    </xf>
    <xf numFmtId="0" fontId="4" fillId="5" borderId="8" xfId="1" applyFont="1" applyFill="1" applyBorder="1" applyAlignment="1" applyProtection="1">
      <alignment horizontal="center"/>
    </xf>
    <xf numFmtId="166" fontId="4" fillId="5" borderId="7" xfId="1" applyNumberFormat="1" applyFont="1" applyFill="1" applyBorder="1" applyProtection="1"/>
    <xf numFmtId="166" fontId="3" fillId="5" borderId="11" xfId="1" applyNumberFormat="1" applyFont="1" applyFill="1" applyBorder="1" applyProtection="1"/>
    <xf numFmtId="165" fontId="10" fillId="2" borderId="7" xfId="2" applyFont="1" applyFill="1" applyBorder="1" applyAlignment="1" applyProtection="1">
      <alignment horizontal="right"/>
    </xf>
    <xf numFmtId="165" fontId="10" fillId="2" borderId="11" xfId="2" applyFont="1" applyFill="1" applyBorder="1" applyAlignment="1" applyProtection="1">
      <alignment horizontal="right"/>
    </xf>
    <xf numFmtId="1" fontId="4" fillId="2" borderId="0" xfId="1" applyNumberFormat="1" applyFont="1" applyFill="1" applyAlignment="1" applyProtection="1">
      <alignment horizontal="left"/>
    </xf>
    <xf numFmtId="0" fontId="4" fillId="2" borderId="0" xfId="1" applyFont="1" applyFill="1" applyAlignment="1" applyProtection="1">
      <alignment horizontal="center"/>
    </xf>
    <xf numFmtId="10" fontId="10" fillId="4" borderId="0" xfId="1" applyNumberFormat="1" applyFont="1" applyFill="1" applyProtection="1"/>
    <xf numFmtId="1" fontId="4" fillId="2" borderId="0" xfId="1" applyNumberFormat="1" applyFont="1" applyFill="1" applyProtection="1"/>
    <xf numFmtId="175" fontId="4" fillId="2" borderId="0" xfId="1" applyNumberFormat="1" applyFont="1" applyFill="1" applyProtection="1"/>
    <xf numFmtId="14" fontId="4" fillId="5" borderId="0" xfId="1" applyNumberFormat="1" applyFont="1" applyFill="1" applyBorder="1" applyAlignment="1" applyProtection="1">
      <alignment horizontal="right"/>
    </xf>
    <xf numFmtId="0" fontId="4" fillId="5" borderId="0" xfId="1" applyFont="1" applyFill="1" applyBorder="1" applyAlignment="1" applyProtection="1">
      <alignment horizontal="right"/>
    </xf>
    <xf numFmtId="16" fontId="4" fillId="5" borderId="0" xfId="1" applyNumberFormat="1" applyFont="1" applyFill="1" applyBorder="1" applyProtection="1"/>
    <xf numFmtId="0" fontId="4" fillId="5" borderId="0" xfId="1" applyFont="1" applyFill="1" applyBorder="1" applyAlignment="1" applyProtection="1">
      <alignment horizontal="center" wrapText="1"/>
    </xf>
    <xf numFmtId="166" fontId="4" fillId="5" borderId="0" xfId="1" applyNumberFormat="1" applyFont="1" applyFill="1" applyProtection="1"/>
    <xf numFmtId="165" fontId="10" fillId="2" borderId="6" xfId="2" applyFont="1" applyFill="1" applyBorder="1" applyAlignment="1" applyProtection="1">
      <alignment horizontal="left"/>
    </xf>
    <xf numFmtId="165" fontId="10" fillId="2" borderId="0" xfId="2" applyFont="1" applyFill="1" applyBorder="1" applyProtection="1"/>
    <xf numFmtId="174" fontId="4" fillId="4" borderId="19" xfId="3" applyNumberFormat="1" applyFont="1" applyFill="1" applyBorder="1" applyProtection="1"/>
    <xf numFmtId="2" fontId="4" fillId="5" borderId="35" xfId="0" applyNumberFormat="1" applyFont="1" applyFill="1" applyBorder="1" applyProtection="1"/>
    <xf numFmtId="0" fontId="17" fillId="2" borderId="0" xfId="1" applyFont="1" applyFill="1" applyBorder="1" applyProtection="1"/>
    <xf numFmtId="0" fontId="4" fillId="5" borderId="0" xfId="1" applyNumberFormat="1" applyFont="1" applyFill="1" applyBorder="1" applyAlignment="1" applyProtection="1">
      <alignment horizontal="left"/>
    </xf>
    <xf numFmtId="0" fontId="4" fillId="5" borderId="0" xfId="1" applyNumberFormat="1" applyFont="1" applyFill="1" applyBorder="1" applyProtection="1"/>
    <xf numFmtId="0" fontId="4" fillId="4" borderId="1" xfId="0" quotePrefix="1" applyFont="1" applyFill="1" applyBorder="1" applyAlignment="1" applyProtection="1">
      <alignment horizontal="center" vertical="center"/>
    </xf>
    <xf numFmtId="171" fontId="4" fillId="4" borderId="19" xfId="1" applyNumberFormat="1" applyFont="1" applyFill="1" applyBorder="1" applyProtection="1"/>
    <xf numFmtId="171" fontId="3" fillId="4" borderId="17" xfId="1" applyNumberFormat="1" applyFont="1" applyFill="1" applyBorder="1" applyAlignment="1" applyProtection="1">
      <alignment horizontal="right"/>
    </xf>
    <xf numFmtId="171" fontId="3" fillId="4" borderId="39" xfId="1" applyNumberFormat="1" applyFont="1" applyFill="1" applyBorder="1" applyAlignment="1" applyProtection="1">
      <alignment horizontal="right"/>
    </xf>
    <xf numFmtId="171" fontId="4" fillId="4" borderId="19" xfId="1" applyNumberFormat="1" applyFont="1" applyFill="1" applyBorder="1" applyAlignment="1" applyProtection="1">
      <alignment horizontal="right"/>
    </xf>
    <xf numFmtId="171" fontId="3" fillId="4" borderId="48" xfId="1" applyNumberFormat="1" applyFont="1" applyFill="1" applyBorder="1" applyAlignment="1" applyProtection="1">
      <alignment horizontal="right"/>
    </xf>
    <xf numFmtId="171" fontId="3" fillId="4" borderId="19" xfId="1" applyNumberFormat="1" applyFont="1" applyFill="1" applyBorder="1" applyAlignment="1" applyProtection="1">
      <alignment horizontal="right"/>
    </xf>
    <xf numFmtId="171" fontId="3" fillId="4" borderId="19" xfId="1" applyNumberFormat="1" applyFont="1" applyFill="1" applyBorder="1" applyProtection="1"/>
    <xf numFmtId="171" fontId="3" fillId="4" borderId="41" xfId="1" applyNumberFormat="1" applyFont="1" applyFill="1" applyBorder="1" applyProtection="1"/>
    <xf numFmtId="171" fontId="3" fillId="4" borderId="42" xfId="1" applyNumberFormat="1" applyFont="1" applyFill="1" applyBorder="1" applyAlignment="1" applyProtection="1">
      <alignment horizontal="right"/>
    </xf>
    <xf numFmtId="171" fontId="4" fillId="5" borderId="16" xfId="1" applyNumberFormat="1" applyFont="1" applyFill="1" applyBorder="1" applyProtection="1"/>
    <xf numFmtId="171" fontId="4" fillId="5" borderId="17" xfId="1" applyNumberFormat="1" applyFont="1" applyFill="1" applyBorder="1" applyProtection="1"/>
    <xf numFmtId="171" fontId="3" fillId="5" borderId="44" xfId="1" applyNumberFormat="1" applyFont="1" applyFill="1" applyBorder="1" applyProtection="1"/>
    <xf numFmtId="171" fontId="4" fillId="5" borderId="18" xfId="1" applyNumberFormat="1" applyFont="1" applyFill="1" applyBorder="1" applyProtection="1"/>
    <xf numFmtId="171" fontId="4" fillId="5" borderId="19" xfId="1" applyNumberFormat="1" applyFont="1" applyFill="1" applyBorder="1" applyProtection="1"/>
    <xf numFmtId="171" fontId="3" fillId="5" borderId="45" xfId="1" applyNumberFormat="1" applyFont="1" applyFill="1" applyBorder="1" applyProtection="1"/>
    <xf numFmtId="171" fontId="4" fillId="5" borderId="40" xfId="1" applyNumberFormat="1" applyFont="1" applyFill="1" applyBorder="1" applyProtection="1"/>
    <xf numFmtId="171" fontId="4" fillId="5" borderId="41" xfId="1" applyNumberFormat="1" applyFont="1" applyFill="1" applyBorder="1" applyProtection="1"/>
    <xf numFmtId="171" fontId="3" fillId="5" borderId="46" xfId="1" applyNumberFormat="1" applyFont="1" applyFill="1" applyBorder="1" applyProtection="1"/>
    <xf numFmtId="171" fontId="3" fillId="5" borderId="16" xfId="1" applyNumberFormat="1" applyFont="1" applyFill="1" applyBorder="1" applyProtection="1"/>
    <xf numFmtId="171" fontId="3" fillId="5" borderId="17" xfId="1" applyNumberFormat="1" applyFont="1" applyFill="1" applyBorder="1" applyProtection="1"/>
    <xf numFmtId="171" fontId="3" fillId="4" borderId="39" xfId="1" applyNumberFormat="1" applyFont="1" applyFill="1" applyBorder="1" applyProtection="1"/>
    <xf numFmtId="171" fontId="3" fillId="5" borderId="18" xfId="1" applyNumberFormat="1" applyFont="1" applyFill="1" applyBorder="1" applyProtection="1"/>
    <xf numFmtId="171" fontId="3" fillId="5" borderId="19" xfId="1" applyNumberFormat="1" applyFont="1" applyFill="1" applyBorder="1" applyProtection="1"/>
    <xf numFmtId="171" fontId="3" fillId="4" borderId="48" xfId="1" applyNumberFormat="1" applyFont="1" applyFill="1" applyBorder="1" applyProtection="1"/>
    <xf numFmtId="171" fontId="3" fillId="5" borderId="40" xfId="1" applyNumberFormat="1" applyFont="1" applyFill="1" applyBorder="1" applyProtection="1"/>
    <xf numFmtId="171" fontId="3" fillId="5" borderId="41" xfId="1" applyNumberFormat="1" applyFont="1" applyFill="1" applyBorder="1" applyProtection="1"/>
    <xf numFmtId="171" fontId="3" fillId="4" borderId="42" xfId="1" applyNumberFormat="1" applyFont="1" applyFill="1" applyBorder="1" applyProtection="1"/>
    <xf numFmtId="171" fontId="4" fillId="4" borderId="13" xfId="1" applyNumberFormat="1" applyFont="1" applyFill="1" applyBorder="1" applyProtection="1"/>
    <xf numFmtId="171" fontId="4" fillId="4" borderId="8" xfId="1" applyNumberFormat="1" applyFont="1" applyFill="1" applyBorder="1" applyProtection="1"/>
    <xf numFmtId="171" fontId="3" fillId="4" borderId="0" xfId="1" applyNumberFormat="1" applyFont="1" applyFill="1" applyProtection="1"/>
    <xf numFmtId="171" fontId="3" fillId="4" borderId="0" xfId="1" applyNumberFormat="1" applyFont="1" applyFill="1" applyBorder="1" applyProtection="1"/>
    <xf numFmtId="171" fontId="4" fillId="4" borderId="0" xfId="1" applyNumberFormat="1" applyFont="1" applyFill="1" applyProtection="1"/>
    <xf numFmtId="171" fontId="3" fillId="4" borderId="6" xfId="1" applyNumberFormat="1" applyFont="1" applyFill="1" applyBorder="1" applyAlignment="1" applyProtection="1">
      <alignment horizontal="right"/>
    </xf>
    <xf numFmtId="171" fontId="3" fillId="4" borderId="39" xfId="0" applyNumberFormat="1" applyFont="1" applyFill="1" applyBorder="1" applyProtection="1"/>
    <xf numFmtId="171" fontId="4" fillId="11" borderId="19" xfId="1" applyNumberFormat="1" applyFont="1" applyFill="1" applyBorder="1" applyAlignment="1" applyProtection="1">
      <alignment horizontal="right"/>
      <protection locked="0"/>
    </xf>
    <xf numFmtId="171" fontId="3" fillId="4" borderId="48" xfId="0" applyNumberFormat="1" applyFont="1" applyFill="1" applyBorder="1" applyProtection="1"/>
    <xf numFmtId="171" fontId="4" fillId="11" borderId="41" xfId="1" applyNumberFormat="1" applyFont="1" applyFill="1" applyBorder="1" applyAlignment="1" applyProtection="1">
      <alignment horizontal="right"/>
      <protection locked="0"/>
    </xf>
    <xf numFmtId="171" fontId="4" fillId="11" borderId="17" xfId="1" applyNumberFormat="1" applyFont="1" applyFill="1" applyBorder="1" applyProtection="1">
      <protection locked="0"/>
    </xf>
    <xf numFmtId="171" fontId="4" fillId="11" borderId="19" xfId="1" applyNumberFormat="1" applyFont="1" applyFill="1" applyBorder="1" applyProtection="1">
      <protection locked="0"/>
    </xf>
    <xf numFmtId="171" fontId="4" fillId="11" borderId="41" xfId="1" applyNumberFormat="1" applyFont="1" applyFill="1" applyBorder="1" applyProtection="1">
      <protection locked="0"/>
    </xf>
    <xf numFmtId="171" fontId="3" fillId="4" borderId="3" xfId="1" applyNumberFormat="1" applyFont="1" applyFill="1" applyBorder="1" applyAlignment="1" applyProtection="1">
      <alignment horizontal="right"/>
    </xf>
    <xf numFmtId="171" fontId="3" fillId="4" borderId="42" xfId="0" applyNumberFormat="1" applyFont="1" applyFill="1" applyBorder="1" applyProtection="1"/>
    <xf numFmtId="171" fontId="3" fillId="4" borderId="16" xfId="1" applyNumberFormat="1" applyFont="1" applyFill="1" applyBorder="1" applyAlignment="1" applyProtection="1">
      <alignment horizontal="right"/>
    </xf>
    <xf numFmtId="171" fontId="3" fillId="4" borderId="44" xfId="1" applyNumberFormat="1" applyFont="1" applyFill="1" applyBorder="1" applyAlignment="1" applyProtection="1">
      <alignment horizontal="right"/>
    </xf>
    <xf numFmtId="171" fontId="3" fillId="4" borderId="18" xfId="1" applyNumberFormat="1" applyFont="1" applyFill="1" applyBorder="1" applyAlignment="1" applyProtection="1">
      <alignment horizontal="right"/>
    </xf>
    <xf numFmtId="171" fontId="3" fillId="4" borderId="45" xfId="1" applyNumberFormat="1" applyFont="1" applyFill="1" applyBorder="1" applyAlignment="1" applyProtection="1">
      <alignment horizontal="right"/>
    </xf>
    <xf numFmtId="171" fontId="4" fillId="4" borderId="18" xfId="1" applyNumberFormat="1" applyFont="1" applyFill="1" applyBorder="1" applyAlignment="1" applyProtection="1">
      <alignment horizontal="right"/>
    </xf>
    <xf numFmtId="171" fontId="3" fillId="4" borderId="18" xfId="1" applyNumberFormat="1" applyFont="1" applyFill="1" applyBorder="1" applyProtection="1"/>
    <xf numFmtId="171" fontId="3" fillId="0" borderId="45" xfId="1" applyNumberFormat="1" applyFont="1" applyFill="1" applyBorder="1" applyAlignment="1" applyProtection="1">
      <alignment horizontal="right"/>
    </xf>
    <xf numFmtId="171" fontId="3" fillId="4" borderId="40" xfId="1" applyNumberFormat="1" applyFont="1" applyFill="1" applyBorder="1" applyProtection="1"/>
    <xf numFmtId="171" fontId="3" fillId="4" borderId="46" xfId="1" applyNumberFormat="1" applyFont="1" applyFill="1" applyBorder="1" applyProtection="1"/>
    <xf numFmtId="171" fontId="4" fillId="4" borderId="49" xfId="1" applyNumberFormat="1" applyFont="1" applyFill="1" applyBorder="1" applyProtection="1"/>
    <xf numFmtId="171" fontId="4" fillId="4" borderId="50" xfId="1" applyNumberFormat="1" applyFont="1" applyFill="1" applyBorder="1" applyProtection="1"/>
    <xf numFmtId="171" fontId="4" fillId="4" borderId="51" xfId="1" applyNumberFormat="1" applyFont="1" applyFill="1" applyBorder="1" applyProtection="1"/>
    <xf numFmtId="171" fontId="4" fillId="4" borderId="36" xfId="1" applyNumberFormat="1" applyFont="1" applyFill="1" applyBorder="1" applyProtection="1"/>
    <xf numFmtId="171" fontId="4" fillId="4" borderId="47" xfId="1" applyNumberFormat="1" applyFont="1" applyFill="1" applyBorder="1" applyProtection="1"/>
    <xf numFmtId="171" fontId="4" fillId="4" borderId="18" xfId="1" applyNumberFormat="1" applyFont="1" applyFill="1" applyBorder="1" applyProtection="1"/>
    <xf numFmtId="171" fontId="4" fillId="4" borderId="37" xfId="1" applyNumberFormat="1" applyFont="1" applyFill="1" applyBorder="1" applyProtection="1"/>
    <xf numFmtId="171" fontId="4" fillId="4" borderId="59" xfId="1" applyNumberFormat="1" applyFont="1" applyFill="1" applyBorder="1" applyProtection="1"/>
    <xf numFmtId="171" fontId="4" fillId="4" borderId="58" xfId="1" applyNumberFormat="1" applyFont="1" applyFill="1" applyBorder="1" applyProtection="1"/>
    <xf numFmtId="171" fontId="4" fillId="4" borderId="16" xfId="1" applyNumberFormat="1" applyFont="1" applyFill="1" applyBorder="1" applyProtection="1"/>
    <xf numFmtId="171" fontId="4" fillId="4" borderId="17" xfId="1" applyNumberFormat="1" applyFont="1" applyFill="1" applyBorder="1" applyProtection="1"/>
    <xf numFmtId="171" fontId="4" fillId="4" borderId="40" xfId="1" applyNumberFormat="1" applyFont="1" applyFill="1" applyBorder="1" applyProtection="1"/>
    <xf numFmtId="171" fontId="4" fillId="4" borderId="41" xfId="1" applyNumberFormat="1" applyFont="1" applyFill="1" applyBorder="1" applyProtection="1"/>
    <xf numFmtId="171" fontId="4" fillId="4" borderId="16" xfId="4" applyNumberFormat="1" applyFont="1" applyFill="1" applyBorder="1" applyAlignment="1" applyProtection="1">
      <alignment horizontal="right"/>
    </xf>
    <xf numFmtId="171" fontId="4" fillId="4" borderId="17" xfId="4" applyNumberFormat="1" applyFont="1" applyFill="1" applyBorder="1" applyAlignment="1" applyProtection="1">
      <alignment horizontal="right"/>
    </xf>
    <xf numFmtId="171" fontId="3" fillId="4" borderId="39" xfId="4" applyNumberFormat="1" applyFont="1" applyFill="1" applyBorder="1" applyAlignment="1" applyProtection="1">
      <alignment horizontal="right"/>
    </xf>
    <xf numFmtId="171" fontId="4" fillId="4" borderId="18" xfId="4" applyNumberFormat="1" applyFont="1" applyFill="1" applyBorder="1" applyAlignment="1" applyProtection="1">
      <alignment horizontal="right"/>
    </xf>
    <xf numFmtId="171" fontId="4" fillId="4" borderId="19" xfId="4" applyNumberFormat="1" applyFont="1" applyFill="1" applyBorder="1" applyAlignment="1" applyProtection="1">
      <alignment horizontal="right"/>
    </xf>
    <xf numFmtId="171" fontId="3" fillId="4" borderId="48" xfId="4" applyNumberFormat="1" applyFont="1" applyFill="1" applyBorder="1" applyAlignment="1" applyProtection="1">
      <alignment horizontal="right"/>
    </xf>
    <xf numFmtId="171" fontId="17" fillId="4" borderId="18" xfId="4" applyNumberFormat="1" applyFont="1" applyFill="1" applyBorder="1" applyAlignment="1" applyProtection="1">
      <alignment horizontal="right"/>
    </xf>
    <xf numFmtId="171" fontId="17" fillId="4" borderId="19" xfId="4" applyNumberFormat="1" applyFont="1" applyFill="1" applyBorder="1" applyAlignment="1" applyProtection="1">
      <alignment horizontal="right"/>
    </xf>
    <xf numFmtId="171" fontId="17" fillId="4" borderId="59" xfId="4" applyNumberFormat="1" applyFont="1" applyFill="1" applyBorder="1" applyAlignment="1" applyProtection="1">
      <alignment horizontal="right"/>
    </xf>
    <xf numFmtId="171" fontId="3" fillId="4" borderId="18" xfId="4" applyNumberFormat="1" applyFont="1" applyFill="1" applyBorder="1" applyAlignment="1" applyProtection="1">
      <alignment horizontal="right"/>
    </xf>
    <xf numFmtId="171" fontId="3" fillId="4" borderId="19" xfId="4" applyNumberFormat="1" applyFont="1" applyFill="1" applyBorder="1" applyAlignment="1" applyProtection="1">
      <alignment horizontal="right"/>
    </xf>
    <xf numFmtId="171" fontId="3" fillId="4" borderId="40" xfId="4" applyNumberFormat="1" applyFont="1" applyFill="1" applyBorder="1" applyAlignment="1" applyProtection="1">
      <alignment horizontal="right"/>
    </xf>
    <xf numFmtId="171" fontId="3" fillId="4" borderId="41" xfId="4" applyNumberFormat="1" applyFont="1" applyFill="1" applyBorder="1" applyAlignment="1" applyProtection="1">
      <alignment horizontal="right"/>
    </xf>
    <xf numFmtId="171" fontId="3" fillId="4" borderId="42" xfId="4" applyNumberFormat="1" applyFont="1" applyFill="1" applyBorder="1" applyAlignment="1" applyProtection="1">
      <alignment horizontal="right"/>
    </xf>
    <xf numFmtId="171" fontId="24" fillId="4" borderId="48" xfId="4" applyNumberFormat="1" applyFont="1" applyFill="1" applyBorder="1" applyAlignment="1" applyProtection="1">
      <alignment horizontal="right"/>
    </xf>
    <xf numFmtId="171" fontId="3" fillId="4" borderId="0" xfId="4" applyNumberFormat="1" applyFont="1" applyFill="1" applyBorder="1" applyAlignment="1" applyProtection="1">
      <alignment horizontal="right"/>
    </xf>
    <xf numFmtId="171" fontId="4" fillId="5" borderId="16" xfId="1" applyNumberFormat="1" applyFont="1" applyFill="1" applyBorder="1" applyAlignment="1" applyProtection="1">
      <alignment horizontal="right"/>
    </xf>
    <xf numFmtId="171" fontId="4" fillId="5" borderId="17" xfId="1" applyNumberFormat="1" applyFont="1" applyFill="1" applyBorder="1" applyAlignment="1" applyProtection="1">
      <alignment horizontal="right"/>
    </xf>
    <xf numFmtId="171" fontId="3" fillId="5" borderId="39" xfId="1" applyNumberFormat="1" applyFont="1" applyFill="1" applyBorder="1" applyProtection="1"/>
    <xf numFmtId="171" fontId="3" fillId="5" borderId="48" xfId="1" applyNumberFormat="1" applyFont="1" applyFill="1" applyBorder="1" applyProtection="1"/>
    <xf numFmtId="171" fontId="3" fillId="5" borderId="42" xfId="1" applyNumberFormat="1" applyFont="1" applyFill="1" applyBorder="1" applyProtection="1"/>
    <xf numFmtId="171" fontId="17" fillId="5" borderId="18" xfId="1" applyNumberFormat="1" applyFont="1" applyFill="1" applyBorder="1" applyProtection="1"/>
    <xf numFmtId="171" fontId="17" fillId="5" borderId="19" xfId="1" applyNumberFormat="1" applyFont="1" applyFill="1" applyBorder="1" applyProtection="1"/>
    <xf numFmtId="171" fontId="3" fillId="5" borderId="0" xfId="1" applyNumberFormat="1" applyFont="1" applyFill="1" applyBorder="1" applyProtection="1"/>
    <xf numFmtId="171" fontId="3" fillId="5" borderId="35" xfId="1" applyNumberFormat="1" applyFont="1" applyFill="1" applyBorder="1" applyProtection="1"/>
    <xf numFmtId="0" fontId="3" fillId="4" borderId="1" xfId="0" applyFont="1" applyFill="1" applyBorder="1" applyAlignment="1" applyProtection="1">
      <alignment vertical="top" wrapText="1"/>
    </xf>
    <xf numFmtId="0" fontId="3" fillId="4" borderId="2" xfId="0" applyFont="1" applyFill="1" applyBorder="1" applyAlignment="1" applyProtection="1">
      <alignment vertical="top" wrapText="1"/>
    </xf>
    <xf numFmtId="0" fontId="4" fillId="4" borderId="23" xfId="0" applyFont="1" applyFill="1" applyBorder="1" applyAlignment="1" applyProtection="1">
      <alignment vertical="top" wrapText="1"/>
    </xf>
    <xf numFmtId="0" fontId="4" fillId="4" borderId="21" xfId="0" applyFont="1" applyFill="1" applyBorder="1" applyAlignment="1" applyProtection="1">
      <alignment wrapText="1"/>
    </xf>
    <xf numFmtId="0" fontId="3" fillId="4" borderId="21" xfId="0" applyFont="1" applyFill="1" applyBorder="1" applyAlignment="1" applyProtection="1">
      <alignment vertical="top" wrapText="1"/>
    </xf>
    <xf numFmtId="0" fontId="4" fillId="4" borderId="21" xfId="0" applyFont="1" applyFill="1" applyBorder="1" applyAlignment="1" applyProtection="1">
      <alignment vertical="top" wrapText="1"/>
    </xf>
    <xf numFmtId="0" fontId="4" fillId="4" borderId="21" xfId="0" applyFont="1" applyFill="1" applyBorder="1" applyAlignment="1" applyProtection="1">
      <alignment horizontal="left" indent="1"/>
    </xf>
    <xf numFmtId="0" fontId="3" fillId="4" borderId="21" xfId="0" applyFont="1" applyFill="1" applyBorder="1" applyAlignment="1" applyProtection="1">
      <alignment wrapText="1"/>
    </xf>
    <xf numFmtId="0" fontId="4" fillId="4" borderId="1" xfId="0" applyFont="1" applyFill="1" applyBorder="1" applyAlignment="1" applyProtection="1">
      <alignment vertical="top" wrapText="1"/>
    </xf>
    <xf numFmtId="0" fontId="39" fillId="12" borderId="21" xfId="0" applyFont="1" applyFill="1" applyBorder="1" applyAlignment="1" applyProtection="1">
      <alignment vertical="top" wrapText="1"/>
    </xf>
    <xf numFmtId="0" fontId="3" fillId="5" borderId="26" xfId="0" applyFont="1" applyFill="1" applyBorder="1" applyAlignment="1" applyProtection="1">
      <alignment vertical="top" wrapText="1"/>
    </xf>
    <xf numFmtId="0" fontId="3" fillId="5" borderId="23" xfId="0" applyFont="1" applyFill="1" applyBorder="1" applyAlignment="1" applyProtection="1">
      <alignment vertical="top" wrapText="1"/>
    </xf>
    <xf numFmtId="0" fontId="4" fillId="5" borderId="21" xfId="0" applyFont="1" applyFill="1" applyBorder="1" applyAlignment="1" applyProtection="1">
      <alignment vertical="top" wrapText="1"/>
    </xf>
    <xf numFmtId="0" fontId="4" fillId="0" borderId="21" xfId="0" applyFont="1" applyFill="1" applyBorder="1" applyAlignment="1" applyProtection="1">
      <alignment vertical="top" wrapText="1"/>
    </xf>
    <xf numFmtId="0" fontId="3" fillId="5" borderId="21" xfId="0" applyFont="1" applyFill="1" applyBorder="1" applyAlignment="1" applyProtection="1">
      <alignment vertical="top" wrapText="1"/>
    </xf>
    <xf numFmtId="0" fontId="3" fillId="0" borderId="21" xfId="0" applyFont="1" applyBorder="1" applyAlignment="1" applyProtection="1">
      <alignment vertical="top" wrapText="1"/>
    </xf>
    <xf numFmtId="9" fontId="4" fillId="4" borderId="0" xfId="1" applyNumberFormat="1" applyFont="1" applyFill="1" applyBorder="1" applyProtection="1"/>
    <xf numFmtId="171" fontId="4" fillId="4" borderId="60" xfId="1" applyNumberFormat="1" applyFont="1" applyFill="1" applyBorder="1" applyProtection="1"/>
    <xf numFmtId="171" fontId="4" fillId="4" borderId="61" xfId="1" applyNumberFormat="1" applyFont="1" applyFill="1" applyBorder="1" applyProtection="1"/>
    <xf numFmtId="171" fontId="4" fillId="4" borderId="62" xfId="1" applyNumberFormat="1" applyFont="1" applyFill="1" applyBorder="1" applyProtection="1"/>
    <xf numFmtId="171" fontId="4" fillId="4" borderId="70" xfId="1" applyNumberFormat="1" applyFont="1" applyFill="1" applyBorder="1" applyProtection="1"/>
    <xf numFmtId="171" fontId="4" fillId="4" borderId="71" xfId="1" applyNumberFormat="1" applyFont="1" applyFill="1" applyBorder="1" applyProtection="1"/>
    <xf numFmtId="171" fontId="4" fillId="4" borderId="72" xfId="1" applyNumberFormat="1" applyFont="1" applyFill="1" applyBorder="1" applyProtection="1"/>
    <xf numFmtId="171" fontId="4" fillId="4" borderId="48" xfId="1" applyNumberFormat="1" applyFont="1" applyFill="1" applyBorder="1" applyProtection="1"/>
    <xf numFmtId="165" fontId="3" fillId="4" borderId="1" xfId="2" applyFont="1" applyFill="1" applyBorder="1" applyAlignment="1" applyProtection="1">
      <alignment wrapText="1"/>
    </xf>
    <xf numFmtId="165" fontId="3" fillId="4" borderId="1" xfId="2" applyFont="1" applyFill="1" applyBorder="1" applyAlignment="1" applyProtection="1">
      <alignment horizontal="center"/>
    </xf>
    <xf numFmtId="10" fontId="0" fillId="0" borderId="1" xfId="0" applyNumberFormat="1" applyFont="1" applyBorder="1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/>
    </xf>
    <xf numFmtId="0" fontId="1" fillId="0" borderId="0" xfId="0" applyFont="1" applyAlignment="1" applyProtection="1">
      <alignment wrapText="1"/>
    </xf>
    <xf numFmtId="0" fontId="4" fillId="0" borderId="0" xfId="0" applyFont="1" applyProtection="1"/>
    <xf numFmtId="0" fontId="4" fillId="2" borderId="8" xfId="0" applyFont="1" applyFill="1" applyBorder="1" applyAlignment="1" applyProtection="1">
      <alignment horizontal="center" wrapText="1"/>
    </xf>
    <xf numFmtId="0" fontId="0" fillId="0" borderId="0" xfId="0" applyProtection="1"/>
    <xf numFmtId="0" fontId="4" fillId="2" borderId="14" xfId="0" applyFont="1" applyFill="1" applyBorder="1" applyAlignment="1" applyProtection="1">
      <alignment wrapText="1"/>
    </xf>
    <xf numFmtId="4" fontId="4" fillId="0" borderId="50" xfId="0" applyNumberFormat="1" applyFont="1" applyBorder="1" applyProtection="1"/>
    <xf numFmtId="4" fontId="3" fillId="4" borderId="50" xfId="1" applyNumberFormat="1" applyFont="1" applyFill="1" applyBorder="1" applyProtection="1"/>
    <xf numFmtId="10" fontId="4" fillId="4" borderId="51" xfId="3" applyNumberFormat="1" applyFont="1" applyFill="1" applyBorder="1" applyAlignment="1" applyProtection="1">
      <alignment horizontal="center" wrapText="1"/>
    </xf>
    <xf numFmtId="0" fontId="4" fillId="4" borderId="52" xfId="0" applyFont="1" applyFill="1" applyBorder="1" applyAlignment="1" applyProtection="1">
      <alignment wrapText="1"/>
    </xf>
    <xf numFmtId="4" fontId="4" fillId="4" borderId="60" xfId="1" applyNumberFormat="1" applyFont="1" applyFill="1" applyBorder="1" applyProtection="1"/>
    <xf numFmtId="4" fontId="4" fillId="4" borderId="61" xfId="1" applyNumberFormat="1" applyFont="1" applyFill="1" applyBorder="1" applyProtection="1"/>
    <xf numFmtId="4" fontId="3" fillId="4" borderId="61" xfId="1" applyNumberFormat="1" applyFont="1" applyFill="1" applyBorder="1" applyProtection="1"/>
    <xf numFmtId="10" fontId="4" fillId="4" borderId="62" xfId="3" applyNumberFormat="1" applyFont="1" applyFill="1" applyBorder="1" applyAlignment="1" applyProtection="1">
      <alignment horizontal="center" wrapText="1"/>
    </xf>
    <xf numFmtId="0" fontId="3" fillId="4" borderId="52" xfId="0" applyFont="1" applyFill="1" applyBorder="1" applyAlignment="1" applyProtection="1">
      <alignment wrapText="1"/>
    </xf>
    <xf numFmtId="4" fontId="3" fillId="0" borderId="61" xfId="1" applyNumberFormat="1" applyFont="1" applyFill="1" applyBorder="1" applyProtection="1"/>
    <xf numFmtId="4" fontId="4" fillId="0" borderId="61" xfId="1" applyNumberFormat="1" applyFont="1" applyFill="1" applyBorder="1" applyProtection="1"/>
    <xf numFmtId="0" fontId="3" fillId="4" borderId="5" xfId="0" applyFont="1" applyFill="1" applyBorder="1" applyAlignment="1" applyProtection="1">
      <alignment wrapText="1"/>
    </xf>
    <xf numFmtId="4" fontId="3" fillId="0" borderId="63" xfId="1" applyNumberFormat="1" applyFont="1" applyFill="1" applyBorder="1" applyProtection="1"/>
    <xf numFmtId="4" fontId="3" fillId="4" borderId="63" xfId="1" applyNumberFormat="1" applyFont="1" applyFill="1" applyBorder="1" applyProtection="1"/>
    <xf numFmtId="4" fontId="0" fillId="0" borderId="0" xfId="0" applyNumberFormat="1" applyProtection="1"/>
    <xf numFmtId="10" fontId="4" fillId="4" borderId="10" xfId="3" applyNumberFormat="1" applyFont="1" applyFill="1" applyBorder="1" applyAlignment="1" applyProtection="1">
      <alignment horizontal="center" wrapText="1"/>
    </xf>
    <xf numFmtId="0" fontId="0" fillId="4" borderId="0" xfId="0" applyFill="1" applyProtection="1"/>
    <xf numFmtId="0" fontId="13" fillId="4" borderId="0" xfId="0" applyFont="1" applyFill="1" applyAlignment="1" applyProtection="1">
      <alignment horizontal="right"/>
    </xf>
    <xf numFmtId="0" fontId="12" fillId="4" borderId="0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wrapText="1"/>
    </xf>
    <xf numFmtId="0" fontId="17" fillId="4" borderId="0" xfId="0" applyFont="1" applyFill="1" applyProtection="1"/>
    <xf numFmtId="0" fontId="4" fillId="16" borderId="1" xfId="0" applyFont="1" applyFill="1" applyBorder="1" applyAlignment="1" applyProtection="1">
      <alignment horizontal="left" vertical="center"/>
    </xf>
    <xf numFmtId="0" fontId="4" fillId="16" borderId="1" xfId="0" applyFont="1" applyFill="1" applyBorder="1" applyAlignment="1" applyProtection="1">
      <alignment horizontal="left" vertical="center" wrapText="1"/>
    </xf>
    <xf numFmtId="166" fontId="4" fillId="4" borderId="19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10" fontId="4" fillId="16" borderId="35" xfId="0" applyNumberFormat="1" applyFont="1" applyFill="1" applyBorder="1" applyAlignment="1" applyProtection="1">
      <alignment horizontal="center" vertical="center"/>
    </xf>
    <xf numFmtId="171" fontId="4" fillId="4" borderId="1" xfId="1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vertical="center" wrapText="1"/>
    </xf>
    <xf numFmtId="171" fontId="3" fillId="4" borderId="1" xfId="1" applyNumberFormat="1" applyFont="1" applyFill="1" applyBorder="1" applyAlignment="1" applyProtection="1">
      <alignment horizontal="center" vertical="center"/>
    </xf>
    <xf numFmtId="171" fontId="3" fillId="4" borderId="12" xfId="1" applyNumberFormat="1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 applyProtection="1">
      <alignment wrapText="1"/>
    </xf>
    <xf numFmtId="0" fontId="3" fillId="2" borderId="55" xfId="0" applyFont="1" applyFill="1" applyBorder="1" applyAlignment="1" applyProtection="1">
      <alignment wrapText="1"/>
    </xf>
    <xf numFmtId="0" fontId="4" fillId="16" borderId="8" xfId="0" applyFont="1" applyFill="1" applyBorder="1" applyAlignment="1" applyProtection="1">
      <alignment horizontal="left" vertical="center" wrapText="1"/>
    </xf>
    <xf numFmtId="0" fontId="4" fillId="16" borderId="7" xfId="0" applyFont="1" applyFill="1" applyBorder="1" applyAlignment="1" applyProtection="1">
      <alignment horizontal="left" vertical="center" wrapText="1"/>
    </xf>
    <xf numFmtId="172" fontId="4" fillId="4" borderId="0" xfId="0" applyNumberFormat="1" applyFont="1" applyFill="1" applyProtection="1"/>
    <xf numFmtId="0" fontId="3" fillId="2" borderId="9" xfId="0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wrapText="1"/>
    </xf>
    <xf numFmtId="0" fontId="4" fillId="4" borderId="13" xfId="0" applyFont="1" applyFill="1" applyBorder="1" applyProtection="1"/>
    <xf numFmtId="0" fontId="4" fillId="4" borderId="9" xfId="0" applyFont="1" applyFill="1" applyBorder="1" applyAlignment="1" applyProtection="1">
      <alignment horizontal="center" wrapText="1"/>
    </xf>
    <xf numFmtId="170" fontId="4" fillId="4" borderId="1" xfId="3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0" fontId="4" fillId="4" borderId="1" xfId="3" applyNumberFormat="1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Protection="1"/>
    <xf numFmtId="0" fontId="4" fillId="4" borderId="11" xfId="0" applyFont="1" applyFill="1" applyBorder="1" applyAlignment="1" applyProtection="1">
      <alignment horizontal="center" wrapText="1"/>
    </xf>
    <xf numFmtId="166" fontId="4" fillId="4" borderId="1" xfId="0" applyNumberFormat="1" applyFont="1" applyFill="1" applyBorder="1" applyAlignment="1" applyProtection="1">
      <alignment horizontal="center" vertical="center" wrapText="1"/>
    </xf>
    <xf numFmtId="171" fontId="3" fillId="4" borderId="45" xfId="0" applyNumberFormat="1" applyFont="1" applyFill="1" applyBorder="1" applyProtection="1"/>
    <xf numFmtId="171" fontId="3" fillId="4" borderId="44" xfId="0" applyNumberFormat="1" applyFont="1" applyFill="1" applyBorder="1" applyProtection="1"/>
    <xf numFmtId="171" fontId="3" fillId="4" borderId="46" xfId="0" applyNumberFormat="1" applyFont="1" applyFill="1" applyBorder="1" applyProtection="1"/>
    <xf numFmtId="166" fontId="3" fillId="4" borderId="11" xfId="0" applyNumberFormat="1" applyFont="1" applyFill="1" applyBorder="1" applyProtection="1"/>
    <xf numFmtId="171" fontId="3" fillId="4" borderId="17" xfId="0" applyNumberFormat="1" applyFont="1" applyFill="1" applyBorder="1" applyProtection="1"/>
    <xf numFmtId="171" fontId="3" fillId="4" borderId="19" xfId="0" applyNumberFormat="1" applyFont="1" applyFill="1" applyBorder="1" applyProtection="1"/>
    <xf numFmtId="171" fontId="3" fillId="4" borderId="41" xfId="0" applyNumberFormat="1" applyFont="1" applyFill="1" applyBorder="1" applyProtection="1"/>
    <xf numFmtId="166" fontId="3" fillId="4" borderId="7" xfId="0" applyNumberFormat="1" applyFont="1" applyFill="1" applyBorder="1" applyProtection="1"/>
    <xf numFmtId="10" fontId="3" fillId="4" borderId="35" xfId="3" applyNumberFormat="1" applyFont="1" applyFill="1" applyBorder="1" applyProtection="1"/>
    <xf numFmtId="4" fontId="4" fillId="12" borderId="22" xfId="0" applyNumberFormat="1" applyFont="1" applyFill="1" applyBorder="1" applyAlignment="1" applyProtection="1"/>
    <xf numFmtId="4" fontId="19" fillId="12" borderId="22" xfId="0" applyNumberFormat="1" applyFont="1" applyFill="1" applyBorder="1" applyAlignment="1" applyProtection="1">
      <alignment vertical="top" wrapText="1"/>
    </xf>
    <xf numFmtId="0" fontId="19" fillId="5" borderId="0" xfId="0" applyFont="1" applyFill="1" applyAlignment="1" applyProtection="1">
      <alignment vertical="top" wrapText="1"/>
    </xf>
    <xf numFmtId="3" fontId="4" fillId="0" borderId="0" xfId="0" applyNumberFormat="1" applyFont="1" applyFill="1" applyAlignment="1" applyProtection="1">
      <alignment vertical="top" wrapText="1"/>
    </xf>
    <xf numFmtId="3" fontId="4" fillId="0" borderId="0" xfId="0" applyNumberFormat="1" applyFont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4" fillId="5" borderId="0" xfId="0" applyFont="1" applyFill="1" applyAlignment="1" applyProtection="1">
      <alignment vertical="top" wrapText="1"/>
    </xf>
    <xf numFmtId="0" fontId="19" fillId="5" borderId="23" xfId="0" applyFont="1" applyFill="1" applyBorder="1" applyAlignment="1" applyProtection="1">
      <alignment vertical="top" wrapText="1"/>
    </xf>
    <xf numFmtId="0" fontId="4" fillId="5" borderId="24" xfId="0" applyFont="1" applyFill="1" applyBorder="1" applyAlignment="1" applyProtection="1">
      <alignment vertical="top" wrapText="1"/>
    </xf>
    <xf numFmtId="4" fontId="4" fillId="5" borderId="24" xfId="0" applyNumberFormat="1" applyFont="1" applyFill="1" applyBorder="1" applyAlignment="1" applyProtection="1">
      <alignment horizontal="center"/>
    </xf>
    <xf numFmtId="4" fontId="4" fillId="5" borderId="24" xfId="0" applyNumberFormat="1" applyFont="1" applyFill="1" applyBorder="1" applyAlignment="1" applyProtection="1">
      <alignment vertical="top" wrapText="1"/>
    </xf>
    <xf numFmtId="4" fontId="19" fillId="5" borderId="24" xfId="0" applyNumberFormat="1" applyFont="1" applyFill="1" applyBorder="1" applyAlignment="1" applyProtection="1">
      <alignment vertical="top" wrapText="1"/>
    </xf>
    <xf numFmtId="0" fontId="4" fillId="5" borderId="25" xfId="0" applyFont="1" applyFill="1" applyBorder="1" applyAlignment="1" applyProtection="1">
      <alignment vertical="top" wrapText="1"/>
    </xf>
    <xf numFmtId="0" fontId="3" fillId="5" borderId="0" xfId="0" applyFont="1" applyFill="1" applyBorder="1" applyAlignment="1" applyProtection="1">
      <alignment horizontal="center"/>
    </xf>
    <xf numFmtId="3" fontId="3" fillId="5" borderId="0" xfId="0" applyNumberFormat="1" applyFont="1" applyFill="1" applyBorder="1" applyAlignment="1" applyProtection="1">
      <alignment horizontal="center"/>
    </xf>
    <xf numFmtId="4" fontId="3" fillId="5" borderId="26" xfId="0" applyNumberFormat="1" applyFont="1" applyFill="1" applyBorder="1" applyAlignment="1" applyProtection="1">
      <alignment horizontal="center"/>
    </xf>
    <xf numFmtId="167" fontId="4" fillId="5" borderId="22" xfId="0" applyNumberFormat="1" applyFont="1" applyFill="1" applyBorder="1" applyAlignment="1" applyProtection="1">
      <alignment horizontal="center"/>
    </xf>
    <xf numFmtId="4" fontId="4" fillId="5" borderId="22" xfId="0" applyNumberFormat="1" applyFont="1" applyFill="1" applyBorder="1" applyAlignment="1" applyProtection="1">
      <alignment horizontal="center"/>
    </xf>
    <xf numFmtId="4" fontId="4" fillId="5" borderId="27" xfId="0" applyNumberFormat="1" applyFont="1" applyFill="1" applyBorder="1" applyAlignment="1" applyProtection="1">
      <alignment horizontal="center"/>
    </xf>
    <xf numFmtId="0" fontId="4" fillId="4" borderId="26" xfId="0" applyNumberFormat="1" applyFont="1" applyFill="1" applyBorder="1" applyAlignment="1" applyProtection="1">
      <alignment vertical="top" wrapText="1"/>
    </xf>
    <xf numFmtId="10" fontId="4" fillId="5" borderId="26" xfId="0" applyNumberFormat="1" applyFont="1" applyFill="1" applyBorder="1" applyAlignment="1" applyProtection="1">
      <alignment horizontal="center"/>
    </xf>
    <xf numFmtId="4" fontId="4" fillId="5" borderId="26" xfId="0" applyNumberFormat="1" applyFont="1" applyFill="1" applyBorder="1" applyAlignment="1" applyProtection="1">
      <alignment horizontal="center"/>
    </xf>
    <xf numFmtId="0" fontId="4" fillId="4" borderId="28" xfId="0" applyFont="1" applyFill="1" applyBorder="1" applyAlignment="1" applyProtection="1">
      <alignment vertical="top" wrapText="1"/>
    </xf>
    <xf numFmtId="4" fontId="4" fillId="5" borderId="28" xfId="0" applyNumberFormat="1" applyFont="1" applyFill="1" applyBorder="1" applyAlignment="1" applyProtection="1">
      <alignment horizontal="center"/>
    </xf>
    <xf numFmtId="0" fontId="3" fillId="4" borderId="28" xfId="0" applyFont="1" applyFill="1" applyBorder="1" applyAlignment="1" applyProtection="1">
      <alignment vertical="top" wrapText="1"/>
    </xf>
    <xf numFmtId="4" fontId="3" fillId="5" borderId="28" xfId="0" applyNumberFormat="1" applyFont="1" applyFill="1" applyBorder="1" applyAlignment="1" applyProtection="1">
      <alignment horizontal="center"/>
    </xf>
    <xf numFmtId="0" fontId="4" fillId="4" borderId="29" xfId="0" applyFont="1" applyFill="1" applyBorder="1" applyAlignment="1" applyProtection="1">
      <alignment vertical="top" wrapText="1"/>
    </xf>
    <xf numFmtId="0" fontId="3" fillId="4" borderId="32" xfId="0" applyFont="1" applyFill="1" applyBorder="1" applyAlignment="1" applyProtection="1">
      <alignment vertical="top" wrapText="1"/>
    </xf>
    <xf numFmtId="4" fontId="3" fillId="5" borderId="27" xfId="0" applyNumberFormat="1" applyFont="1" applyFill="1" applyBorder="1" applyAlignment="1" applyProtection="1">
      <alignment horizontal="center"/>
    </xf>
    <xf numFmtId="0" fontId="23" fillId="0" borderId="0" xfId="0" applyFont="1" applyProtection="1"/>
    <xf numFmtId="0" fontId="23" fillId="0" borderId="1" xfId="0" applyFont="1" applyBorder="1" applyAlignment="1" applyProtection="1">
      <alignment wrapText="1"/>
    </xf>
    <xf numFmtId="0" fontId="23" fillId="0" borderId="1" xfId="0" applyFont="1" applyBorder="1" applyProtection="1"/>
    <xf numFmtId="0" fontId="23" fillId="0" borderId="1" xfId="0" applyFont="1" applyFill="1" applyBorder="1" applyProtection="1"/>
    <xf numFmtId="10" fontId="23" fillId="0" borderId="1" xfId="0" applyNumberFormat="1" applyFont="1" applyBorder="1" applyProtection="1"/>
    <xf numFmtId="0" fontId="4" fillId="5" borderId="1" xfId="0" applyFont="1" applyFill="1" applyBorder="1" applyProtection="1"/>
    <xf numFmtId="0" fontId="23" fillId="4" borderId="0" xfId="0" applyFont="1" applyFill="1" applyProtection="1"/>
    <xf numFmtId="0" fontId="23" fillId="0" borderId="0" xfId="0" applyFont="1" applyProtection="1">
      <protection locked="0"/>
    </xf>
    <xf numFmtId="0" fontId="23" fillId="3" borderId="1" xfId="0" applyFont="1" applyFill="1" applyBorder="1" applyProtection="1">
      <protection locked="0"/>
    </xf>
    <xf numFmtId="0" fontId="13" fillId="0" borderId="0" xfId="0" applyFont="1" applyAlignment="1" applyProtection="1">
      <alignment vertical="top" wrapText="1"/>
      <protection locked="0"/>
    </xf>
    <xf numFmtId="173" fontId="13" fillId="3" borderId="1" xfId="4" applyNumberFormat="1" applyFont="1" applyFill="1" applyBorder="1" applyAlignment="1" applyProtection="1">
      <alignment vertical="top" wrapText="1"/>
      <protection locked="0"/>
    </xf>
    <xf numFmtId="0" fontId="13" fillId="3" borderId="1" xfId="0" applyFont="1" applyFill="1" applyBorder="1" applyAlignment="1" applyProtection="1">
      <alignment horizontal="left" vertical="top" wrapText="1" indent="1"/>
      <protection locked="0"/>
    </xf>
    <xf numFmtId="0" fontId="23" fillId="4" borderId="0" xfId="0" applyFont="1" applyFill="1" applyProtection="1">
      <protection locked="0"/>
    </xf>
    <xf numFmtId="0" fontId="32" fillId="4" borderId="0" xfId="0" applyFont="1" applyFill="1" applyProtection="1">
      <protection locked="0"/>
    </xf>
    <xf numFmtId="0" fontId="32" fillId="0" borderId="0" xfId="0" applyFont="1" applyProtection="1">
      <protection locked="0"/>
    </xf>
    <xf numFmtId="4" fontId="23" fillId="3" borderId="1" xfId="0" applyNumberFormat="1" applyFont="1" applyFill="1" applyBorder="1" applyProtection="1">
      <protection locked="0"/>
    </xf>
    <xf numFmtId="4" fontId="32" fillId="3" borderId="1" xfId="0" applyNumberFormat="1" applyFont="1" applyFill="1" applyBorder="1" applyProtection="1">
      <protection locked="0"/>
    </xf>
    <xf numFmtId="0" fontId="40" fillId="0" borderId="0" xfId="0" applyFont="1" applyProtection="1"/>
    <xf numFmtId="0" fontId="32" fillId="0" borderId="1" xfId="0" applyFont="1" applyBorder="1" applyProtection="1"/>
    <xf numFmtId="2" fontId="32" fillId="0" borderId="1" xfId="0" applyNumberFormat="1" applyFont="1" applyBorder="1" applyProtection="1"/>
    <xf numFmtId="10" fontId="32" fillId="0" borderId="1" xfId="0" applyNumberFormat="1" applyFont="1" applyBorder="1" applyProtection="1"/>
    <xf numFmtId="4" fontId="32" fillId="0" borderId="1" xfId="0" applyNumberFormat="1" applyFont="1" applyBorder="1" applyProtection="1"/>
    <xf numFmtId="4" fontId="32" fillId="4" borderId="1" xfId="0" applyNumberFormat="1" applyFont="1" applyFill="1" applyBorder="1" applyProtection="1"/>
    <xf numFmtId="0" fontId="32" fillId="0" borderId="0" xfId="0" applyFont="1" applyProtection="1"/>
    <xf numFmtId="2" fontId="23" fillId="0" borderId="1" xfId="0" applyNumberFormat="1" applyFont="1" applyBorder="1" applyAlignment="1" applyProtection="1">
      <alignment wrapText="1"/>
    </xf>
    <xf numFmtId="4" fontId="23" fillId="0" borderId="1" xfId="0" applyNumberFormat="1" applyFont="1" applyBorder="1" applyProtection="1"/>
    <xf numFmtId="4" fontId="23" fillId="4" borderId="1" xfId="0" applyNumberFormat="1" applyFont="1" applyFill="1" applyBorder="1" applyProtection="1"/>
    <xf numFmtId="2" fontId="23" fillId="0" borderId="1" xfId="0" applyNumberFormat="1" applyFont="1" applyBorder="1" applyProtection="1"/>
    <xf numFmtId="4" fontId="23" fillId="4" borderId="12" xfId="0" applyNumberFormat="1" applyFont="1" applyFill="1" applyBorder="1" applyProtection="1"/>
    <xf numFmtId="0" fontId="23" fillId="4" borderId="1" xfId="0" applyFont="1" applyFill="1" applyBorder="1" applyAlignment="1" applyProtection="1">
      <alignment wrapText="1"/>
    </xf>
    <xf numFmtId="4" fontId="32" fillId="4" borderId="12" xfId="0" applyNumberFormat="1" applyFont="1" applyFill="1" applyBorder="1" applyProtection="1"/>
    <xf numFmtId="0" fontId="32" fillId="0" borderId="1" xfId="0" applyFont="1" applyBorder="1" applyAlignment="1" applyProtection="1">
      <alignment wrapText="1"/>
    </xf>
    <xf numFmtId="0" fontId="32" fillId="0" borderId="1" xfId="0" applyNumberFormat="1" applyFont="1" applyBorder="1" applyProtection="1"/>
    <xf numFmtId="0" fontId="32" fillId="0" borderId="1" xfId="0" applyFont="1" applyFill="1" applyBorder="1" applyAlignment="1" applyProtection="1">
      <alignment horizontal="right"/>
    </xf>
    <xf numFmtId="4" fontId="23" fillId="0" borderId="0" xfId="0" applyNumberFormat="1" applyFont="1" applyProtection="1"/>
    <xf numFmtId="0" fontId="3" fillId="2" borderId="1" xfId="0" applyFont="1" applyFill="1" applyBorder="1" applyAlignment="1" applyProtection="1">
      <alignment horizontal="left" vertical="center" wrapText="1"/>
    </xf>
    <xf numFmtId="4" fontId="4" fillId="4" borderId="1" xfId="3" applyNumberFormat="1" applyFont="1" applyFill="1" applyBorder="1" applyAlignment="1" applyProtection="1">
      <alignment horizontal="center"/>
    </xf>
    <xf numFmtId="4" fontId="3" fillId="4" borderId="1" xfId="1" applyNumberFormat="1" applyFont="1" applyFill="1" applyBorder="1" applyAlignment="1" applyProtection="1">
      <alignment horizontal="center"/>
    </xf>
    <xf numFmtId="4" fontId="4" fillId="4" borderId="1" xfId="3" applyNumberFormat="1" applyFont="1" applyFill="1" applyBorder="1" applyProtection="1"/>
    <xf numFmtId="4" fontId="3" fillId="4" borderId="1" xfId="0" applyNumberFormat="1" applyFont="1" applyFill="1" applyBorder="1" applyAlignment="1" applyProtection="1">
      <alignment horizontal="center"/>
    </xf>
    <xf numFmtId="0" fontId="32" fillId="0" borderId="1" xfId="0" applyFont="1" applyBorder="1" applyAlignment="1" applyProtection="1">
      <alignment horizontal="center"/>
    </xf>
    <xf numFmtId="0" fontId="4" fillId="5" borderId="0" xfId="0" applyFont="1" applyFill="1" applyProtection="1">
      <protection locked="0"/>
    </xf>
    <xf numFmtId="4" fontId="32" fillId="3" borderId="1" xfId="0" applyNumberFormat="1" applyFont="1" applyFill="1" applyBorder="1" applyAlignment="1" applyProtection="1">
      <alignment wrapText="1"/>
      <protection locked="0"/>
    </xf>
    <xf numFmtId="0" fontId="32" fillId="3" borderId="1" xfId="0" applyFont="1" applyFill="1" applyBorder="1" applyProtection="1">
      <protection locked="0"/>
    </xf>
    <xf numFmtId="0" fontId="3" fillId="2" borderId="7" xfId="1" applyFont="1" applyFill="1" applyBorder="1" applyAlignment="1" applyProtection="1">
      <alignment horizontal="right"/>
    </xf>
    <xf numFmtId="0" fontId="4" fillId="2" borderId="3" xfId="0" applyFont="1" applyFill="1" applyBorder="1" applyProtection="1"/>
    <xf numFmtId="0" fontId="4" fillId="5" borderId="1" xfId="1" applyFont="1" applyFill="1" applyBorder="1" applyProtection="1"/>
    <xf numFmtId="164" fontId="4" fillId="5" borderId="1" xfId="1" applyNumberFormat="1" applyFont="1" applyFill="1" applyBorder="1" applyProtection="1"/>
    <xf numFmtId="0" fontId="3" fillId="5" borderId="1" xfId="1" applyFont="1" applyFill="1" applyBorder="1" applyAlignment="1" applyProtection="1">
      <alignment horizontal="left"/>
    </xf>
    <xf numFmtId="0" fontId="3" fillId="5" borderId="1" xfId="1" applyFont="1" applyFill="1" applyBorder="1" applyProtection="1"/>
    <xf numFmtId="0" fontId="32" fillId="4" borderId="1" xfId="0" applyFont="1" applyFill="1" applyBorder="1" applyAlignment="1" applyProtection="1">
      <alignment wrapText="1"/>
    </xf>
    <xf numFmtId="4" fontId="3" fillId="5" borderId="1" xfId="1" applyNumberFormat="1" applyFont="1" applyFill="1" applyBorder="1" applyProtection="1"/>
    <xf numFmtId="0" fontId="32" fillId="0" borderId="1" xfId="0" applyFont="1" applyBorder="1" applyAlignment="1" applyProtection="1">
      <alignment horizontal="left"/>
    </xf>
    <xf numFmtId="0" fontId="32" fillId="4" borderId="1" xfId="0" applyFont="1" applyFill="1" applyBorder="1" applyProtection="1"/>
    <xf numFmtId="0" fontId="37" fillId="4" borderId="1" xfId="0" applyFont="1" applyFill="1" applyBorder="1" applyProtection="1"/>
    <xf numFmtId="0" fontId="24" fillId="0" borderId="1" xfId="0" applyFont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4" fontId="3" fillId="0" borderId="1" xfId="0" applyNumberFormat="1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vertical="top" wrapText="1"/>
    </xf>
    <xf numFmtId="3" fontId="4" fillId="8" borderId="1" xfId="0" applyNumberFormat="1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wrapText="1"/>
    </xf>
    <xf numFmtId="3" fontId="3" fillId="4" borderId="1" xfId="0" applyNumberFormat="1" applyFont="1" applyFill="1" applyBorder="1" applyAlignment="1" applyProtection="1">
      <alignment horizontal="right"/>
    </xf>
    <xf numFmtId="3" fontId="4" fillId="4" borderId="1" xfId="0" applyNumberFormat="1" applyFont="1" applyFill="1" applyBorder="1" applyAlignment="1" applyProtection="1">
      <alignment horizontal="right" wrapText="1"/>
    </xf>
    <xf numFmtId="4" fontId="3" fillId="4" borderId="1" xfId="0" applyNumberFormat="1" applyFont="1" applyFill="1" applyBorder="1" applyAlignment="1" applyProtection="1">
      <alignment horizontal="right"/>
    </xf>
    <xf numFmtId="4" fontId="4" fillId="0" borderId="1" xfId="0" applyNumberFormat="1" applyFont="1" applyFill="1" applyBorder="1" applyAlignment="1" applyProtection="1">
      <alignment horizontal="right" wrapText="1"/>
    </xf>
    <xf numFmtId="0" fontId="23" fillId="0" borderId="0" xfId="0" applyFont="1" applyAlignment="1" applyProtection="1">
      <alignment wrapText="1"/>
    </xf>
    <xf numFmtId="0" fontId="4" fillId="2" borderId="8" xfId="1" applyFont="1" applyFill="1" applyBorder="1" applyAlignment="1" applyProtection="1">
      <alignment wrapText="1"/>
    </xf>
    <xf numFmtId="0" fontId="4" fillId="2" borderId="0" xfId="1" applyFont="1" applyFill="1" applyBorder="1" applyAlignment="1" applyProtection="1">
      <alignment wrapText="1"/>
    </xf>
    <xf numFmtId="0" fontId="3" fillId="2" borderId="7" xfId="1" applyFont="1" applyFill="1" applyBorder="1" applyAlignment="1" applyProtection="1">
      <alignment horizontal="right" wrapText="1"/>
    </xf>
    <xf numFmtId="0" fontId="4" fillId="5" borderId="0" xfId="1" applyFont="1" applyFill="1" applyAlignment="1" applyProtection="1">
      <alignment wrapText="1"/>
    </xf>
    <xf numFmtId="165" fontId="3" fillId="2" borderId="6" xfId="2" applyFont="1" applyFill="1" applyBorder="1" applyAlignment="1" applyProtection="1">
      <alignment wrapText="1"/>
    </xf>
    <xf numFmtId="0" fontId="4" fillId="5" borderId="1" xfId="1" applyFont="1" applyFill="1" applyBorder="1" applyAlignment="1" applyProtection="1">
      <alignment wrapText="1"/>
    </xf>
    <xf numFmtId="0" fontId="3" fillId="5" borderId="1" xfId="1" applyFont="1" applyFill="1" applyBorder="1" applyAlignment="1" applyProtection="1">
      <alignment wrapText="1"/>
    </xf>
    <xf numFmtId="0" fontId="23" fillId="4" borderId="1" xfId="0" applyFont="1" applyFill="1" applyBorder="1" applyProtection="1"/>
    <xf numFmtId="0" fontId="32" fillId="0" borderId="1" xfId="0" applyFont="1" applyFill="1" applyBorder="1" applyProtection="1"/>
    <xf numFmtId="4" fontId="25" fillId="4" borderId="12" xfId="0" applyNumberFormat="1" applyFont="1" applyFill="1" applyBorder="1" applyProtection="1"/>
    <xf numFmtId="4" fontId="6" fillId="4" borderId="12" xfId="0" applyNumberFormat="1" applyFont="1" applyFill="1" applyBorder="1" applyProtection="1"/>
    <xf numFmtId="0" fontId="4" fillId="5" borderId="1" xfId="1" applyFont="1" applyFill="1" applyBorder="1" applyAlignment="1" applyProtection="1">
      <alignment vertical="top" wrapText="1"/>
    </xf>
    <xf numFmtId="4" fontId="4" fillId="4" borderId="1" xfId="0" applyNumberFormat="1" applyFont="1" applyFill="1" applyBorder="1" applyProtection="1"/>
    <xf numFmtId="0" fontId="23" fillId="4" borderId="0" xfId="0" applyFont="1" applyFill="1" applyBorder="1" applyProtection="1"/>
    <xf numFmtId="0" fontId="23" fillId="4" borderId="0" xfId="0" applyFont="1" applyFill="1" applyBorder="1" applyAlignment="1" applyProtection="1">
      <alignment wrapText="1"/>
    </xf>
    <xf numFmtId="4" fontId="23" fillId="4" borderId="0" xfId="0" applyNumberFormat="1" applyFont="1" applyFill="1" applyBorder="1" applyProtection="1"/>
    <xf numFmtId="0" fontId="3" fillId="5" borderId="1" xfId="0" applyFont="1" applyFill="1" applyBorder="1" applyAlignment="1" applyProtection="1">
      <alignment vertical="top" wrapText="1"/>
    </xf>
    <xf numFmtId="0" fontId="17" fillId="4" borderId="1" xfId="0" applyFont="1" applyFill="1" applyBorder="1" applyAlignment="1" applyProtection="1">
      <alignment vertical="top" wrapText="1"/>
    </xf>
    <xf numFmtId="0" fontId="0" fillId="0" borderId="0" xfId="0" applyFont="1" applyProtection="1">
      <protection locked="0"/>
    </xf>
    <xf numFmtId="0" fontId="0" fillId="0" borderId="0" xfId="0" applyFont="1" applyProtection="1"/>
    <xf numFmtId="4" fontId="4" fillId="4" borderId="18" xfId="1" applyNumberFormat="1" applyFont="1" applyFill="1" applyBorder="1" applyAlignment="1" applyProtection="1">
      <alignment horizontal="right"/>
    </xf>
    <xf numFmtId="4" fontId="4" fillId="4" borderId="19" xfId="1" applyNumberFormat="1" applyFont="1" applyFill="1" applyBorder="1" applyAlignment="1" applyProtection="1">
      <alignment horizontal="right"/>
    </xf>
    <xf numFmtId="4" fontId="4" fillId="4" borderId="1" xfId="1" applyNumberFormat="1" applyFont="1" applyFill="1" applyBorder="1" applyProtection="1"/>
    <xf numFmtId="4" fontId="4" fillId="4" borderId="59" xfId="1" applyNumberFormat="1" applyFont="1" applyFill="1" applyBorder="1" applyAlignment="1" applyProtection="1">
      <alignment horizontal="right"/>
    </xf>
    <xf numFmtId="4" fontId="4" fillId="4" borderId="58" xfId="1" applyNumberFormat="1" applyFont="1" applyFill="1" applyBorder="1" applyAlignment="1" applyProtection="1">
      <alignment horizontal="right"/>
    </xf>
    <xf numFmtId="4" fontId="4" fillId="4" borderId="20" xfId="1" applyNumberFormat="1" applyFont="1" applyFill="1" applyBorder="1" applyAlignment="1" applyProtection="1">
      <alignment horizontal="right"/>
    </xf>
    <xf numFmtId="4" fontId="0" fillId="0" borderId="0" xfId="0" applyNumberFormat="1" applyFont="1" applyProtection="1"/>
    <xf numFmtId="4" fontId="4" fillId="4" borderId="59" xfId="1" applyNumberFormat="1" applyFont="1" applyFill="1" applyBorder="1" applyProtection="1"/>
    <xf numFmtId="4" fontId="4" fillId="4" borderId="58" xfId="1" applyNumberFormat="1" applyFont="1" applyFill="1" applyBorder="1" applyProtection="1"/>
    <xf numFmtId="0" fontId="4" fillId="4" borderId="0" xfId="1" applyFont="1" applyFill="1" applyBorder="1" applyProtection="1">
      <protection locked="0"/>
    </xf>
    <xf numFmtId="9" fontId="17" fillId="4" borderId="0" xfId="1" applyNumberFormat="1" applyFont="1" applyFill="1" applyBorder="1" applyProtection="1"/>
    <xf numFmtId="9" fontId="3" fillId="5" borderId="0" xfId="1" applyNumberFormat="1" applyFont="1" applyFill="1" applyBorder="1" applyProtection="1"/>
    <xf numFmtId="9" fontId="3" fillId="4" borderId="0" xfId="1" applyNumberFormat="1" applyFont="1" applyFill="1" applyBorder="1" applyProtection="1"/>
    <xf numFmtId="9" fontId="4" fillId="11" borderId="0" xfId="1" applyNumberFormat="1" applyFont="1" applyFill="1" applyBorder="1" applyProtection="1">
      <protection locked="0"/>
    </xf>
    <xf numFmtId="0" fontId="16" fillId="4" borderId="0" xfId="0" applyFont="1" applyFill="1" applyAlignment="1" applyProtection="1">
      <alignment vertical="top"/>
    </xf>
    <xf numFmtId="0" fontId="21" fillId="4" borderId="0" xfId="0" applyFont="1" applyFill="1" applyAlignment="1" applyProtection="1">
      <alignment vertical="top"/>
    </xf>
    <xf numFmtId="4" fontId="32" fillId="0" borderId="9" xfId="0" applyNumberFormat="1" applyFont="1" applyBorder="1" applyProtection="1"/>
    <xf numFmtId="0" fontId="23" fillId="0" borderId="14" xfId="0" applyFont="1" applyBorder="1" applyProtection="1"/>
    <xf numFmtId="0" fontId="23" fillId="0" borderId="0" xfId="0" applyFont="1" applyBorder="1" applyProtection="1"/>
    <xf numFmtId="0" fontId="32" fillId="0" borderId="14" xfId="0" applyFont="1" applyBorder="1" applyProtection="1"/>
    <xf numFmtId="0" fontId="32" fillId="0" borderId="0" xfId="0" applyFont="1" applyBorder="1" applyProtection="1"/>
    <xf numFmtId="168" fontId="4" fillId="4" borderId="6" xfId="1" applyNumberFormat="1" applyFont="1" applyFill="1" applyBorder="1" applyProtection="1"/>
    <xf numFmtId="0" fontId="23" fillId="0" borderId="10" xfId="0" applyFont="1" applyBorder="1" applyProtection="1"/>
    <xf numFmtId="4" fontId="32" fillId="0" borderId="14" xfId="0" applyNumberFormat="1" applyFont="1" applyBorder="1" applyProtection="1"/>
    <xf numFmtId="4" fontId="32" fillId="0" borderId="0" xfId="0" applyNumberFormat="1" applyFont="1" applyBorder="1" applyProtection="1"/>
    <xf numFmtId="4" fontId="32" fillId="0" borderId="10" xfId="0" applyNumberFormat="1" applyFont="1" applyBorder="1" applyProtection="1"/>
    <xf numFmtId="4" fontId="23" fillId="0" borderId="14" xfId="0" applyNumberFormat="1" applyFont="1" applyBorder="1" applyProtection="1"/>
    <xf numFmtId="4" fontId="23" fillId="0" borderId="0" xfId="0" applyNumberFormat="1" applyFont="1" applyBorder="1" applyProtection="1"/>
    <xf numFmtId="4" fontId="23" fillId="0" borderId="10" xfId="0" applyNumberFormat="1" applyFont="1" applyBorder="1" applyProtection="1"/>
    <xf numFmtId="0" fontId="32" fillId="0" borderId="15" xfId="0" applyFont="1" applyBorder="1" applyProtection="1"/>
    <xf numFmtId="0" fontId="32" fillId="0" borderId="7" xfId="0" applyFont="1" applyBorder="1" applyProtection="1"/>
    <xf numFmtId="0" fontId="23" fillId="0" borderId="11" xfId="0" applyFont="1" applyBorder="1" applyProtection="1"/>
    <xf numFmtId="4" fontId="32" fillId="0" borderId="15" xfId="0" applyNumberFormat="1" applyFont="1" applyBorder="1" applyProtection="1"/>
    <xf numFmtId="4" fontId="32" fillId="0" borderId="7" xfId="0" applyNumberFormat="1" applyFont="1" applyBorder="1" applyProtection="1"/>
    <xf numFmtId="4" fontId="32" fillId="0" borderId="11" xfId="0" applyNumberFormat="1" applyFont="1" applyBorder="1" applyProtection="1"/>
    <xf numFmtId="4" fontId="32" fillId="0" borderId="0" xfId="0" applyNumberFormat="1" applyFont="1" applyProtection="1"/>
    <xf numFmtId="4" fontId="23" fillId="0" borderId="12" xfId="0" applyNumberFormat="1" applyFont="1" applyBorder="1" applyProtection="1"/>
    <xf numFmtId="10" fontId="0" fillId="0" borderId="0" xfId="0" applyNumberFormat="1" applyProtection="1"/>
    <xf numFmtId="0" fontId="24" fillId="5" borderId="0" xfId="1" applyFont="1" applyFill="1" applyBorder="1" applyAlignment="1" applyProtection="1"/>
    <xf numFmtId="9" fontId="4" fillId="4" borderId="0" xfId="1" applyNumberFormat="1" applyFont="1" applyFill="1" applyBorder="1" applyProtection="1">
      <protection locked="0"/>
    </xf>
    <xf numFmtId="4" fontId="0" fillId="0" borderId="1" xfId="0" applyNumberFormat="1" applyFont="1" applyBorder="1"/>
    <xf numFmtId="4" fontId="1" fillId="0" borderId="1" xfId="0" applyNumberFormat="1" applyFont="1" applyFill="1" applyBorder="1" applyAlignment="1">
      <alignment horizontal="right"/>
    </xf>
    <xf numFmtId="10" fontId="1" fillId="0" borderId="1" xfId="0" applyNumberFormat="1" applyFont="1" applyFill="1" applyBorder="1" applyAlignment="1">
      <alignment horizontal="right"/>
    </xf>
    <xf numFmtId="0" fontId="4" fillId="2" borderId="0" xfId="1" applyFont="1" applyFill="1" applyBorder="1" applyAlignment="1" applyProtection="1">
      <alignment horizontal="center"/>
    </xf>
    <xf numFmtId="0" fontId="16" fillId="4" borderId="0" xfId="0" applyFont="1" applyFill="1" applyBorder="1" applyAlignment="1" applyProtection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17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0" fillId="4" borderId="1" xfId="0" applyFill="1" applyBorder="1" applyAlignment="1" applyProtection="1">
      <alignment wrapText="1"/>
    </xf>
    <xf numFmtId="0" fontId="12" fillId="4" borderId="1" xfId="0" applyFont="1" applyFill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4" borderId="1" xfId="0" applyFill="1" applyBorder="1" applyProtection="1"/>
    <xf numFmtId="0" fontId="0" fillId="0" borderId="1" xfId="0" applyBorder="1" applyProtection="1"/>
    <xf numFmtId="0" fontId="4" fillId="4" borderId="1" xfId="0" applyFont="1" applyFill="1" applyBorder="1" applyProtection="1"/>
    <xf numFmtId="9" fontId="0" fillId="4" borderId="1" xfId="0" applyNumberFormat="1" applyFill="1" applyBorder="1" applyProtection="1"/>
    <xf numFmtId="10" fontId="0" fillId="4" borderId="1" xfId="0" applyNumberFormat="1" applyFill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left" vertical="top" wrapText="1"/>
    </xf>
    <xf numFmtId="3" fontId="13" fillId="4" borderId="1" xfId="6" applyNumberFormat="1" applyFont="1" applyFill="1" applyBorder="1" applyAlignment="1" applyProtection="1">
      <alignment horizontal="right"/>
    </xf>
    <xf numFmtId="0" fontId="13" fillId="0" borderId="0" xfId="0" applyFont="1" applyAlignment="1" applyProtection="1">
      <alignment vertical="top" wrapText="1"/>
    </xf>
    <xf numFmtId="1" fontId="3" fillId="2" borderId="13" xfId="0" applyNumberFormat="1" applyFont="1" applyFill="1" applyBorder="1" applyAlignment="1" applyProtection="1">
      <alignment horizontal="center" vertical="top" wrapText="1"/>
    </xf>
    <xf numFmtId="1" fontId="3" fillId="2" borderId="8" xfId="0" applyNumberFormat="1" applyFont="1" applyFill="1" applyBorder="1" applyAlignment="1" applyProtection="1">
      <alignment horizontal="center" vertical="top" wrapText="1"/>
    </xf>
    <xf numFmtId="1" fontId="3" fillId="2" borderId="9" xfId="0" applyNumberFormat="1" applyFont="1" applyFill="1" applyBorder="1" applyAlignment="1" applyProtection="1">
      <alignment horizontal="center" vertical="top" wrapText="1"/>
    </xf>
    <xf numFmtId="2" fontId="22" fillId="2" borderId="14" xfId="0" applyNumberFormat="1" applyFont="1" applyFill="1" applyBorder="1" applyAlignment="1" applyProtection="1">
      <alignment vertical="top" wrapText="1"/>
    </xf>
    <xf numFmtId="1" fontId="3" fillId="2" borderId="0" xfId="0" applyNumberFormat="1" applyFont="1" applyFill="1" applyBorder="1" applyAlignment="1" applyProtection="1">
      <alignment horizontal="center" vertical="top" wrapText="1"/>
    </xf>
    <xf numFmtId="1" fontId="3" fillId="2" borderId="10" xfId="0" applyNumberFormat="1" applyFont="1" applyFill="1" applyBorder="1" applyAlignment="1" applyProtection="1">
      <alignment horizontal="center" vertical="top" wrapText="1"/>
    </xf>
    <xf numFmtId="2" fontId="3" fillId="2" borderId="15" xfId="0" applyNumberFormat="1" applyFont="1" applyFill="1" applyBorder="1" applyAlignment="1" applyProtection="1">
      <alignment vertical="top" wrapText="1"/>
    </xf>
    <xf numFmtId="2" fontId="4" fillId="2" borderId="7" xfId="0" applyNumberFormat="1" applyFont="1" applyFill="1" applyBorder="1" applyAlignment="1" applyProtection="1">
      <alignment vertical="top" wrapText="1"/>
    </xf>
    <xf numFmtId="2" fontId="4" fillId="2" borderId="11" xfId="0" applyNumberFormat="1" applyFont="1" applyFill="1" applyBorder="1" applyAlignment="1" applyProtection="1">
      <alignment vertical="top" wrapText="1"/>
    </xf>
    <xf numFmtId="2" fontId="4" fillId="4" borderId="14" xfId="0" applyNumberFormat="1" applyFont="1" applyFill="1" applyBorder="1" applyAlignment="1" applyProtection="1">
      <alignment vertical="top" wrapText="1"/>
    </xf>
    <xf numFmtId="171" fontId="4" fillId="4" borderId="17" xfId="0" applyNumberFormat="1" applyFont="1" applyFill="1" applyBorder="1" applyAlignment="1" applyProtection="1">
      <alignment vertical="top" wrapText="1"/>
    </xf>
    <xf numFmtId="171" fontId="4" fillId="5" borderId="10" xfId="0" applyNumberFormat="1" applyFont="1" applyFill="1" applyBorder="1" applyProtection="1"/>
    <xf numFmtId="171" fontId="4" fillId="4" borderId="19" xfId="0" applyNumberFormat="1" applyFont="1" applyFill="1" applyBorder="1" applyAlignment="1" applyProtection="1">
      <alignment vertical="top" wrapText="1"/>
    </xf>
    <xf numFmtId="171" fontId="4" fillId="4" borderId="41" xfId="0" applyNumberFormat="1" applyFont="1" applyFill="1" applyBorder="1" applyAlignment="1" applyProtection="1">
      <alignment vertical="top" wrapText="1"/>
    </xf>
    <xf numFmtId="2" fontId="3" fillId="2" borderId="2" xfId="0" applyNumberFormat="1" applyFont="1" applyFill="1" applyBorder="1" applyAlignment="1" applyProtection="1">
      <alignment vertical="top" wrapText="1"/>
    </xf>
    <xf numFmtId="171" fontId="4" fillId="2" borderId="6" xfId="0" applyNumberFormat="1" applyFont="1" applyFill="1" applyBorder="1" applyAlignment="1" applyProtection="1">
      <alignment vertical="top" wrapText="1"/>
    </xf>
    <xf numFmtId="171" fontId="4" fillId="2" borderId="3" xfId="0" applyNumberFormat="1" applyFont="1" applyFill="1" applyBorder="1" applyAlignment="1" applyProtection="1">
      <alignment vertical="top" wrapText="1"/>
    </xf>
    <xf numFmtId="171" fontId="4" fillId="4" borderId="43" xfId="0" applyNumberFormat="1" applyFont="1" applyFill="1" applyBorder="1" applyAlignment="1" applyProtection="1">
      <alignment vertical="top" wrapText="1"/>
    </xf>
    <xf numFmtId="171" fontId="4" fillId="4" borderId="67" xfId="0" applyNumberFormat="1" applyFont="1" applyFill="1" applyBorder="1" applyAlignment="1" applyProtection="1">
      <alignment vertical="top" wrapText="1"/>
    </xf>
    <xf numFmtId="171" fontId="3" fillId="2" borderId="6" xfId="0" applyNumberFormat="1" applyFont="1" applyFill="1" applyBorder="1" applyAlignment="1" applyProtection="1">
      <alignment vertical="top" wrapText="1"/>
    </xf>
    <xf numFmtId="171" fontId="3" fillId="2" borderId="3" xfId="0" applyNumberFormat="1" applyFont="1" applyFill="1" applyBorder="1" applyAlignment="1" applyProtection="1">
      <alignment vertical="top" wrapText="1"/>
    </xf>
    <xf numFmtId="171" fontId="4" fillId="4" borderId="35" xfId="0" applyNumberFormat="1" applyFont="1" applyFill="1" applyBorder="1" applyAlignment="1" applyProtection="1">
      <alignment vertical="top" wrapText="1"/>
    </xf>
    <xf numFmtId="166" fontId="4" fillId="2" borderId="6" xfId="0" applyNumberFormat="1" applyFont="1" applyFill="1" applyBorder="1" applyAlignment="1" applyProtection="1">
      <alignment vertical="top" wrapText="1"/>
    </xf>
    <xf numFmtId="166" fontId="4" fillId="2" borderId="3" xfId="0" applyNumberFormat="1" applyFont="1" applyFill="1" applyBorder="1" applyAlignment="1" applyProtection="1">
      <alignment vertical="top" wrapText="1"/>
    </xf>
    <xf numFmtId="0" fontId="4" fillId="4" borderId="8" xfId="1" applyFont="1" applyFill="1" applyBorder="1" applyAlignment="1" applyProtection="1">
      <alignment horizontal="left"/>
    </xf>
    <xf numFmtId="10" fontId="4" fillId="4" borderId="0" xfId="1" applyNumberFormat="1" applyFont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3" fillId="2" borderId="7" xfId="1" applyFont="1" applyFill="1" applyBorder="1" applyAlignment="1" applyProtection="1">
      <alignment horizontal="left"/>
    </xf>
    <xf numFmtId="171" fontId="3" fillId="4" borderId="37" xfId="0" applyNumberFormat="1" applyFont="1" applyFill="1" applyBorder="1" applyProtection="1"/>
    <xf numFmtId="0" fontId="4" fillId="4" borderId="13" xfId="1" applyFont="1" applyFill="1" applyBorder="1" applyAlignment="1" applyProtection="1">
      <alignment horizontal="left"/>
    </xf>
    <xf numFmtId="171" fontId="3" fillId="4" borderId="16" xfId="0" applyNumberFormat="1" applyFont="1" applyFill="1" applyBorder="1" applyProtection="1"/>
    <xf numFmtId="10" fontId="3" fillId="4" borderId="18" xfId="3" applyNumberFormat="1" applyFont="1" applyFill="1" applyBorder="1" applyProtection="1"/>
    <xf numFmtId="10" fontId="3" fillId="4" borderId="48" xfId="3" applyNumberFormat="1" applyFont="1" applyFill="1" applyBorder="1" applyProtection="1"/>
    <xf numFmtId="171" fontId="3" fillId="4" borderId="18" xfId="0" applyNumberFormat="1" applyFont="1" applyFill="1" applyBorder="1" applyProtection="1"/>
    <xf numFmtId="0" fontId="17" fillId="4" borderId="0" xfId="0" applyFont="1" applyFill="1" applyAlignment="1" applyProtection="1">
      <alignment horizontal="left" indent="1"/>
    </xf>
    <xf numFmtId="0" fontId="23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10" fontId="4" fillId="4" borderId="64" xfId="3" applyNumberFormat="1" applyFont="1" applyFill="1" applyBorder="1" applyAlignment="1" applyProtection="1">
      <alignment horizontal="center" wrapText="1"/>
    </xf>
    <xf numFmtId="0" fontId="23" fillId="0" borderId="1" xfId="0" applyFont="1" applyBorder="1" applyAlignment="1" applyProtection="1">
      <alignment horizontal="left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2" borderId="0" xfId="1" applyFont="1" applyFill="1" applyBorder="1" applyAlignment="1" applyProtection="1">
      <alignment horizontal="center"/>
    </xf>
    <xf numFmtId="0" fontId="4" fillId="2" borderId="7" xfId="1" applyFont="1" applyFill="1" applyBorder="1" applyAlignment="1" applyProtection="1">
      <alignment horizontal="center"/>
    </xf>
    <xf numFmtId="0" fontId="4" fillId="5" borderId="0" xfId="1" applyFont="1" applyFill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left" wrapText="1"/>
    </xf>
    <xf numFmtId="0" fontId="3" fillId="2" borderId="7" xfId="1" applyFont="1" applyFill="1" applyBorder="1" applyAlignment="1" applyProtection="1">
      <alignment horizontal="left" wrapText="1"/>
    </xf>
    <xf numFmtId="0" fontId="3" fillId="5" borderId="0" xfId="1" applyFont="1" applyFill="1" applyBorder="1" applyAlignment="1" applyProtection="1">
      <alignment horizontal="left"/>
    </xf>
    <xf numFmtId="0" fontId="4" fillId="5" borderId="0" xfId="1" applyFont="1" applyFill="1" applyBorder="1" applyAlignment="1" applyProtection="1">
      <alignment horizontal="left"/>
    </xf>
    <xf numFmtId="16" fontId="32" fillId="0" borderId="1" xfId="0" applyNumberFormat="1" applyFont="1" applyBorder="1" applyAlignment="1" applyProtection="1">
      <alignment horizontal="right"/>
    </xf>
    <xf numFmtId="0" fontId="32" fillId="0" borderId="1" xfId="0" applyNumberFormat="1" applyFont="1" applyBorder="1" applyAlignment="1" applyProtection="1">
      <alignment horizontal="right"/>
    </xf>
    <xf numFmtId="2" fontId="32" fillId="0" borderId="1" xfId="0" applyNumberFormat="1" applyFont="1" applyBorder="1" applyAlignment="1" applyProtection="1">
      <alignment horizontal="right"/>
    </xf>
    <xf numFmtId="0" fontId="32" fillId="0" borderId="1" xfId="0" applyFont="1" applyBorder="1" applyAlignment="1" applyProtection="1">
      <alignment horizontal="right"/>
    </xf>
    <xf numFmtId="0" fontId="32" fillId="4" borderId="1" xfId="0" applyFont="1" applyFill="1" applyBorder="1" applyAlignment="1" applyProtection="1">
      <alignment horizontal="right"/>
    </xf>
    <xf numFmtId="0" fontId="23" fillId="4" borderId="1" xfId="0" applyFont="1" applyFill="1" applyBorder="1" applyAlignment="1" applyProtection="1">
      <alignment horizontal="right"/>
    </xf>
    <xf numFmtId="4" fontId="29" fillId="7" borderId="21" xfId="0" applyNumberFormat="1" applyFont="1" applyFill="1" applyBorder="1" applyAlignment="1" applyProtection="1">
      <alignment horizontal="right"/>
      <protection locked="0"/>
    </xf>
    <xf numFmtId="3" fontId="13" fillId="7" borderId="29" xfId="0" applyNumberFormat="1" applyFont="1" applyFill="1" applyBorder="1" applyAlignment="1" applyProtection="1">
      <alignment horizontal="right"/>
      <protection locked="0"/>
    </xf>
    <xf numFmtId="3" fontId="30" fillId="3" borderId="5" xfId="0" applyNumberFormat="1" applyFont="1" applyFill="1" applyBorder="1" applyAlignment="1" applyProtection="1">
      <alignment horizontal="center" vertical="center"/>
      <protection locked="0"/>
    </xf>
    <xf numFmtId="3" fontId="13" fillId="7" borderId="26" xfId="0" applyNumberFormat="1" applyFont="1" applyFill="1" applyBorder="1" applyAlignment="1" applyProtection="1">
      <alignment horizontal="right"/>
      <protection locked="0"/>
    </xf>
    <xf numFmtId="3" fontId="13" fillId="7" borderId="1" xfId="0" applyNumberFormat="1" applyFont="1" applyFill="1" applyBorder="1" applyAlignment="1" applyProtection="1">
      <alignment horizontal="right"/>
      <protection locked="0"/>
    </xf>
    <xf numFmtId="0" fontId="4" fillId="4" borderId="0" xfId="0" applyFont="1" applyFill="1" applyBorder="1" applyAlignment="1" applyProtection="1">
      <alignment horizontal="center"/>
    </xf>
    <xf numFmtId="0" fontId="32" fillId="4" borderId="10" xfId="0" applyFont="1" applyFill="1" applyBorder="1" applyAlignment="1" applyProtection="1">
      <alignment horizontal="right"/>
    </xf>
    <xf numFmtId="0" fontId="3" fillId="4" borderId="0" xfId="1" applyFont="1" applyFill="1" applyBorder="1" applyAlignment="1" applyProtection="1">
      <alignment horizontal="right" wrapText="1"/>
    </xf>
    <xf numFmtId="0" fontId="3" fillId="2" borderId="0" xfId="1" applyFont="1" applyFill="1" applyBorder="1" applyAlignment="1" applyProtection="1">
      <alignment wrapText="1"/>
    </xf>
    <xf numFmtId="0" fontId="4" fillId="2" borderId="7" xfId="1" applyFont="1" applyFill="1" applyBorder="1" applyAlignment="1" applyProtection="1">
      <alignment wrapText="1"/>
    </xf>
    <xf numFmtId="0" fontId="4" fillId="4" borderId="0" xfId="1" applyFont="1" applyFill="1" applyBorder="1" applyAlignment="1" applyProtection="1">
      <alignment wrapText="1"/>
    </xf>
    <xf numFmtId="0" fontId="32" fillId="4" borderId="10" xfId="0" applyFont="1" applyFill="1" applyBorder="1" applyAlignment="1" applyProtection="1">
      <alignment horizontal="right" wrapText="1"/>
    </xf>
    <xf numFmtId="0" fontId="3" fillId="5" borderId="1" xfId="1" applyFont="1" applyFill="1" applyBorder="1" applyAlignment="1" applyProtection="1">
      <alignment horizontal="left" wrapText="1"/>
    </xf>
    <xf numFmtId="16" fontId="32" fillId="0" borderId="1" xfId="0" applyNumberFormat="1" applyFont="1" applyBorder="1" applyAlignment="1" applyProtection="1">
      <alignment wrapText="1"/>
    </xf>
    <xf numFmtId="16" fontId="32" fillId="4" borderId="1" xfId="0" applyNumberFormat="1" applyFont="1" applyFill="1" applyBorder="1" applyAlignment="1" applyProtection="1">
      <alignment wrapText="1"/>
    </xf>
    <xf numFmtId="0" fontId="32" fillId="0" borderId="1" xfId="0" applyFont="1" applyBorder="1" applyAlignment="1" applyProtection="1">
      <alignment horizontal="left" wrapText="1"/>
    </xf>
    <xf numFmtId="0" fontId="32" fillId="0" borderId="1" xfId="0" applyFont="1" applyFill="1" applyBorder="1" applyAlignment="1" applyProtection="1">
      <alignment wrapText="1"/>
    </xf>
    <xf numFmtId="0" fontId="3" fillId="5" borderId="1" xfId="1" applyFont="1" applyFill="1" applyBorder="1" applyAlignment="1" applyProtection="1">
      <alignment horizontal="right" wrapText="1"/>
    </xf>
    <xf numFmtId="0" fontId="4" fillId="5" borderId="1" xfId="1" applyFont="1" applyFill="1" applyBorder="1" applyAlignment="1" applyProtection="1">
      <alignment horizontal="right" wrapText="1"/>
    </xf>
    <xf numFmtId="0" fontId="4" fillId="5" borderId="1" xfId="1" applyFont="1" applyFill="1" applyBorder="1" applyAlignment="1" applyProtection="1">
      <alignment horizontal="right" vertical="top" wrapText="1"/>
    </xf>
    <xf numFmtId="0" fontId="37" fillId="4" borderId="1" xfId="0" applyFont="1" applyFill="1" applyBorder="1" applyAlignment="1" applyProtection="1">
      <alignment wrapText="1"/>
    </xf>
    <xf numFmtId="2" fontId="32" fillId="4" borderId="1" xfId="0" applyNumberFormat="1" applyFont="1" applyFill="1" applyBorder="1" applyAlignment="1" applyProtection="1">
      <alignment wrapText="1"/>
    </xf>
    <xf numFmtId="0" fontId="32" fillId="4" borderId="0" xfId="0" applyFont="1" applyFill="1" applyProtection="1"/>
    <xf numFmtId="16" fontId="23" fillId="4" borderId="0" xfId="0" applyNumberFormat="1" applyFont="1" applyFill="1" applyBorder="1" applyProtection="1"/>
    <xf numFmtId="0" fontId="32" fillId="4" borderId="0" xfId="0" applyFont="1" applyFill="1" applyBorder="1" applyProtection="1"/>
    <xf numFmtId="4" fontId="3" fillId="4" borderId="47" xfId="1" applyNumberFormat="1" applyFont="1" applyFill="1" applyBorder="1" applyProtection="1"/>
    <xf numFmtId="4" fontId="3" fillId="4" borderId="60" xfId="0" applyNumberFormat="1" applyFont="1" applyFill="1" applyBorder="1" applyAlignment="1" applyProtection="1">
      <alignment wrapText="1"/>
    </xf>
    <xf numFmtId="0" fontId="0" fillId="4" borderId="1" xfId="0" applyFont="1" applyFill="1" applyBorder="1" applyAlignment="1" applyProtection="1">
      <alignment wrapText="1"/>
    </xf>
    <xf numFmtId="0" fontId="0" fillId="4" borderId="1" xfId="0" applyFont="1" applyFill="1" applyBorder="1" applyProtection="1"/>
    <xf numFmtId="0" fontId="0" fillId="0" borderId="1" xfId="0" applyFont="1" applyBorder="1" applyProtection="1"/>
    <xf numFmtId="4" fontId="32" fillId="4" borderId="1" xfId="0" applyNumberFormat="1" applyFont="1" applyFill="1" applyBorder="1" applyAlignment="1" applyProtection="1">
      <alignment horizontal="center"/>
    </xf>
    <xf numFmtId="0" fontId="13" fillId="4" borderId="1" xfId="0" applyFont="1" applyFill="1" applyBorder="1" applyAlignment="1" applyProtection="1">
      <alignment wrapText="1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/>
      <protection locked="0"/>
    </xf>
    <xf numFmtId="0" fontId="40" fillId="4" borderId="0" xfId="0" applyFont="1" applyFill="1" applyAlignment="1" applyProtection="1">
      <alignment horizontal="left"/>
    </xf>
    <xf numFmtId="0" fontId="43" fillId="4" borderId="0" xfId="0" applyFont="1" applyFill="1" applyAlignment="1" applyProtection="1">
      <alignment horizontal="left"/>
    </xf>
    <xf numFmtId="0" fontId="23" fillId="4" borderId="0" xfId="0" applyFont="1" applyFill="1" applyAlignment="1" applyProtection="1">
      <alignment vertical="top"/>
    </xf>
    <xf numFmtId="0" fontId="23" fillId="0" borderId="0" xfId="0" applyFont="1" applyAlignment="1" applyProtection="1">
      <alignment vertical="top"/>
    </xf>
    <xf numFmtId="171" fontId="4" fillId="4" borderId="45" xfId="0" applyNumberFormat="1" applyFont="1" applyFill="1" applyBorder="1" applyProtection="1"/>
    <xf numFmtId="0" fontId="3" fillId="0" borderId="1" xfId="0" applyFont="1" applyBorder="1" applyProtection="1"/>
    <xf numFmtId="4" fontId="23" fillId="3" borderId="1" xfId="0" applyNumberFormat="1" applyFont="1" applyFill="1" applyBorder="1" applyAlignment="1" applyProtection="1">
      <alignment wrapText="1"/>
      <protection locked="0"/>
    </xf>
    <xf numFmtId="10" fontId="32" fillId="3" borderId="1" xfId="0" applyNumberFormat="1" applyFont="1" applyFill="1" applyBorder="1" applyAlignment="1" applyProtection="1">
      <alignment horizontal="left"/>
      <protection locked="0"/>
    </xf>
    <xf numFmtId="9" fontId="23" fillId="3" borderId="1" xfId="0" applyNumberFormat="1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9" fontId="32" fillId="3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</xf>
    <xf numFmtId="0" fontId="5" fillId="4" borderId="0" xfId="0" applyFont="1" applyFill="1" applyProtection="1"/>
    <xf numFmtId="9" fontId="6" fillId="4" borderId="0" xfId="0" applyNumberFormat="1" applyFont="1" applyFill="1" applyProtection="1"/>
    <xf numFmtId="0" fontId="32" fillId="2" borderId="1" xfId="0" applyFont="1" applyFill="1" applyBorder="1" applyProtection="1"/>
    <xf numFmtId="0" fontId="32" fillId="2" borderId="1" xfId="0" applyFont="1" applyFill="1" applyBorder="1" applyAlignment="1" applyProtection="1">
      <alignment horizontal="left" wrapText="1"/>
    </xf>
    <xf numFmtId="0" fontId="42" fillId="4" borderId="0" xfId="0" applyFont="1" applyFill="1" applyProtection="1"/>
    <xf numFmtId="0" fontId="41" fillId="4" borderId="0" xfId="0" applyFont="1" applyFill="1" applyBorder="1" applyAlignment="1" applyProtection="1">
      <alignment horizontal="left" vertical="top"/>
    </xf>
    <xf numFmtId="0" fontId="23" fillId="0" borderId="1" xfId="0" applyFont="1" applyFill="1" applyBorder="1" applyAlignment="1" applyProtection="1">
      <alignment wrapText="1"/>
    </xf>
    <xf numFmtId="0" fontId="23" fillId="0" borderId="4" xfId="0" applyFont="1" applyFill="1" applyBorder="1" applyAlignment="1" applyProtection="1">
      <alignment wrapText="1"/>
    </xf>
    <xf numFmtId="0" fontId="4" fillId="5" borderId="1" xfId="0" applyFont="1" applyFill="1" applyBorder="1" applyAlignment="1" applyProtection="1">
      <alignment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wrapText="1"/>
    </xf>
    <xf numFmtId="0" fontId="23" fillId="0" borderId="0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vertical="top" wrapText="1"/>
    </xf>
    <xf numFmtId="0" fontId="12" fillId="4" borderId="29" xfId="0" applyFont="1" applyFill="1" applyBorder="1" applyAlignment="1" applyProtection="1">
      <alignment horizontal="center" vertical="center"/>
    </xf>
    <xf numFmtId="0" fontId="12" fillId="4" borderId="30" xfId="0" applyFont="1" applyFill="1" applyBorder="1" applyAlignment="1" applyProtection="1">
      <alignment horizontal="center" vertical="center"/>
    </xf>
    <xf numFmtId="0" fontId="12" fillId="4" borderId="66" xfId="0" applyFont="1" applyFill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vertical="top" wrapText="1"/>
    </xf>
    <xf numFmtId="0" fontId="13" fillId="0" borderId="1" xfId="0" applyFont="1" applyBorder="1" applyAlignment="1" applyProtection="1">
      <alignment vertical="top" wrapText="1"/>
    </xf>
    <xf numFmtId="173" fontId="13" fillId="0" borderId="1" xfId="4" applyNumberFormat="1" applyFont="1" applyBorder="1" applyAlignment="1" applyProtection="1">
      <alignment vertical="top" wrapText="1"/>
    </xf>
    <xf numFmtId="0" fontId="13" fillId="5" borderId="0" xfId="0" applyFont="1" applyFill="1" applyBorder="1" applyAlignment="1" applyProtection="1">
      <alignment wrapText="1"/>
    </xf>
    <xf numFmtId="10" fontId="23" fillId="0" borderId="0" xfId="0" applyNumberFormat="1" applyFont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0" borderId="16" xfId="0" applyFont="1" applyBorder="1" applyProtection="1"/>
    <xf numFmtId="0" fontId="4" fillId="18" borderId="17" xfId="0" applyFont="1" applyFill="1" applyBorder="1" applyProtection="1"/>
    <xf numFmtId="0" fontId="4" fillId="18" borderId="39" xfId="0" applyFont="1" applyFill="1" applyBorder="1" applyProtection="1"/>
    <xf numFmtId="0" fontId="4" fillId="0" borderId="18" xfId="0" applyFont="1" applyBorder="1" applyProtection="1"/>
    <xf numFmtId="0" fontId="4" fillId="18" borderId="19" xfId="0" applyFont="1" applyFill="1" applyBorder="1" applyProtection="1"/>
    <xf numFmtId="0" fontId="4" fillId="18" borderId="48" xfId="0" applyFont="1" applyFill="1" applyBorder="1" applyProtection="1"/>
    <xf numFmtId="0" fontId="4" fillId="20" borderId="48" xfId="0" applyFont="1" applyFill="1" applyBorder="1" applyProtection="1"/>
    <xf numFmtId="0" fontId="4" fillId="0" borderId="49" xfId="0" applyFont="1" applyBorder="1" applyProtection="1"/>
    <xf numFmtId="0" fontId="4" fillId="4" borderId="50" xfId="0" applyFont="1" applyFill="1" applyBorder="1" applyProtection="1"/>
    <xf numFmtId="0" fontId="4" fillId="4" borderId="51" xfId="0" applyFont="1" applyFill="1" applyBorder="1" applyProtection="1"/>
    <xf numFmtId="0" fontId="4" fillId="0" borderId="70" xfId="0" applyFont="1" applyBorder="1" applyProtection="1"/>
    <xf numFmtId="0" fontId="4" fillId="4" borderId="71" xfId="0" applyFont="1" applyFill="1" applyBorder="1" applyProtection="1"/>
    <xf numFmtId="0" fontId="4" fillId="4" borderId="72" xfId="0" applyFont="1" applyFill="1" applyBorder="1" applyProtection="1"/>
    <xf numFmtId="0" fontId="4" fillId="0" borderId="73" xfId="0" applyFont="1" applyBorder="1" applyAlignment="1" applyProtection="1">
      <alignment horizontal="left"/>
    </xf>
    <xf numFmtId="0" fontId="4" fillId="4" borderId="37" xfId="0" applyFont="1" applyFill="1" applyBorder="1" applyProtection="1"/>
    <xf numFmtId="0" fontId="4" fillId="4" borderId="69" xfId="0" applyFont="1" applyFill="1" applyBorder="1" applyProtection="1"/>
    <xf numFmtId="0" fontId="4" fillId="0" borderId="36" xfId="0" applyFont="1" applyBorder="1" applyProtection="1"/>
    <xf numFmtId="0" fontId="4" fillId="0" borderId="37" xfId="0" applyFont="1" applyBorder="1" applyProtection="1"/>
    <xf numFmtId="0" fontId="4" fillId="0" borderId="69" xfId="0" applyFont="1" applyBorder="1" applyProtection="1"/>
    <xf numFmtId="0" fontId="4" fillId="0" borderId="19" xfId="0" applyFont="1" applyBorder="1" applyProtection="1"/>
    <xf numFmtId="0" fontId="4" fillId="0" borderId="48" xfId="0" applyFont="1" applyBorder="1" applyProtection="1"/>
    <xf numFmtId="0" fontId="4" fillId="0" borderId="14" xfId="0" applyFont="1" applyBorder="1" applyProtection="1"/>
    <xf numFmtId="0" fontId="4" fillId="0" borderId="0" xfId="0" applyFont="1" applyBorder="1" applyProtection="1"/>
    <xf numFmtId="0" fontId="4" fillId="0" borderId="10" xfId="0" applyFont="1" applyBorder="1" applyProtection="1"/>
    <xf numFmtId="0" fontId="4" fillId="4" borderId="16" xfId="0" applyFont="1" applyFill="1" applyBorder="1" applyProtection="1"/>
    <xf numFmtId="0" fontId="4" fillId="4" borderId="17" xfId="0" applyFont="1" applyFill="1" applyBorder="1" applyProtection="1"/>
    <xf numFmtId="0" fontId="4" fillId="4" borderId="39" xfId="0" applyFont="1" applyFill="1" applyBorder="1" applyProtection="1"/>
    <xf numFmtId="0" fontId="4" fillId="4" borderId="40" xfId="0" applyFont="1" applyFill="1" applyBorder="1" applyProtection="1"/>
    <xf numFmtId="0" fontId="4" fillId="4" borderId="41" xfId="0" applyFont="1" applyFill="1" applyBorder="1" applyProtection="1"/>
    <xf numFmtId="0" fontId="4" fillId="4" borderId="42" xfId="0" applyFont="1" applyFill="1" applyBorder="1" applyProtection="1"/>
    <xf numFmtId="0" fontId="3" fillId="4" borderId="0" xfId="0" applyFont="1" applyFill="1" applyAlignment="1" applyProtection="1">
      <alignment vertical="top"/>
    </xf>
    <xf numFmtId="166" fontId="4" fillId="18" borderId="1" xfId="1" applyNumberFormat="1" applyFont="1" applyFill="1" applyBorder="1" applyProtection="1"/>
    <xf numFmtId="166" fontId="4" fillId="11" borderId="1" xfId="1" applyNumberFormat="1" applyFont="1" applyFill="1" applyBorder="1" applyProtection="1"/>
    <xf numFmtId="0" fontId="32" fillId="4" borderId="0" xfId="0" applyFont="1" applyFill="1" applyAlignment="1" applyProtection="1">
      <alignment horizontal="center" wrapText="1"/>
    </xf>
    <xf numFmtId="0" fontId="23" fillId="4" borderId="0" xfId="0" applyFont="1" applyFill="1" applyAlignment="1" applyProtection="1">
      <alignment horizontal="center" wrapText="1"/>
    </xf>
    <xf numFmtId="0" fontId="23" fillId="4" borderId="0" xfId="0" applyFont="1" applyFill="1" applyAlignment="1" applyProtection="1">
      <alignment horizontal="left" wrapText="1"/>
    </xf>
    <xf numFmtId="0" fontId="23" fillId="3" borderId="1" xfId="0" applyFont="1" applyFill="1" applyBorder="1" applyAlignment="1" applyProtection="1">
      <alignment horizontal="center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/>
    </xf>
    <xf numFmtId="0" fontId="4" fillId="2" borderId="7" xfId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horizontal="left"/>
    </xf>
    <xf numFmtId="0" fontId="4" fillId="4" borderId="4" xfId="0" applyFont="1" applyFill="1" applyBorder="1" applyAlignment="1" applyProtection="1">
      <alignment wrapText="1"/>
    </xf>
    <xf numFmtId="0" fontId="3" fillId="2" borderId="13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44" fillId="0" borderId="0" xfId="0" applyFont="1" applyAlignment="1" applyProtection="1">
      <alignment wrapText="1"/>
    </xf>
    <xf numFmtId="0" fontId="3" fillId="4" borderId="0" xfId="1" applyFont="1" applyFill="1" applyBorder="1" applyAlignment="1" applyProtection="1">
      <alignment horizontal="center"/>
    </xf>
    <xf numFmtId="4" fontId="4" fillId="4" borderId="74" xfId="1" applyNumberFormat="1" applyFont="1" applyFill="1" applyBorder="1" applyProtection="1"/>
    <xf numFmtId="4" fontId="4" fillId="4" borderId="75" xfId="1" applyNumberFormat="1" applyFont="1" applyFill="1" applyBorder="1" applyProtection="1"/>
    <xf numFmtId="4" fontId="4" fillId="4" borderId="4" xfId="1" applyNumberFormat="1" applyFont="1" applyFill="1" applyBorder="1" applyProtection="1"/>
    <xf numFmtId="0" fontId="3" fillId="2" borderId="6" xfId="1" applyFont="1" applyFill="1" applyBorder="1" applyProtection="1"/>
    <xf numFmtId="0" fontId="3" fillId="2" borderId="6" xfId="1" applyFont="1" applyFill="1" applyBorder="1" applyAlignment="1" applyProtection="1">
      <alignment horizontal="left"/>
    </xf>
    <xf numFmtId="0" fontId="3" fillId="2" borderId="6" xfId="1" applyFont="1" applyFill="1" applyBorder="1" applyAlignment="1" applyProtection="1">
      <alignment horizontal="center"/>
    </xf>
    <xf numFmtId="4" fontId="3" fillId="2" borderId="2" xfId="1" applyNumberFormat="1" applyFont="1" applyFill="1" applyBorder="1" applyProtection="1"/>
    <xf numFmtId="4" fontId="3" fillId="2" borderId="6" xfId="1" applyNumberFormat="1" applyFont="1" applyFill="1" applyBorder="1" applyProtection="1"/>
    <xf numFmtId="4" fontId="3" fillId="2" borderId="1" xfId="1" applyNumberFormat="1" applyFont="1" applyFill="1" applyBorder="1" applyProtection="1"/>
    <xf numFmtId="4" fontId="3" fillId="4" borderId="0" xfId="1" applyNumberFormat="1" applyFont="1" applyFill="1" applyBorder="1" applyProtection="1"/>
    <xf numFmtId="0" fontId="3" fillId="4" borderId="0" xfId="1" applyFont="1" applyFill="1" applyBorder="1" applyAlignment="1" applyProtection="1">
      <alignment wrapText="1"/>
    </xf>
    <xf numFmtId="0" fontId="3" fillId="4" borderId="0" xfId="1" applyFont="1" applyFill="1" applyBorder="1" applyAlignment="1" applyProtection="1">
      <alignment horizontal="left" wrapText="1"/>
    </xf>
    <xf numFmtId="4" fontId="3" fillId="4" borderId="0" xfId="1" applyNumberFormat="1" applyFont="1" applyFill="1" applyBorder="1" applyAlignment="1" applyProtection="1">
      <alignment wrapText="1"/>
    </xf>
    <xf numFmtId="0" fontId="4" fillId="4" borderId="0" xfId="0" applyFont="1" applyFill="1" applyAlignment="1" applyProtection="1">
      <alignment wrapText="1"/>
    </xf>
    <xf numFmtId="4" fontId="23" fillId="0" borderId="1" xfId="0" applyNumberFormat="1" applyFont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21" xfId="0" applyFont="1" applyFill="1" applyBorder="1" applyAlignment="1" applyProtection="1">
      <alignment wrapText="1"/>
      <protection locked="0"/>
    </xf>
    <xf numFmtId="49" fontId="4" fillId="4" borderId="0" xfId="1" applyNumberFormat="1" applyFont="1" applyFill="1" applyBorder="1" applyAlignment="1" applyProtection="1">
      <alignment horizontal="left"/>
    </xf>
    <xf numFmtId="0" fontId="20" fillId="5" borderId="0" xfId="0" applyFont="1" applyFill="1" applyBorder="1" applyAlignment="1" applyProtection="1">
      <alignment vertical="top" wrapText="1"/>
    </xf>
    <xf numFmtId="10" fontId="23" fillId="0" borderId="0" xfId="0" applyNumberFormat="1" applyFont="1" applyBorder="1" applyProtection="1">
      <protection locked="0"/>
    </xf>
    <xf numFmtId="0" fontId="23" fillId="4" borderId="0" xfId="0" applyFont="1" applyFill="1" applyAlignment="1" applyProtection="1">
      <alignment horizontal="left" wrapText="1"/>
      <protection locked="0"/>
    </xf>
    <xf numFmtId="0" fontId="23" fillId="0" borderId="1" xfId="0" applyFont="1" applyBorder="1" applyAlignment="1">
      <alignment wrapText="1"/>
    </xf>
    <xf numFmtId="10" fontId="23" fillId="3" borderId="1" xfId="0" applyNumberFormat="1" applyFont="1" applyFill="1" applyBorder="1" applyAlignment="1" applyProtection="1">
      <alignment wrapText="1"/>
      <protection locked="0"/>
    </xf>
    <xf numFmtId="4" fontId="32" fillId="4" borderId="12" xfId="0" applyNumberFormat="1" applyFont="1" applyFill="1" applyBorder="1" applyProtection="1">
      <protection locked="0"/>
    </xf>
    <xf numFmtId="10" fontId="32" fillId="3" borderId="1" xfId="0" applyNumberFormat="1" applyFont="1" applyFill="1" applyBorder="1" applyAlignment="1" applyProtection="1">
      <alignment wrapText="1"/>
      <protection locked="0"/>
    </xf>
    <xf numFmtId="0" fontId="23" fillId="3" borderId="2" xfId="0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12" fillId="4" borderId="14" xfId="0" applyFont="1" applyFill="1" applyBorder="1" applyAlignment="1" applyProtection="1">
      <alignment horizontal="center" vertical="center"/>
    </xf>
    <xf numFmtId="0" fontId="23" fillId="4" borderId="14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wrapText="1"/>
    </xf>
    <xf numFmtId="0" fontId="32" fillId="0" borderId="0" xfId="0" applyNumberFormat="1" applyFont="1" applyBorder="1" applyProtection="1"/>
    <xf numFmtId="0" fontId="32" fillId="0" borderId="0" xfId="0" applyFont="1" applyFill="1" applyBorder="1" applyAlignment="1" applyProtection="1">
      <alignment horizontal="right"/>
    </xf>
    <xf numFmtId="10" fontId="32" fillId="0" borderId="0" xfId="0" applyNumberFormat="1" applyFont="1" applyBorder="1" applyProtection="1"/>
    <xf numFmtId="0" fontId="32" fillId="4" borderId="0" xfId="0" applyFont="1" applyFill="1" applyBorder="1" applyAlignment="1" applyProtection="1">
      <alignment horizontal="right"/>
    </xf>
    <xf numFmtId="0" fontId="32" fillId="4" borderId="0" xfId="0" applyFont="1" applyFill="1" applyBorder="1" applyAlignment="1" applyProtection="1">
      <alignment horizontal="right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0" xfId="1" applyFont="1" applyFill="1" applyBorder="1" applyAlignment="1" applyProtection="1">
      <alignment horizontal="center"/>
    </xf>
    <xf numFmtId="0" fontId="4" fillId="2" borderId="7" xfId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2" fillId="4" borderId="1" xfId="0" applyFont="1" applyFill="1" applyBorder="1" applyAlignment="1" applyProtection="1">
      <alignment wrapText="1"/>
      <protection locked="0"/>
    </xf>
    <xf numFmtId="176" fontId="32" fillId="4" borderId="1" xfId="0" applyNumberFormat="1" applyFont="1" applyFill="1" applyBorder="1" applyProtection="1"/>
    <xf numFmtId="0" fontId="23" fillId="0" borderId="1" xfId="0" applyFont="1" applyFill="1" applyBorder="1" applyAlignment="1" applyProtection="1">
      <alignment horizontal="left" wrapText="1"/>
    </xf>
    <xf numFmtId="0" fontId="23" fillId="3" borderId="2" xfId="0" applyFont="1" applyFill="1" applyBorder="1" applyAlignment="1" applyProtection="1">
      <alignment horizontal="center"/>
      <protection locked="0"/>
    </xf>
    <xf numFmtId="0" fontId="23" fillId="3" borderId="6" xfId="0" applyFont="1" applyFill="1" applyBorder="1" applyAlignment="1" applyProtection="1">
      <alignment horizontal="center"/>
      <protection locked="0"/>
    </xf>
    <xf numFmtId="0" fontId="23" fillId="3" borderId="3" xfId="0" applyFont="1" applyFill="1" applyBorder="1" applyAlignment="1" applyProtection="1">
      <alignment horizontal="center"/>
      <protection locked="0"/>
    </xf>
    <xf numFmtId="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" fontId="23" fillId="3" borderId="2" xfId="0" applyNumberFormat="1" applyFont="1" applyFill="1" applyBorder="1" applyAlignment="1" applyProtection="1">
      <alignment horizontal="center"/>
      <protection locked="0"/>
    </xf>
    <xf numFmtId="4" fontId="23" fillId="3" borderId="6" xfId="0" applyNumberFormat="1" applyFont="1" applyFill="1" applyBorder="1" applyAlignment="1" applyProtection="1">
      <alignment horizontal="center"/>
      <protection locked="0"/>
    </xf>
    <xf numFmtId="4" fontId="23" fillId="3" borderId="3" xfId="0" applyNumberFormat="1" applyFont="1" applyFill="1" applyBorder="1" applyAlignment="1" applyProtection="1">
      <alignment horizontal="center"/>
      <protection locked="0"/>
    </xf>
    <xf numFmtId="9" fontId="23" fillId="3" borderId="5" xfId="0" applyNumberFormat="1" applyFont="1" applyFill="1" applyBorder="1" applyAlignment="1" applyProtection="1">
      <alignment horizontal="center"/>
      <protection locked="0"/>
    </xf>
    <xf numFmtId="9" fontId="23" fillId="3" borderId="2" xfId="0" applyNumberFormat="1" applyFont="1" applyFill="1" applyBorder="1" applyAlignment="1" applyProtection="1">
      <alignment horizontal="center"/>
      <protection locked="0"/>
    </xf>
    <xf numFmtId="9" fontId="23" fillId="3" borderId="6" xfId="0" applyNumberFormat="1" applyFont="1" applyFill="1" applyBorder="1" applyAlignment="1" applyProtection="1">
      <alignment horizontal="center"/>
      <protection locked="0"/>
    </xf>
    <xf numFmtId="9" fontId="23" fillId="3" borderId="3" xfId="0" applyNumberFormat="1" applyFont="1" applyFill="1" applyBorder="1" applyAlignment="1" applyProtection="1">
      <alignment horizontal="center"/>
      <protection locked="0"/>
    </xf>
    <xf numFmtId="9" fontId="23" fillId="3" borderId="1" xfId="0" applyNumberFormat="1" applyFont="1" applyFill="1" applyBorder="1" applyAlignment="1" applyProtection="1">
      <alignment horizontal="center"/>
      <protection locked="0"/>
    </xf>
    <xf numFmtId="10" fontId="23" fillId="3" borderId="2" xfId="0" applyNumberFormat="1" applyFont="1" applyFill="1" applyBorder="1" applyAlignment="1" applyProtection="1">
      <alignment horizontal="center"/>
      <protection locked="0"/>
    </xf>
    <xf numFmtId="10" fontId="23" fillId="3" borderId="6" xfId="0" applyNumberFormat="1" applyFont="1" applyFill="1" applyBorder="1" applyAlignment="1" applyProtection="1">
      <alignment horizontal="center"/>
      <protection locked="0"/>
    </xf>
    <xf numFmtId="10" fontId="23" fillId="3" borderId="3" xfId="0" applyNumberFormat="1" applyFont="1" applyFill="1" applyBorder="1" applyAlignment="1" applyProtection="1">
      <alignment horizontal="center"/>
      <protection locked="0"/>
    </xf>
    <xf numFmtId="0" fontId="23" fillId="3" borderId="1" xfId="0" applyFont="1" applyFill="1" applyBorder="1" applyAlignment="1" applyProtection="1">
      <alignment horizontal="center"/>
      <protection locked="0"/>
    </xf>
    <xf numFmtId="0" fontId="23" fillId="3" borderId="4" xfId="0" applyFont="1" applyFill="1" applyBorder="1" applyAlignment="1" applyProtection="1">
      <alignment horizontal="center"/>
      <protection locked="0"/>
    </xf>
    <xf numFmtId="0" fontId="4" fillId="19" borderId="1" xfId="0" applyFont="1" applyFill="1" applyBorder="1" applyAlignment="1" applyProtection="1">
      <alignment horizontal="center" vertical="center" wrapText="1"/>
    </xf>
    <xf numFmtId="0" fontId="15" fillId="10" borderId="7" xfId="0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center" vertical="center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3" borderId="2" xfId="0" applyFont="1" applyFill="1" applyBorder="1" applyAlignment="1" applyProtection="1">
      <alignment horizontal="center" vertical="center"/>
      <protection locked="0"/>
    </xf>
    <xf numFmtId="0" fontId="23" fillId="3" borderId="6" xfId="0" applyFont="1" applyFill="1" applyBorder="1" applyAlignment="1" applyProtection="1">
      <alignment horizontal="center" vertical="center"/>
      <protection locked="0"/>
    </xf>
    <xf numFmtId="0" fontId="23" fillId="3" borderId="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wrapText="1"/>
    </xf>
    <xf numFmtId="0" fontId="23" fillId="4" borderId="2" xfId="0" applyFont="1" applyFill="1" applyBorder="1" applyAlignment="1" applyProtection="1">
      <alignment horizontal="center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3" xfId="0" applyFont="1" applyFill="1" applyBorder="1" applyAlignment="1" applyProtection="1">
      <alignment horizontal="center" vertical="center"/>
    </xf>
    <xf numFmtId="0" fontId="32" fillId="0" borderId="7" xfId="0" applyFont="1" applyBorder="1" applyAlignment="1" applyProtection="1">
      <alignment horizontal="center"/>
    </xf>
    <xf numFmtId="0" fontId="23" fillId="4" borderId="2" xfId="0" applyFont="1" applyFill="1" applyBorder="1" applyAlignment="1" applyProtection="1">
      <alignment horizontal="center" vertical="center" wrapText="1"/>
    </xf>
    <xf numFmtId="0" fontId="23" fillId="4" borderId="6" xfId="0" applyFont="1" applyFill="1" applyBorder="1" applyAlignment="1" applyProtection="1">
      <alignment horizontal="center" vertical="center" wrapText="1"/>
    </xf>
    <xf numFmtId="0" fontId="2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/>
    </xf>
    <xf numFmtId="4" fontId="23" fillId="4" borderId="2" xfId="0" applyNumberFormat="1" applyFont="1" applyFill="1" applyBorder="1" applyAlignment="1" applyProtection="1">
      <alignment horizontal="center" vertical="center"/>
    </xf>
    <xf numFmtId="4" fontId="23" fillId="4" borderId="6" xfId="0" applyNumberFormat="1" applyFont="1" applyFill="1" applyBorder="1" applyAlignment="1" applyProtection="1">
      <alignment horizontal="center" vertical="center"/>
    </xf>
    <xf numFmtId="4" fontId="23" fillId="4" borderId="3" xfId="0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6" xfId="0" applyFont="1" applyFill="1" applyBorder="1" applyAlignment="1" applyProtection="1">
      <alignment horizontal="lef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0" fontId="28" fillId="0" borderId="8" xfId="0" applyFont="1" applyBorder="1" applyAlignment="1" applyProtection="1">
      <alignment horizontal="center" vertical="top" wrapText="1"/>
    </xf>
    <xf numFmtId="0" fontId="3" fillId="4" borderId="0" xfId="0" applyFont="1" applyFill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/>
    </xf>
    <xf numFmtId="10" fontId="23" fillId="4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left"/>
    </xf>
    <xf numFmtId="0" fontId="31" fillId="4" borderId="0" xfId="0" applyFont="1" applyFill="1" applyAlignment="1" applyProtection="1">
      <alignment horizontal="center"/>
    </xf>
    <xf numFmtId="0" fontId="4" fillId="19" borderId="13" xfId="0" applyFont="1" applyFill="1" applyBorder="1" applyAlignment="1" applyProtection="1">
      <alignment horizontal="center" vertical="center" wrapText="1"/>
    </xf>
    <xf numFmtId="0" fontId="4" fillId="19" borderId="9" xfId="0" applyFont="1" applyFill="1" applyBorder="1" applyAlignment="1" applyProtection="1">
      <alignment horizontal="center" vertical="center" wrapText="1"/>
    </xf>
    <xf numFmtId="0" fontId="4" fillId="19" borderId="14" xfId="0" applyFont="1" applyFill="1" applyBorder="1" applyAlignment="1" applyProtection="1">
      <alignment horizontal="center" vertical="center" wrapText="1"/>
    </xf>
    <xf numFmtId="0" fontId="4" fillId="19" borderId="10" xfId="0" applyFont="1" applyFill="1" applyBorder="1" applyAlignment="1" applyProtection="1">
      <alignment horizontal="center" vertical="center" wrapText="1"/>
    </xf>
    <xf numFmtId="0" fontId="4" fillId="19" borderId="15" xfId="0" applyFont="1" applyFill="1" applyBorder="1" applyAlignment="1" applyProtection="1">
      <alignment horizontal="center" vertical="center" wrapText="1"/>
    </xf>
    <xf numFmtId="0" fontId="4" fillId="19" borderId="1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8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 wrapText="1"/>
    </xf>
    <xf numFmtId="0" fontId="4" fillId="2" borderId="7" xfId="1" applyFont="1" applyFill="1" applyBorder="1" applyAlignment="1" applyProtection="1">
      <alignment horizontal="center" wrapText="1"/>
    </xf>
    <xf numFmtId="0" fontId="4" fillId="2" borderId="8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horizontal="center"/>
    </xf>
    <xf numFmtId="0" fontId="4" fillId="2" borderId="7" xfId="1" applyFont="1" applyFill="1" applyBorder="1" applyAlignment="1" applyProtection="1">
      <alignment horizontal="center"/>
    </xf>
    <xf numFmtId="0" fontId="40" fillId="0" borderId="8" xfId="0" applyFont="1" applyBorder="1" applyAlignment="1" applyProtection="1">
      <alignment horizontal="center" wrapText="1"/>
    </xf>
    <xf numFmtId="3" fontId="4" fillId="5" borderId="21" xfId="0" applyNumberFormat="1" applyFont="1" applyFill="1" applyBorder="1" applyAlignment="1" applyProtection="1">
      <alignment horizontal="left"/>
    </xf>
    <xf numFmtId="3" fontId="4" fillId="5" borderId="27" xfId="0" applyNumberFormat="1" applyFont="1" applyFill="1" applyBorder="1" applyAlignment="1" applyProtection="1">
      <alignment horizontal="left"/>
    </xf>
    <xf numFmtId="3" fontId="4" fillId="5" borderId="30" xfId="0" applyNumberFormat="1" applyFont="1" applyFill="1" applyBorder="1" applyAlignment="1" applyProtection="1">
      <alignment horizontal="left"/>
    </xf>
    <xf numFmtId="3" fontId="4" fillId="5" borderId="31" xfId="0" applyNumberFormat="1" applyFont="1" applyFill="1" applyBorder="1" applyAlignment="1" applyProtection="1">
      <alignment horizontal="left"/>
    </xf>
    <xf numFmtId="3" fontId="3" fillId="5" borderId="33" xfId="0" applyNumberFormat="1" applyFont="1" applyFill="1" applyBorder="1" applyAlignment="1" applyProtection="1">
      <alignment horizontal="left"/>
    </xf>
    <xf numFmtId="3" fontId="3" fillId="5" borderId="3" xfId="0" applyNumberFormat="1" applyFont="1" applyFill="1" applyBorder="1" applyAlignment="1" applyProtection="1">
      <alignment horizontal="left"/>
    </xf>
    <xf numFmtId="167" fontId="4" fillId="5" borderId="22" xfId="0" applyNumberFormat="1" applyFont="1" applyFill="1" applyBorder="1" applyAlignment="1" applyProtection="1">
      <alignment horizontal="left" wrapText="1"/>
    </xf>
    <xf numFmtId="0" fontId="10" fillId="9" borderId="21" xfId="0" applyFont="1" applyFill="1" applyBorder="1" applyAlignment="1" applyProtection="1">
      <alignment horizontal="center" wrapText="1"/>
    </xf>
    <xf numFmtId="0" fontId="10" fillId="9" borderId="22" xfId="0" applyFont="1" applyFill="1" applyBorder="1" applyAlignment="1" applyProtection="1">
      <alignment horizontal="center" wrapText="1"/>
    </xf>
    <xf numFmtId="10" fontId="4" fillId="5" borderId="21" xfId="0" applyNumberFormat="1" applyFont="1" applyFill="1" applyBorder="1" applyAlignment="1" applyProtection="1">
      <alignment horizontal="left"/>
    </xf>
    <xf numFmtId="10" fontId="4" fillId="5" borderId="27" xfId="0" applyNumberFormat="1" applyFont="1" applyFill="1" applyBorder="1" applyAlignment="1" applyProtection="1">
      <alignment horizontal="left"/>
    </xf>
    <xf numFmtId="3" fontId="3" fillId="5" borderId="21" xfId="0" applyNumberFormat="1" applyFont="1" applyFill="1" applyBorder="1" applyAlignment="1" applyProtection="1">
      <alignment horizontal="left"/>
    </xf>
    <xf numFmtId="3" fontId="3" fillId="5" borderId="27" xfId="0" applyNumberFormat="1" applyFont="1" applyFill="1" applyBorder="1" applyAlignment="1" applyProtection="1">
      <alignment horizontal="left"/>
    </xf>
    <xf numFmtId="0" fontId="33" fillId="4" borderId="0" xfId="1" applyFont="1" applyFill="1" applyBorder="1" applyAlignment="1" applyProtection="1">
      <alignment horizontal="right" wrapText="1"/>
    </xf>
    <xf numFmtId="0" fontId="15" fillId="10" borderId="0" xfId="0" applyFont="1" applyFill="1" applyAlignment="1" applyProtection="1">
      <alignment horizontal="left" vertical="top"/>
    </xf>
    <xf numFmtId="0" fontId="16" fillId="4" borderId="7" xfId="0" applyFont="1" applyFill="1" applyBorder="1" applyAlignment="1" applyProtection="1">
      <alignment horizontal="left" vertical="top"/>
    </xf>
    <xf numFmtId="0" fontId="16" fillId="4" borderId="0" xfId="0" applyFont="1" applyFill="1" applyBorder="1" applyAlignment="1" applyProtection="1">
      <alignment horizontal="left" vertical="top"/>
    </xf>
    <xf numFmtId="0" fontId="5" fillId="4" borderId="7" xfId="1" applyFont="1" applyFill="1" applyBorder="1" applyAlignment="1" applyProtection="1">
      <alignment horizontal="right"/>
    </xf>
    <xf numFmtId="0" fontId="32" fillId="2" borderId="0" xfId="1" applyFont="1" applyFill="1" applyBorder="1" applyAlignment="1" applyProtection="1">
      <alignment horizontal="right" wrapText="1"/>
    </xf>
    <xf numFmtId="0" fontId="32" fillId="2" borderId="7" xfId="1" applyFont="1" applyFill="1" applyBorder="1" applyAlignment="1" applyProtection="1">
      <alignment horizontal="right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171" fontId="3" fillId="4" borderId="16" xfId="1" applyNumberFormat="1" applyFont="1" applyFill="1" applyBorder="1" applyAlignment="1" applyProtection="1">
      <alignment horizontal="center"/>
    </xf>
    <xf numFmtId="171" fontId="3" fillId="4" borderId="17" xfId="1" applyNumberFormat="1" applyFont="1" applyFill="1" applyBorder="1" applyAlignment="1" applyProtection="1">
      <alignment horizontal="center"/>
    </xf>
    <xf numFmtId="10" fontId="3" fillId="4" borderId="17" xfId="3" applyNumberFormat="1" applyFont="1" applyFill="1" applyBorder="1" applyAlignment="1" applyProtection="1">
      <alignment horizontal="center"/>
    </xf>
    <xf numFmtId="10" fontId="3" fillId="4" borderId="39" xfId="3" applyNumberFormat="1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4" fillId="5" borderId="0" xfId="1" applyFont="1" applyFill="1" applyBorder="1" applyAlignment="1" applyProtection="1">
      <alignment horizontal="left" wrapText="1"/>
    </xf>
    <xf numFmtId="0" fontId="4" fillId="5" borderId="10" xfId="1" applyFont="1" applyFill="1" applyBorder="1" applyAlignment="1" applyProtection="1">
      <alignment horizontal="left" wrapText="1"/>
    </xf>
    <xf numFmtId="0" fontId="3" fillId="5" borderId="0" xfId="1" applyFont="1" applyFill="1" applyBorder="1" applyAlignment="1" applyProtection="1">
      <alignment horizontal="left"/>
    </xf>
    <xf numFmtId="0" fontId="3" fillId="5" borderId="10" xfId="1" applyFont="1" applyFill="1" applyBorder="1" applyAlignment="1" applyProtection="1">
      <alignment horizontal="left"/>
    </xf>
    <xf numFmtId="0" fontId="15" fillId="10" borderId="0" xfId="0" applyFont="1" applyFill="1" applyBorder="1" applyAlignment="1" applyProtection="1">
      <alignment horizontal="left" vertical="top"/>
    </xf>
    <xf numFmtId="0" fontId="4" fillId="4" borderId="0" xfId="0" applyFont="1" applyFill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 wrapText="1"/>
    </xf>
    <xf numFmtId="0" fontId="3" fillId="2" borderId="7" xfId="1" applyFont="1" applyFill="1" applyBorder="1" applyAlignment="1" applyProtection="1">
      <alignment horizontal="left" wrapText="1"/>
    </xf>
    <xf numFmtId="0" fontId="5" fillId="4" borderId="7" xfId="1" applyFont="1" applyFill="1" applyBorder="1" applyAlignment="1" applyProtection="1">
      <alignment horizontal="right" wrapText="1"/>
    </xf>
    <xf numFmtId="0" fontId="4" fillId="4" borderId="0" xfId="1" applyFont="1" applyFill="1" applyBorder="1" applyAlignment="1" applyProtection="1">
      <alignment horizontal="left" vertical="top" wrapText="1"/>
    </xf>
    <xf numFmtId="0" fontId="4" fillId="4" borderId="10" xfId="1" applyFont="1" applyFill="1" applyBorder="1" applyAlignment="1" applyProtection="1">
      <alignment horizontal="left" vertical="top" wrapText="1"/>
    </xf>
    <xf numFmtId="0" fontId="4" fillId="4" borderId="0" xfId="1" applyFont="1" applyFill="1" applyBorder="1" applyAlignment="1" applyProtection="1">
      <alignment horizontal="left" wrapText="1"/>
    </xf>
    <xf numFmtId="0" fontId="4" fillId="4" borderId="10" xfId="1" applyFont="1" applyFill="1" applyBorder="1" applyAlignment="1" applyProtection="1">
      <alignment horizontal="left" wrapText="1"/>
    </xf>
    <xf numFmtId="0" fontId="4" fillId="4" borderId="0" xfId="1" applyFont="1" applyFill="1" applyBorder="1" applyAlignment="1" applyProtection="1">
      <alignment horizontal="left"/>
    </xf>
    <xf numFmtId="0" fontId="4" fillId="4" borderId="10" xfId="1" applyFont="1" applyFill="1" applyBorder="1" applyAlignment="1" applyProtection="1">
      <alignment horizontal="left"/>
    </xf>
    <xf numFmtId="0" fontId="3" fillId="2" borderId="13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left" vertical="top"/>
    </xf>
    <xf numFmtId="0" fontId="16" fillId="0" borderId="0" xfId="0" applyFont="1" applyBorder="1" applyAlignment="1">
      <alignment horizontal="left"/>
    </xf>
    <xf numFmtId="0" fontId="15" fillId="13" borderId="0" xfId="0" applyFont="1" applyFill="1" applyAlignment="1" applyProtection="1">
      <alignment horizontal="left" vertical="top"/>
    </xf>
    <xf numFmtId="0" fontId="16" fillId="0" borderId="0" xfId="0" applyFont="1" applyBorder="1" applyAlignment="1" applyProtection="1">
      <alignment horizontal="left"/>
    </xf>
    <xf numFmtId="0" fontId="15" fillId="14" borderId="0" xfId="0" applyFont="1" applyFill="1" applyAlignment="1" applyProtection="1">
      <alignment horizontal="left" vertical="top"/>
    </xf>
    <xf numFmtId="0" fontId="16" fillId="4" borderId="7" xfId="1" applyFont="1" applyFill="1" applyBorder="1" applyAlignment="1" applyProtection="1">
      <alignment horizontal="left"/>
    </xf>
    <xf numFmtId="0" fontId="16" fillId="4" borderId="0" xfId="1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alignment horizontal="left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23" fillId="4" borderId="1" xfId="0" applyFont="1" applyFill="1" applyBorder="1" applyAlignment="1" applyProtection="1">
      <alignment horizontal="left" wrapText="1"/>
    </xf>
    <xf numFmtId="0" fontId="23" fillId="0" borderId="2" xfId="0" applyFont="1" applyBorder="1" applyAlignment="1" applyProtection="1">
      <alignment horizontal="left" wrapText="1"/>
    </xf>
    <xf numFmtId="0" fontId="23" fillId="0" borderId="3" xfId="0" applyFont="1" applyBorder="1" applyAlignment="1" applyProtection="1">
      <alignment horizontal="left" wrapText="1"/>
    </xf>
    <xf numFmtId="0" fontId="15" fillId="21" borderId="0" xfId="0" applyFont="1" applyFill="1" applyAlignment="1" applyProtection="1">
      <alignment horizontal="left"/>
    </xf>
    <xf numFmtId="0" fontId="0" fillId="21" borderId="0" xfId="0" applyFill="1" applyAlignment="1" applyProtection="1"/>
    <xf numFmtId="165" fontId="3" fillId="4" borderId="2" xfId="2" applyFont="1" applyFill="1" applyBorder="1" applyAlignment="1" applyProtection="1">
      <alignment horizontal="center"/>
    </xf>
    <xf numFmtId="165" fontId="3" fillId="4" borderId="3" xfId="2" applyFont="1" applyFill="1" applyBorder="1" applyAlignment="1" applyProtection="1">
      <alignment horizontal="center"/>
    </xf>
    <xf numFmtId="0" fontId="15" fillId="15" borderId="0" xfId="0" applyFont="1" applyFill="1" applyAlignment="1" applyProtection="1">
      <alignment horizontal="left"/>
    </xf>
    <xf numFmtId="0" fontId="3" fillId="2" borderId="8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0" fontId="27" fillId="2" borderId="2" xfId="5" applyFont="1" applyFill="1" applyBorder="1" applyAlignment="1" applyProtection="1">
      <alignment horizontal="left" wrapText="1"/>
    </xf>
    <xf numFmtId="0" fontId="27" fillId="2" borderId="6" xfId="5" applyFont="1" applyFill="1" applyBorder="1" applyAlignment="1" applyProtection="1">
      <alignment horizontal="left" wrapText="1"/>
    </xf>
    <xf numFmtId="0" fontId="27" fillId="2" borderId="3" xfId="5" applyFont="1" applyFill="1" applyBorder="1" applyAlignment="1" applyProtection="1">
      <alignment horizontal="left" wrapText="1"/>
    </xf>
    <xf numFmtId="0" fontId="16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3" fillId="2" borderId="14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left" wrapText="1"/>
    </xf>
    <xf numFmtId="0" fontId="4" fillId="16" borderId="53" xfId="0" applyFont="1" applyFill="1" applyBorder="1" applyAlignment="1" applyProtection="1">
      <alignment horizontal="center" vertical="center"/>
    </xf>
    <xf numFmtId="0" fontId="4" fillId="16" borderId="54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16" borderId="13" xfId="0" applyFont="1" applyFill="1" applyBorder="1" applyAlignment="1" applyProtection="1">
      <alignment horizontal="left" vertical="center" wrapText="1"/>
    </xf>
    <xf numFmtId="0" fontId="4" fillId="16" borderId="15" xfId="0" applyFont="1" applyFill="1" applyBorder="1" applyAlignment="1" applyProtection="1">
      <alignment horizontal="left" vertical="center" wrapText="1"/>
    </xf>
    <xf numFmtId="0" fontId="3" fillId="0" borderId="56" xfId="0" applyFont="1" applyFill="1" applyBorder="1" applyAlignment="1" applyProtection="1">
      <alignment horizontal="center" vertical="center" wrapText="1"/>
    </xf>
    <xf numFmtId="0" fontId="3" fillId="0" borderId="57" xfId="0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5" xfId="0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wrapText="1"/>
    </xf>
    <xf numFmtId="4" fontId="3" fillId="4" borderId="4" xfId="0" applyNumberFormat="1" applyFont="1" applyFill="1" applyBorder="1" applyAlignment="1" applyProtection="1">
      <alignment horizontal="center" vertical="center" wrapText="1"/>
    </xf>
    <xf numFmtId="4" fontId="3" fillId="4" borderId="5" xfId="0" applyNumberFormat="1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wrapText="1"/>
    </xf>
    <xf numFmtId="0" fontId="0" fillId="4" borderId="5" xfId="0" applyFill="1" applyBorder="1" applyAlignment="1" applyProtection="1">
      <alignment wrapText="1"/>
    </xf>
    <xf numFmtId="170" fontId="3" fillId="0" borderId="13" xfId="3" applyNumberFormat="1" applyFont="1" applyFill="1" applyBorder="1" applyAlignment="1" applyProtection="1">
      <alignment horizontal="center" vertical="center"/>
    </xf>
    <xf numFmtId="170" fontId="3" fillId="0" borderId="9" xfId="3" applyNumberFormat="1" applyFont="1" applyFill="1" applyBorder="1" applyAlignment="1" applyProtection="1">
      <alignment horizontal="center" vertical="center"/>
    </xf>
    <xf numFmtId="170" fontId="3" fillId="0" borderId="15" xfId="3" applyNumberFormat="1" applyFont="1" applyFill="1" applyBorder="1" applyAlignment="1" applyProtection="1">
      <alignment horizontal="center" vertical="center"/>
    </xf>
    <xf numFmtId="170" fontId="3" fillId="0" borderId="11" xfId="3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wrapText="1"/>
    </xf>
    <xf numFmtId="0" fontId="3" fillId="2" borderId="6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left" wrapText="1"/>
    </xf>
    <xf numFmtId="0" fontId="3" fillId="2" borderId="1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</cellXfs>
  <cellStyles count="7">
    <cellStyle name="Comma" xfId="4" builtinId="3"/>
    <cellStyle name="EYHeader1" xfId="2" xr:uid="{00000000-0005-0000-0000-000001000000}"/>
    <cellStyle name="Hyperlink" xfId="5" builtinId="8"/>
    <cellStyle name="Normal" xfId="0" builtinId="0"/>
    <cellStyle name="Normal_pielikums veidlapai-2_v2_12082008" xfId="1" xr:uid="{00000000-0005-0000-0000-000004000000}"/>
    <cellStyle name="Note" xfId="6" builtinId="10"/>
    <cellStyle name="Percent" xfId="3" builtinId="5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numFmt numFmtId="30" formatCode="@"/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eur-lex.europa.eu/eli/reg/2013/1303?locale=LV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workbookViewId="0">
      <selection activeCell="F4" sqref="F4"/>
    </sheetView>
  </sheetViews>
  <sheetFormatPr defaultColWidth="9.140625" defaultRowHeight="15" x14ac:dyDescent="0.25"/>
  <cols>
    <col min="1" max="1" width="10.7109375" style="428" customWidth="1"/>
    <col min="2" max="2" width="11.28515625" style="428" customWidth="1"/>
    <col min="3" max="3" width="9.140625" style="428"/>
    <col min="4" max="4" width="17" style="428" customWidth="1"/>
    <col min="5" max="5" width="13.5703125" style="428" customWidth="1"/>
    <col min="6" max="6" width="22.140625" style="428" customWidth="1"/>
    <col min="7" max="7" width="18.7109375" style="428" customWidth="1"/>
    <col min="8" max="8" width="9.140625" style="428"/>
    <col min="9" max="9" width="23.7109375" style="428" customWidth="1"/>
    <col min="10" max="10" width="31.85546875" style="428" customWidth="1"/>
    <col min="11" max="11" width="9.140625" style="428"/>
    <col min="12" max="12" width="12" style="428" customWidth="1"/>
    <col min="13" max="13" width="18.28515625" style="428" customWidth="1"/>
    <col min="14" max="14" width="8.140625" style="428" customWidth="1"/>
    <col min="15" max="16" width="9.140625" style="428" hidden="1" customWidth="1"/>
    <col min="17" max="17" width="31.42578125" style="428" hidden="1" customWidth="1"/>
    <col min="18" max="18" width="39" style="428" customWidth="1"/>
    <col min="19" max="19" width="11.42578125" style="428" bestFit="1" customWidth="1"/>
    <col min="20" max="16384" width="9.140625" style="428"/>
  </cols>
  <sheetData>
    <row r="1" spans="1:19" s="655" customFormat="1" ht="73.5" customHeight="1" x14ac:dyDescent="0.25">
      <c r="A1" s="652" t="s">
        <v>0</v>
      </c>
      <c r="B1" s="652" t="s">
        <v>1</v>
      </c>
      <c r="C1" s="652" t="s">
        <v>2</v>
      </c>
      <c r="D1" s="652" t="s">
        <v>38</v>
      </c>
      <c r="E1" s="652" t="s">
        <v>103</v>
      </c>
      <c r="F1" s="653" t="s">
        <v>203</v>
      </c>
      <c r="G1" s="652" t="s">
        <v>238</v>
      </c>
      <c r="H1" s="652" t="s">
        <v>245</v>
      </c>
      <c r="I1" s="652" t="s">
        <v>445</v>
      </c>
      <c r="J1" s="652" t="s">
        <v>247</v>
      </c>
      <c r="K1" s="653" t="s">
        <v>361</v>
      </c>
      <c r="L1" s="652" t="s">
        <v>446</v>
      </c>
      <c r="M1" s="654" t="s">
        <v>518</v>
      </c>
      <c r="N1" s="654" t="s">
        <v>519</v>
      </c>
      <c r="O1" s="746" t="s">
        <v>446</v>
      </c>
      <c r="Q1" s="655" t="s">
        <v>565</v>
      </c>
      <c r="S1" s="655" t="s">
        <v>587</v>
      </c>
    </row>
    <row r="2" spans="1:19" x14ac:dyDescent="0.25">
      <c r="A2" s="656">
        <v>1</v>
      </c>
      <c r="B2" s="656" t="s">
        <v>3</v>
      </c>
      <c r="C2" s="657">
        <v>2020</v>
      </c>
      <c r="D2" s="656" t="s">
        <v>595</v>
      </c>
      <c r="E2" s="656" t="s">
        <v>2</v>
      </c>
      <c r="F2" s="658">
        <f>IF(Titullapa!B21="IEŅĒMUMUS NEGŪSTOŠS PROJEKTS",1,2)</f>
        <v>2</v>
      </c>
      <c r="G2" s="656">
        <f>IF(Titullapa!B29="Jā",1,2)</f>
        <v>2</v>
      </c>
      <c r="H2" s="659">
        <v>0.2</v>
      </c>
      <c r="I2" s="656">
        <f>IF(Titullapa!B5="Kapitālsabiedrība", 2,1)</f>
        <v>1</v>
      </c>
      <c r="J2" s="656">
        <f>IF(Titullapa!B17="Jā",2,1)</f>
        <v>2</v>
      </c>
      <c r="K2" s="660">
        <v>0.2409</v>
      </c>
      <c r="L2" s="656" t="s">
        <v>206</v>
      </c>
      <c r="M2" s="657" t="s">
        <v>522</v>
      </c>
      <c r="N2" s="428" t="s">
        <v>521</v>
      </c>
      <c r="O2" s="747" t="s">
        <v>391</v>
      </c>
      <c r="Q2" s="870" t="s">
        <v>446</v>
      </c>
    </row>
    <row r="3" spans="1:19" ht="45" x14ac:dyDescent="0.25">
      <c r="A3" s="657">
        <v>2</v>
      </c>
      <c r="B3" s="657" t="s">
        <v>467</v>
      </c>
      <c r="C3" s="657">
        <v>2021</v>
      </c>
      <c r="D3" s="657"/>
      <c r="E3" s="657">
        <v>2020</v>
      </c>
      <c r="F3" s="657"/>
      <c r="G3" s="657"/>
      <c r="H3" s="657"/>
      <c r="I3" s="657"/>
      <c r="J3" s="657"/>
      <c r="K3" s="657"/>
      <c r="L3" s="657" t="s">
        <v>447</v>
      </c>
      <c r="M3" s="657" t="s">
        <v>523</v>
      </c>
      <c r="O3" s="748" t="s">
        <v>546</v>
      </c>
      <c r="Q3" s="871" t="s">
        <v>566</v>
      </c>
      <c r="R3" s="655" t="s">
        <v>591</v>
      </c>
      <c r="S3" s="444">
        <v>5780000</v>
      </c>
    </row>
    <row r="4" spans="1:19" ht="45" x14ac:dyDescent="0.25">
      <c r="A4" s="657">
        <v>3</v>
      </c>
      <c r="B4" s="657" t="s">
        <v>4</v>
      </c>
      <c r="C4" s="657">
        <v>2022</v>
      </c>
      <c r="D4" s="657"/>
      <c r="E4" s="657">
        <v>2021</v>
      </c>
      <c r="F4" s="657"/>
      <c r="G4" s="657"/>
      <c r="H4" s="657"/>
      <c r="I4" s="657"/>
      <c r="J4" s="657"/>
      <c r="K4" s="657"/>
      <c r="L4" s="657"/>
      <c r="M4" s="657"/>
      <c r="O4" s="428" t="s">
        <v>549</v>
      </c>
      <c r="Q4" s="655" t="s">
        <v>567</v>
      </c>
      <c r="R4" s="428" t="s">
        <v>592</v>
      </c>
      <c r="S4" s="444">
        <v>5702183</v>
      </c>
    </row>
    <row r="5" spans="1:19" x14ac:dyDescent="0.25">
      <c r="A5" s="657">
        <v>4</v>
      </c>
      <c r="B5" s="657" t="s">
        <v>5</v>
      </c>
      <c r="C5" s="657">
        <v>2023</v>
      </c>
      <c r="D5" s="657"/>
      <c r="E5" s="657">
        <v>2022</v>
      </c>
      <c r="F5" s="657"/>
      <c r="G5" s="657"/>
      <c r="H5" s="657"/>
      <c r="I5" s="657"/>
      <c r="J5" s="657"/>
      <c r="K5" s="657"/>
      <c r="L5" s="657"/>
      <c r="M5" s="657"/>
      <c r="Q5" s="655"/>
      <c r="R5" s="428" t="s">
        <v>593</v>
      </c>
      <c r="S5" s="444">
        <v>6000000</v>
      </c>
    </row>
    <row r="6" spans="1:19" x14ac:dyDescent="0.25">
      <c r="A6" s="657">
        <v>5</v>
      </c>
      <c r="B6" s="657" t="s">
        <v>6</v>
      </c>
      <c r="C6" s="657"/>
      <c r="D6" s="657"/>
      <c r="E6" s="657">
        <v>2023</v>
      </c>
      <c r="F6" s="657"/>
      <c r="G6" s="657"/>
      <c r="H6" s="657"/>
      <c r="I6" s="657"/>
      <c r="J6" s="657"/>
      <c r="K6" s="657"/>
      <c r="L6" s="657"/>
      <c r="M6" s="657"/>
    </row>
    <row r="7" spans="1:19" x14ac:dyDescent="0.25">
      <c r="A7" s="657">
        <v>6</v>
      </c>
      <c r="B7" s="657" t="s">
        <v>7</v>
      </c>
      <c r="C7" s="657"/>
      <c r="D7" s="657"/>
      <c r="E7" s="657">
        <v>2024</v>
      </c>
      <c r="F7" s="657"/>
      <c r="G7" s="657"/>
      <c r="H7" s="657"/>
      <c r="I7" s="657"/>
      <c r="J7" s="657"/>
      <c r="K7" s="657"/>
      <c r="L7" s="657"/>
      <c r="M7" s="657"/>
    </row>
    <row r="8" spans="1:19" x14ac:dyDescent="0.25">
      <c r="A8" s="657">
        <v>7</v>
      </c>
      <c r="B8" s="657" t="s">
        <v>8</v>
      </c>
      <c r="C8" s="657"/>
      <c r="D8" s="657"/>
      <c r="E8" s="657"/>
      <c r="F8" s="657"/>
      <c r="G8" s="657"/>
      <c r="H8" s="657"/>
      <c r="I8" s="657"/>
      <c r="J8" s="657"/>
      <c r="K8" s="657"/>
      <c r="L8" s="657"/>
      <c r="M8" s="657"/>
    </row>
    <row r="9" spans="1:19" x14ac:dyDescent="0.25">
      <c r="A9" s="657">
        <v>8</v>
      </c>
      <c r="B9" s="657" t="s">
        <v>9</v>
      </c>
      <c r="C9" s="657"/>
      <c r="D9" s="657"/>
      <c r="E9" s="657"/>
      <c r="F9" s="657"/>
      <c r="G9" s="657"/>
      <c r="H9" s="657"/>
      <c r="I9" s="657"/>
      <c r="J9" s="657"/>
      <c r="K9" s="657"/>
      <c r="L9" s="657"/>
      <c r="M9" s="657"/>
    </row>
    <row r="10" spans="1:19" x14ac:dyDescent="0.25">
      <c r="A10" s="657">
        <v>9</v>
      </c>
      <c r="B10" s="657" t="s">
        <v>10</v>
      </c>
      <c r="C10" s="657"/>
      <c r="D10" s="657"/>
      <c r="E10" s="657"/>
      <c r="F10" s="657"/>
      <c r="G10" s="657"/>
      <c r="H10" s="657"/>
      <c r="I10" s="657"/>
      <c r="J10" s="657"/>
      <c r="K10" s="657"/>
      <c r="L10" s="657"/>
      <c r="M10" s="657"/>
    </row>
    <row r="11" spans="1:19" x14ac:dyDescent="0.25">
      <c r="A11" s="657">
        <v>10</v>
      </c>
      <c r="B11" s="657" t="s">
        <v>11</v>
      </c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</row>
    <row r="12" spans="1:19" x14ac:dyDescent="0.25">
      <c r="A12" s="657">
        <v>11</v>
      </c>
      <c r="B12" s="657" t="s">
        <v>12</v>
      </c>
      <c r="C12" s="657"/>
      <c r="D12" s="657"/>
      <c r="E12" s="657"/>
      <c r="F12" s="657"/>
      <c r="G12" s="657"/>
      <c r="H12" s="657"/>
      <c r="I12" s="657"/>
      <c r="J12" s="657"/>
      <c r="K12" s="657"/>
      <c r="L12" s="657"/>
      <c r="M12" s="657"/>
    </row>
    <row r="13" spans="1:19" x14ac:dyDescent="0.25">
      <c r="A13" s="657">
        <v>12</v>
      </c>
      <c r="B13" s="657" t="s">
        <v>13</v>
      </c>
      <c r="C13" s="657"/>
      <c r="D13" s="657"/>
      <c r="E13" s="657"/>
      <c r="F13" s="657"/>
      <c r="G13" s="657"/>
      <c r="H13" s="657"/>
      <c r="I13" s="657"/>
      <c r="J13" s="657"/>
      <c r="K13" s="657"/>
      <c r="L13" s="657"/>
      <c r="M13" s="657"/>
    </row>
    <row r="14" spans="1:19" x14ac:dyDescent="0.25">
      <c r="A14" s="657">
        <v>13</v>
      </c>
      <c r="B14" s="657"/>
      <c r="C14" s="657"/>
      <c r="D14" s="657"/>
      <c r="E14" s="657"/>
      <c r="F14" s="657"/>
      <c r="G14" s="657"/>
      <c r="H14" s="657"/>
      <c r="I14" s="657"/>
      <c r="J14" s="657"/>
      <c r="K14" s="657"/>
      <c r="L14" s="657"/>
      <c r="M14" s="657"/>
    </row>
    <row r="15" spans="1:19" x14ac:dyDescent="0.25">
      <c r="A15" s="657">
        <v>14</v>
      </c>
      <c r="B15" s="657"/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</row>
    <row r="16" spans="1:19" x14ac:dyDescent="0.25">
      <c r="A16" s="657">
        <v>15</v>
      </c>
      <c r="B16" s="657"/>
      <c r="C16" s="657"/>
      <c r="D16" s="657"/>
      <c r="E16" s="657"/>
      <c r="F16" s="657"/>
      <c r="G16" s="657"/>
      <c r="H16" s="657"/>
      <c r="I16" s="657"/>
      <c r="J16" s="657"/>
      <c r="K16" s="657"/>
      <c r="L16" s="657"/>
      <c r="M16" s="657"/>
    </row>
    <row r="17" spans="1:13" x14ac:dyDescent="0.25">
      <c r="A17" s="657">
        <v>16</v>
      </c>
      <c r="B17" s="657"/>
      <c r="C17" s="657"/>
      <c r="D17" s="657"/>
      <c r="E17" s="657"/>
      <c r="F17" s="657"/>
      <c r="G17" s="657"/>
      <c r="H17" s="657"/>
      <c r="I17" s="657"/>
      <c r="J17" s="657"/>
      <c r="K17" s="657"/>
      <c r="L17" s="657"/>
      <c r="M17" s="657"/>
    </row>
    <row r="18" spans="1:13" x14ac:dyDescent="0.25">
      <c r="A18" s="657">
        <v>17</v>
      </c>
      <c r="B18" s="657"/>
      <c r="C18" s="657"/>
      <c r="D18" s="657"/>
      <c r="E18" s="657"/>
      <c r="F18" s="657"/>
      <c r="G18" s="657"/>
      <c r="H18" s="657"/>
      <c r="I18" s="657"/>
      <c r="J18" s="657"/>
      <c r="K18" s="657"/>
      <c r="L18" s="657"/>
      <c r="M18" s="657"/>
    </row>
    <row r="19" spans="1:13" x14ac:dyDescent="0.25">
      <c r="A19" s="657">
        <v>18</v>
      </c>
      <c r="B19" s="657"/>
      <c r="C19" s="657"/>
      <c r="D19" s="657"/>
      <c r="E19" s="657"/>
      <c r="F19" s="657"/>
      <c r="G19" s="657"/>
      <c r="H19" s="657"/>
      <c r="I19" s="657"/>
      <c r="J19" s="657"/>
      <c r="K19" s="657"/>
      <c r="L19" s="657"/>
      <c r="M19" s="657"/>
    </row>
    <row r="20" spans="1:13" x14ac:dyDescent="0.25">
      <c r="A20" s="657">
        <v>19</v>
      </c>
      <c r="B20" s="657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657"/>
    </row>
    <row r="21" spans="1:13" x14ac:dyDescent="0.25">
      <c r="A21" s="657">
        <v>20</v>
      </c>
      <c r="B21" s="657"/>
      <c r="C21" s="657"/>
      <c r="D21" s="657"/>
      <c r="E21" s="657"/>
      <c r="F21" s="657"/>
      <c r="G21" s="657"/>
      <c r="H21" s="657"/>
      <c r="I21" s="657"/>
      <c r="J21" s="657"/>
      <c r="K21" s="657"/>
      <c r="L21" s="657"/>
      <c r="M21" s="657"/>
    </row>
    <row r="22" spans="1:13" x14ac:dyDescent="0.25">
      <c r="A22" s="657">
        <v>21</v>
      </c>
      <c r="B22" s="657"/>
      <c r="C22" s="657"/>
      <c r="D22" s="657"/>
      <c r="E22" s="657"/>
      <c r="F22" s="657"/>
      <c r="G22" s="657"/>
      <c r="H22" s="657"/>
      <c r="I22" s="657"/>
      <c r="J22" s="657"/>
      <c r="K22" s="657"/>
      <c r="L22" s="657"/>
      <c r="M22" s="657"/>
    </row>
    <row r="23" spans="1:13" x14ac:dyDescent="0.25">
      <c r="A23" s="657">
        <v>22</v>
      </c>
      <c r="B23" s="657"/>
      <c r="C23" s="657"/>
      <c r="D23" s="657"/>
      <c r="E23" s="657"/>
      <c r="F23" s="657"/>
      <c r="G23" s="657"/>
      <c r="H23" s="657"/>
      <c r="I23" s="657"/>
      <c r="J23" s="657"/>
      <c r="K23" s="657"/>
      <c r="L23" s="657"/>
      <c r="M23" s="657"/>
    </row>
    <row r="24" spans="1:13" x14ac:dyDescent="0.25">
      <c r="A24" s="657">
        <v>23</v>
      </c>
      <c r="B24" s="657"/>
      <c r="C24" s="657"/>
      <c r="D24" s="657"/>
      <c r="E24" s="657"/>
      <c r="F24" s="657"/>
      <c r="G24" s="657"/>
      <c r="H24" s="657"/>
      <c r="I24" s="657"/>
      <c r="J24" s="657"/>
      <c r="K24" s="657"/>
      <c r="L24" s="657"/>
      <c r="M24" s="657"/>
    </row>
    <row r="25" spans="1:13" x14ac:dyDescent="0.25">
      <c r="A25" s="657">
        <v>24</v>
      </c>
      <c r="B25" s="657"/>
      <c r="C25" s="657"/>
      <c r="D25" s="657"/>
      <c r="E25" s="657"/>
      <c r="F25" s="657"/>
      <c r="G25" s="657"/>
      <c r="H25" s="657"/>
      <c r="I25" s="657"/>
      <c r="J25" s="657"/>
      <c r="K25" s="657"/>
      <c r="L25" s="657"/>
      <c r="M25" s="657"/>
    </row>
    <row r="26" spans="1:13" x14ac:dyDescent="0.25">
      <c r="A26" s="657">
        <v>25</v>
      </c>
      <c r="B26" s="657"/>
      <c r="C26" s="657"/>
      <c r="D26" s="657"/>
      <c r="E26" s="657"/>
      <c r="F26" s="657"/>
      <c r="G26" s="657"/>
      <c r="H26" s="657"/>
      <c r="I26" s="657"/>
      <c r="J26" s="657"/>
      <c r="K26" s="657"/>
      <c r="L26" s="657"/>
      <c r="M26" s="657"/>
    </row>
    <row r="27" spans="1:13" x14ac:dyDescent="0.25">
      <c r="A27" s="657">
        <v>26</v>
      </c>
      <c r="B27" s="657"/>
      <c r="C27" s="657"/>
      <c r="D27" s="657"/>
      <c r="E27" s="657"/>
      <c r="F27" s="657"/>
      <c r="G27" s="657"/>
      <c r="H27" s="657"/>
      <c r="I27" s="657"/>
      <c r="J27" s="657"/>
      <c r="K27" s="657"/>
      <c r="L27" s="657"/>
      <c r="M27" s="657"/>
    </row>
    <row r="28" spans="1:13" x14ac:dyDescent="0.25">
      <c r="A28" s="657">
        <v>27</v>
      </c>
      <c r="B28" s="657"/>
      <c r="C28" s="657"/>
      <c r="D28" s="657"/>
      <c r="E28" s="657"/>
      <c r="F28" s="657"/>
      <c r="G28" s="657"/>
      <c r="H28" s="657"/>
      <c r="I28" s="657"/>
      <c r="J28" s="657"/>
      <c r="K28" s="657"/>
      <c r="L28" s="657"/>
      <c r="M28" s="657"/>
    </row>
    <row r="29" spans="1:13" x14ac:dyDescent="0.25">
      <c r="A29" s="657">
        <v>28</v>
      </c>
      <c r="B29" s="657"/>
      <c r="C29" s="657"/>
      <c r="D29" s="657"/>
      <c r="E29" s="657"/>
      <c r="F29" s="657"/>
      <c r="G29" s="657"/>
      <c r="H29" s="657"/>
      <c r="I29" s="657"/>
      <c r="J29" s="657"/>
      <c r="K29" s="657"/>
      <c r="L29" s="657"/>
      <c r="M29" s="657"/>
    </row>
    <row r="30" spans="1:13" x14ac:dyDescent="0.25">
      <c r="A30" s="657">
        <v>29</v>
      </c>
      <c r="B30" s="657"/>
      <c r="C30" s="657"/>
      <c r="D30" s="657"/>
      <c r="E30" s="657"/>
      <c r="F30" s="657"/>
      <c r="G30" s="657"/>
      <c r="H30" s="657"/>
      <c r="I30" s="657"/>
      <c r="J30" s="657"/>
      <c r="K30" s="657"/>
      <c r="L30" s="657"/>
      <c r="M30" s="657"/>
    </row>
    <row r="31" spans="1:13" x14ac:dyDescent="0.25">
      <c r="A31" s="657">
        <v>30</v>
      </c>
      <c r="B31" s="657"/>
      <c r="C31" s="657"/>
      <c r="D31" s="657"/>
      <c r="E31" s="657"/>
      <c r="F31" s="657"/>
      <c r="G31" s="657"/>
      <c r="H31" s="657"/>
      <c r="I31" s="657"/>
      <c r="J31" s="657"/>
      <c r="K31" s="657"/>
      <c r="L31" s="657"/>
      <c r="M31" s="657"/>
    </row>
    <row r="32" spans="1:13" x14ac:dyDescent="0.25">
      <c r="A32" s="657">
        <v>31</v>
      </c>
      <c r="B32" s="657"/>
      <c r="C32" s="657"/>
      <c r="D32" s="657"/>
      <c r="E32" s="657"/>
      <c r="F32" s="657"/>
      <c r="G32" s="657"/>
      <c r="H32" s="657"/>
      <c r="I32" s="657"/>
      <c r="J32" s="657"/>
      <c r="K32" s="657"/>
      <c r="L32" s="657"/>
      <c r="M32" s="657"/>
    </row>
  </sheetData>
  <sheetProtection formatCells="0" formatColumns="0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G88"/>
  <sheetViews>
    <sheetView workbookViewId="0">
      <selection activeCell="G8" sqref="G8"/>
    </sheetView>
  </sheetViews>
  <sheetFormatPr defaultColWidth="9.140625" defaultRowHeight="15" x14ac:dyDescent="0.25"/>
  <cols>
    <col min="1" max="1" width="3.28515625" style="423" customWidth="1"/>
    <col min="2" max="2" width="9.140625" style="423"/>
    <col min="3" max="3" width="10.7109375" style="423" customWidth="1"/>
    <col min="4" max="4" width="22.5703125" style="423" customWidth="1"/>
    <col min="5" max="5" width="9.140625" style="423"/>
    <col min="6" max="6" width="13.5703125" style="423" bestFit="1" customWidth="1"/>
    <col min="7" max="7" width="12.42578125" style="423" bestFit="1" customWidth="1"/>
    <col min="8" max="8" width="13.5703125" style="423" bestFit="1" customWidth="1"/>
    <col min="9" max="9" width="12.42578125" style="423" bestFit="1" customWidth="1"/>
    <col min="10" max="31" width="9.28515625" style="423" bestFit="1" customWidth="1"/>
    <col min="32" max="32" width="11.7109375" style="423" customWidth="1"/>
    <col min="33" max="16384" width="9.140625" style="423"/>
  </cols>
  <sheetData>
    <row r="1" spans="1:33" s="428" customFormat="1" ht="26.25" x14ac:dyDescent="0.25">
      <c r="A1" s="990" t="s">
        <v>400</v>
      </c>
      <c r="B1" s="990"/>
      <c r="C1" s="990"/>
      <c r="D1" s="990"/>
      <c r="E1" s="990"/>
      <c r="F1" s="990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3" s="428" customFormat="1" ht="21" x14ac:dyDescent="0.35">
      <c r="A2" s="197" t="s">
        <v>283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</row>
    <row r="3" spans="1:33" s="514" customFormat="1" ht="15" customHeight="1" x14ac:dyDescent="0.2">
      <c r="A3" s="125"/>
      <c r="B3" s="11"/>
      <c r="C3" s="992" t="s">
        <v>557</v>
      </c>
      <c r="D3" s="992"/>
      <c r="E3" s="199"/>
      <c r="F3" s="13"/>
      <c r="G3" s="200">
        <f>'7.DL Jutīguma analīze_Invest'!G4</f>
        <v>0</v>
      </c>
      <c r="H3" s="200">
        <f>'7.DL Jutīguma analīze_Invest'!H4</f>
        <v>1</v>
      </c>
      <c r="I3" s="200">
        <f>'7.DL Jutīguma analīze_Invest'!I4</f>
        <v>2</v>
      </c>
      <c r="J3" s="200">
        <f>'7.DL Jutīguma analīze_Invest'!J4</f>
        <v>3</v>
      </c>
      <c r="K3" s="200">
        <f>'7.DL Jutīguma analīze_Invest'!K4</f>
        <v>4</v>
      </c>
      <c r="L3" s="200">
        <f>'7.DL Jutīguma analīze_Invest'!L4</f>
        <v>5</v>
      </c>
      <c r="M3" s="200">
        <f>'7.DL Jutīguma analīze_Invest'!M4</f>
        <v>6</v>
      </c>
      <c r="N3" s="200">
        <f>'7.DL Jutīguma analīze_Invest'!N4</f>
        <v>7</v>
      </c>
      <c r="O3" s="200">
        <f>'7.DL Jutīguma analīze_Invest'!O4</f>
        <v>8</v>
      </c>
      <c r="P3" s="200">
        <f>'7.DL Jutīguma analīze_Invest'!P4</f>
        <v>9</v>
      </c>
      <c r="Q3" s="200">
        <f>'7.DL Jutīguma analīze_Invest'!Q4</f>
        <v>10</v>
      </c>
      <c r="R3" s="200">
        <f>'7.DL Jutīguma analīze_Invest'!R4</f>
        <v>11</v>
      </c>
      <c r="S3" s="200">
        <f>'7.DL Jutīguma analīze_Invest'!S4</f>
        <v>12</v>
      </c>
      <c r="T3" s="200">
        <f>'7.DL Jutīguma analīze_Invest'!T4</f>
        <v>13</v>
      </c>
      <c r="U3" s="200">
        <f>'7.DL Jutīguma analīze_Invest'!U4</f>
        <v>14</v>
      </c>
      <c r="V3" s="200">
        <f>'7.DL Jutīguma analīze_Invest'!V4</f>
        <v>15</v>
      </c>
      <c r="W3" s="200">
        <f>'7.DL Jutīguma analīze_Invest'!W4</f>
        <v>16</v>
      </c>
      <c r="X3" s="200">
        <f>'7.DL Jutīguma analīze_Invest'!X4</f>
        <v>17</v>
      </c>
      <c r="Y3" s="200">
        <f>'7.DL Jutīguma analīze_Invest'!Y4</f>
        <v>18</v>
      </c>
      <c r="Z3" s="200">
        <f>'7.DL Jutīguma analīze_Invest'!Z4</f>
        <v>19</v>
      </c>
      <c r="AA3" s="200">
        <f>'7.DL Jutīguma analīze_Invest'!AA4</f>
        <v>20</v>
      </c>
      <c r="AB3" s="200">
        <f>'7.DL Jutīguma analīze_Invest'!AB4</f>
        <v>21</v>
      </c>
      <c r="AC3" s="200">
        <f>'7.DL Jutīguma analīze_Invest'!AC4</f>
        <v>22</v>
      </c>
      <c r="AD3" s="200">
        <f>'7.DL Jutīguma analīze_Invest'!AD4</f>
        <v>23</v>
      </c>
      <c r="AE3" s="200">
        <f>'7.DL Jutīguma analīze_Invest'!AE4</f>
        <v>24</v>
      </c>
      <c r="AF3" s="126"/>
    </row>
    <row r="4" spans="1:33" s="514" customFormat="1" ht="24.75" customHeight="1" x14ac:dyDescent="0.2">
      <c r="A4" s="14"/>
      <c r="B4" s="15"/>
      <c r="C4" s="993"/>
      <c r="D4" s="993"/>
      <c r="E4" s="201"/>
      <c r="F4" s="202" t="s">
        <v>39</v>
      </c>
      <c r="G4" s="706">
        <f>'7.DL Jutīguma analīze_Invest'!G5</f>
        <v>2021</v>
      </c>
      <c r="H4" s="706">
        <f>'7.DL Jutīguma analīze_Invest'!H5</f>
        <v>2022</v>
      </c>
      <c r="I4" s="706">
        <f>'7.DL Jutīguma analīze_Invest'!I5</f>
        <v>2023</v>
      </c>
      <c r="J4" s="706">
        <f>'7.DL Jutīguma analīze_Invest'!J5</f>
        <v>2024</v>
      </c>
      <c r="K4" s="706">
        <f>'7.DL Jutīguma analīze_Invest'!K5</f>
        <v>2025</v>
      </c>
      <c r="L4" s="706">
        <f>'7.DL Jutīguma analīze_Invest'!L5</f>
        <v>2026</v>
      </c>
      <c r="M4" s="706">
        <f>'7.DL Jutīguma analīze_Invest'!M5</f>
        <v>2027</v>
      </c>
      <c r="N4" s="706">
        <f>'7.DL Jutīguma analīze_Invest'!N5</f>
        <v>2028</v>
      </c>
      <c r="O4" s="706">
        <f>'7.DL Jutīguma analīze_Invest'!O5</f>
        <v>2029</v>
      </c>
      <c r="P4" s="706">
        <f>'7.DL Jutīguma analīze_Invest'!P5</f>
        <v>2030</v>
      </c>
      <c r="Q4" s="706">
        <f>'7.DL Jutīguma analīze_Invest'!Q5</f>
        <v>2031</v>
      </c>
      <c r="R4" s="706">
        <f>'7.DL Jutīguma analīze_Invest'!R5</f>
        <v>2032</v>
      </c>
      <c r="S4" s="706">
        <f>'7.DL Jutīguma analīze_Invest'!S5</f>
        <v>2033</v>
      </c>
      <c r="T4" s="706">
        <f>'7.DL Jutīguma analīze_Invest'!T5</f>
        <v>2034</v>
      </c>
      <c r="U4" s="706">
        <f>'7.DL Jutīguma analīze_Invest'!U5</f>
        <v>2035</v>
      </c>
      <c r="V4" s="706">
        <f>'7.DL Jutīguma analīze_Invest'!V5</f>
        <v>2036</v>
      </c>
      <c r="W4" s="706">
        <f>'7.DL Jutīguma analīze_Invest'!W5</f>
        <v>2037</v>
      </c>
      <c r="X4" s="706">
        <f>'7.DL Jutīguma analīze_Invest'!X5</f>
        <v>2038</v>
      </c>
      <c r="Y4" s="706">
        <f>'7.DL Jutīguma analīze_Invest'!Y5</f>
        <v>2039</v>
      </c>
      <c r="Z4" s="706">
        <f>'7.DL Jutīguma analīze_Invest'!Z5</f>
        <v>2040</v>
      </c>
      <c r="AA4" s="706">
        <f>'7.DL Jutīguma analīze_Invest'!AA5</f>
        <v>2041</v>
      </c>
      <c r="AB4" s="706">
        <f>'7.DL Jutīguma analīze_Invest'!AB5</f>
        <v>2042</v>
      </c>
      <c r="AC4" s="706">
        <f>'7.DL Jutīguma analīze_Invest'!AC5</f>
        <v>2043</v>
      </c>
      <c r="AD4" s="706">
        <f>'7.DL Jutīguma analīze_Invest'!AD5</f>
        <v>2044</v>
      </c>
      <c r="AE4" s="706">
        <f>'7.DL Jutīguma analīze_Invest'!AE5</f>
        <v>2045</v>
      </c>
      <c r="AF4" s="203" t="s">
        <v>40</v>
      </c>
    </row>
    <row r="5" spans="1:33" s="514" customFormat="1" ht="12.75" x14ac:dyDescent="0.2">
      <c r="A5" s="17"/>
      <c r="B5" s="17"/>
      <c r="C5" s="17"/>
      <c r="D5" s="17"/>
      <c r="E5" s="17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33" s="514" customFormat="1" ht="12.75" x14ac:dyDescent="0.2">
      <c r="A6" s="20">
        <v>1</v>
      </c>
      <c r="B6" s="21" t="s">
        <v>41</v>
      </c>
      <c r="C6" s="21"/>
      <c r="D6" s="21"/>
      <c r="E6" s="21"/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</row>
    <row r="7" spans="1:33" s="514" customFormat="1" ht="12.75" x14ac:dyDescent="0.2">
      <c r="A7" s="17"/>
      <c r="B7" s="17"/>
      <c r="C7" s="17"/>
      <c r="D7" s="17"/>
      <c r="E7" s="17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33" s="514" customFormat="1" ht="12.75" x14ac:dyDescent="0.2">
      <c r="A8" s="204"/>
      <c r="B8" s="205" t="s">
        <v>27</v>
      </c>
      <c r="C8" s="206" t="s">
        <v>284</v>
      </c>
      <c r="D8" s="206"/>
      <c r="E8" s="207"/>
      <c r="F8" s="208" t="s">
        <v>20</v>
      </c>
      <c r="G8" s="308">
        <f>SUM(G9:G17)</f>
        <v>17500</v>
      </c>
      <c r="H8" s="308">
        <f t="shared" ref="H8:AE8" si="0">SUM(H9:H17)</f>
        <v>17500</v>
      </c>
      <c r="I8" s="308">
        <f t="shared" si="0"/>
        <v>12500</v>
      </c>
      <c r="J8" s="308">
        <f t="shared" si="0"/>
        <v>12500</v>
      </c>
      <c r="K8" s="308">
        <f t="shared" si="0"/>
        <v>12500</v>
      </c>
      <c r="L8" s="308">
        <f t="shared" si="0"/>
        <v>12500</v>
      </c>
      <c r="M8" s="308">
        <f t="shared" si="0"/>
        <v>12500</v>
      </c>
      <c r="N8" s="308">
        <f t="shared" si="0"/>
        <v>12500</v>
      </c>
      <c r="O8" s="308">
        <f t="shared" si="0"/>
        <v>12500</v>
      </c>
      <c r="P8" s="308">
        <f t="shared" si="0"/>
        <v>12500</v>
      </c>
      <c r="Q8" s="308">
        <f t="shared" si="0"/>
        <v>12500</v>
      </c>
      <c r="R8" s="308">
        <f t="shared" si="0"/>
        <v>12500</v>
      </c>
      <c r="S8" s="308">
        <f t="shared" si="0"/>
        <v>12500</v>
      </c>
      <c r="T8" s="308">
        <f t="shared" si="0"/>
        <v>12500</v>
      </c>
      <c r="U8" s="308">
        <f t="shared" si="0"/>
        <v>12500</v>
      </c>
      <c r="V8" s="308">
        <f t="shared" si="0"/>
        <v>12500</v>
      </c>
      <c r="W8" s="308">
        <f t="shared" si="0"/>
        <v>12500</v>
      </c>
      <c r="X8" s="308">
        <f t="shared" si="0"/>
        <v>12500</v>
      </c>
      <c r="Y8" s="308">
        <f t="shared" si="0"/>
        <v>12500</v>
      </c>
      <c r="Z8" s="308">
        <f t="shared" si="0"/>
        <v>12500</v>
      </c>
      <c r="AA8" s="308">
        <f t="shared" si="0"/>
        <v>12500</v>
      </c>
      <c r="AB8" s="308">
        <f t="shared" si="0"/>
        <v>12500</v>
      </c>
      <c r="AC8" s="308">
        <f t="shared" si="0"/>
        <v>12500</v>
      </c>
      <c r="AD8" s="308">
        <f t="shared" si="0"/>
        <v>12500</v>
      </c>
      <c r="AE8" s="308">
        <f t="shared" si="0"/>
        <v>12500</v>
      </c>
      <c r="AF8" s="309">
        <f t="shared" ref="AF8:AF54" si="1">SUM(G8:AE8)</f>
        <v>322500</v>
      </c>
    </row>
    <row r="9" spans="1:33" s="521" customFormat="1" ht="12.75" x14ac:dyDescent="0.2">
      <c r="A9" s="209"/>
      <c r="B9" s="707" t="s">
        <v>285</v>
      </c>
      <c r="C9" s="929" t="str">
        <f>'6.DL Soc.ekon.analīze'!B7</f>
        <v>Ieguvums ...</v>
      </c>
      <c r="D9" s="983"/>
      <c r="E9" s="210">
        <v>0</v>
      </c>
      <c r="F9" s="181" t="s">
        <v>20</v>
      </c>
      <c r="G9" s="310">
        <f>'6.DL Soc.ekon.analīze'!D7*(1+$E9)</f>
        <v>7500</v>
      </c>
      <c r="H9" s="310">
        <f>'6.DL Soc.ekon.analīze'!E7*(1+$E9)</f>
        <v>7500</v>
      </c>
      <c r="I9" s="310">
        <f>'6.DL Soc.ekon.analīze'!F7*(1+$E9)</f>
        <v>7500</v>
      </c>
      <c r="J9" s="310">
        <f>'6.DL Soc.ekon.analīze'!G7*(1+$E9)</f>
        <v>7500</v>
      </c>
      <c r="K9" s="310">
        <f>'6.DL Soc.ekon.analīze'!H7*(1+$E9)</f>
        <v>7500</v>
      </c>
      <c r="L9" s="310">
        <f>'6.DL Soc.ekon.analīze'!I7*(1+$E9)</f>
        <v>7500</v>
      </c>
      <c r="M9" s="310">
        <f>'6.DL Soc.ekon.analīze'!J7*(1+$E9)</f>
        <v>7500</v>
      </c>
      <c r="N9" s="310">
        <f>'6.DL Soc.ekon.analīze'!K7*(1+$E9)</f>
        <v>7500</v>
      </c>
      <c r="O9" s="310">
        <f>'6.DL Soc.ekon.analīze'!L7*(1+$E9)</f>
        <v>7500</v>
      </c>
      <c r="P9" s="310">
        <f>'6.DL Soc.ekon.analīze'!M7*(1+$E9)</f>
        <v>7500</v>
      </c>
      <c r="Q9" s="310">
        <f>'6.DL Soc.ekon.analīze'!N7*(1+$E9)</f>
        <v>7500</v>
      </c>
      <c r="R9" s="310">
        <f>'6.DL Soc.ekon.analīze'!O7*(1+$E9)</f>
        <v>7500</v>
      </c>
      <c r="S9" s="310">
        <f>'6.DL Soc.ekon.analīze'!P7*(1+$E9)</f>
        <v>7500</v>
      </c>
      <c r="T9" s="310">
        <f>'6.DL Soc.ekon.analīze'!Q7*(1+$E9)</f>
        <v>7500</v>
      </c>
      <c r="U9" s="310">
        <f>'6.DL Soc.ekon.analīze'!R7*(1+$E9)</f>
        <v>7500</v>
      </c>
      <c r="V9" s="310">
        <f>'6.DL Soc.ekon.analīze'!S7*(1+$E9)</f>
        <v>7500</v>
      </c>
      <c r="W9" s="310">
        <f>'6.DL Soc.ekon.analīze'!T7*(1+$E9)</f>
        <v>7500</v>
      </c>
      <c r="X9" s="310">
        <f>'6.DL Soc.ekon.analīze'!U7*(1+$E9)</f>
        <v>7500</v>
      </c>
      <c r="Y9" s="310">
        <f>'6.DL Soc.ekon.analīze'!V7*(1+$E9)</f>
        <v>7500</v>
      </c>
      <c r="Z9" s="310">
        <f>'6.DL Soc.ekon.analīze'!W7*(1+$E9)</f>
        <v>7500</v>
      </c>
      <c r="AA9" s="310">
        <f>'6.DL Soc.ekon.analīze'!X7*(1+$E9)</f>
        <v>7500</v>
      </c>
      <c r="AB9" s="310">
        <f>'6.DL Soc.ekon.analīze'!Y7*(1+$E9)</f>
        <v>7500</v>
      </c>
      <c r="AC9" s="310">
        <f>'6.DL Soc.ekon.analīze'!Z7*(1+$E9)</f>
        <v>7500</v>
      </c>
      <c r="AD9" s="310">
        <f>'6.DL Soc.ekon.analīze'!AA7*(1+$E9)</f>
        <v>7500</v>
      </c>
      <c r="AE9" s="310">
        <f>'6.DL Soc.ekon.analīze'!AB7*(1+$E9)</f>
        <v>7500</v>
      </c>
      <c r="AF9" s="311">
        <f t="shared" si="1"/>
        <v>187500</v>
      </c>
      <c r="AG9" s="514"/>
    </row>
    <row r="10" spans="1:33" s="521" customFormat="1" ht="12.75" x14ac:dyDescent="0.2">
      <c r="A10" s="209"/>
      <c r="B10" s="707" t="s">
        <v>286</v>
      </c>
      <c r="C10" s="929" t="str">
        <f>'6.DL Soc.ekon.analīze'!B8</f>
        <v>Ieguvums ...</v>
      </c>
      <c r="D10" s="983"/>
      <c r="E10" s="210">
        <v>0</v>
      </c>
      <c r="F10" s="181" t="s">
        <v>20</v>
      </c>
      <c r="G10" s="310">
        <f>'6.DL Soc.ekon.analīze'!D8*(1+$E10)</f>
        <v>10000</v>
      </c>
      <c r="H10" s="310">
        <f>'6.DL Soc.ekon.analīze'!E8*(1+$E10)</f>
        <v>10000</v>
      </c>
      <c r="I10" s="310">
        <f>'6.DL Soc.ekon.analīze'!F8*(1+$E10)</f>
        <v>5000</v>
      </c>
      <c r="J10" s="310">
        <f>'6.DL Soc.ekon.analīze'!G8*(1+$E10)</f>
        <v>5000</v>
      </c>
      <c r="K10" s="310">
        <f>'6.DL Soc.ekon.analīze'!H8*(1+$E10)</f>
        <v>5000</v>
      </c>
      <c r="L10" s="310">
        <f>'6.DL Soc.ekon.analīze'!I8*(1+$E10)</f>
        <v>5000</v>
      </c>
      <c r="M10" s="310">
        <f>'6.DL Soc.ekon.analīze'!J8*(1+$E10)</f>
        <v>5000</v>
      </c>
      <c r="N10" s="310">
        <f>'6.DL Soc.ekon.analīze'!K8*(1+$E10)</f>
        <v>5000</v>
      </c>
      <c r="O10" s="310">
        <f>'6.DL Soc.ekon.analīze'!L8*(1+$E10)</f>
        <v>5000</v>
      </c>
      <c r="P10" s="310">
        <f>'6.DL Soc.ekon.analīze'!M8*(1+$E10)</f>
        <v>5000</v>
      </c>
      <c r="Q10" s="310">
        <f>'6.DL Soc.ekon.analīze'!N8*(1+$E10)</f>
        <v>5000</v>
      </c>
      <c r="R10" s="310">
        <f>'6.DL Soc.ekon.analīze'!O8*(1+$E10)</f>
        <v>5000</v>
      </c>
      <c r="S10" s="310">
        <f>'6.DL Soc.ekon.analīze'!P8*(1+$E10)</f>
        <v>5000</v>
      </c>
      <c r="T10" s="310">
        <f>'6.DL Soc.ekon.analīze'!Q8*(1+$E10)</f>
        <v>5000</v>
      </c>
      <c r="U10" s="310">
        <f>'6.DL Soc.ekon.analīze'!R8*(1+$E10)</f>
        <v>5000</v>
      </c>
      <c r="V10" s="310">
        <f>'6.DL Soc.ekon.analīze'!S8*(1+$E10)</f>
        <v>5000</v>
      </c>
      <c r="W10" s="310">
        <f>'6.DL Soc.ekon.analīze'!T8*(1+$E10)</f>
        <v>5000</v>
      </c>
      <c r="X10" s="310">
        <f>'6.DL Soc.ekon.analīze'!U8*(1+$E10)</f>
        <v>5000</v>
      </c>
      <c r="Y10" s="310">
        <f>'6.DL Soc.ekon.analīze'!V8*(1+$E10)</f>
        <v>5000</v>
      </c>
      <c r="Z10" s="310">
        <f>'6.DL Soc.ekon.analīze'!W8*(1+$E10)</f>
        <v>5000</v>
      </c>
      <c r="AA10" s="310">
        <f>'6.DL Soc.ekon.analīze'!X8*(1+$E10)</f>
        <v>5000</v>
      </c>
      <c r="AB10" s="310">
        <f>'6.DL Soc.ekon.analīze'!Y8*(1+$E10)</f>
        <v>5000</v>
      </c>
      <c r="AC10" s="310">
        <f>'6.DL Soc.ekon.analīze'!Z8*(1+$E10)</f>
        <v>5000</v>
      </c>
      <c r="AD10" s="310">
        <f>'6.DL Soc.ekon.analīze'!AA8*(1+$E10)</f>
        <v>5000</v>
      </c>
      <c r="AE10" s="310">
        <f>'6.DL Soc.ekon.analīze'!AB8*(1+$E10)</f>
        <v>5000</v>
      </c>
      <c r="AF10" s="311">
        <f t="shared" si="1"/>
        <v>135000</v>
      </c>
      <c r="AG10" s="514"/>
    </row>
    <row r="11" spans="1:33" s="521" customFormat="1" ht="12.75" x14ac:dyDescent="0.2">
      <c r="A11" s="209"/>
      <c r="B11" s="707" t="s">
        <v>287</v>
      </c>
      <c r="C11" s="929" t="str">
        <f>'6.DL Soc.ekon.analīze'!B9</f>
        <v>Ieguvums ...</v>
      </c>
      <c r="D11" s="983"/>
      <c r="E11" s="210">
        <v>0</v>
      </c>
      <c r="F11" s="181" t="s">
        <v>20</v>
      </c>
      <c r="G11" s="310">
        <f>'6.DL Soc.ekon.analīze'!D9*(1+$E11)</f>
        <v>0</v>
      </c>
      <c r="H11" s="310">
        <f>'6.DL Soc.ekon.analīze'!E9*(1+$E11)</f>
        <v>0</v>
      </c>
      <c r="I11" s="310">
        <f>'6.DL Soc.ekon.analīze'!F9*(1+$E11)</f>
        <v>0</v>
      </c>
      <c r="J11" s="310">
        <f>'6.DL Soc.ekon.analīze'!G9*(1+$E11)</f>
        <v>0</v>
      </c>
      <c r="K11" s="310">
        <f>'6.DL Soc.ekon.analīze'!H9*(1+$E11)</f>
        <v>0</v>
      </c>
      <c r="L11" s="310">
        <f>'6.DL Soc.ekon.analīze'!I9*(1+$E11)</f>
        <v>0</v>
      </c>
      <c r="M11" s="310">
        <f>'6.DL Soc.ekon.analīze'!J9*(1+$E11)</f>
        <v>0</v>
      </c>
      <c r="N11" s="310">
        <f>'6.DL Soc.ekon.analīze'!K9*(1+$E11)</f>
        <v>0</v>
      </c>
      <c r="O11" s="310">
        <f>'6.DL Soc.ekon.analīze'!L9*(1+$E11)</f>
        <v>0</v>
      </c>
      <c r="P11" s="310">
        <f>'6.DL Soc.ekon.analīze'!M9*(1+$E11)</f>
        <v>0</v>
      </c>
      <c r="Q11" s="310">
        <f>'6.DL Soc.ekon.analīze'!N9*(1+$E11)</f>
        <v>0</v>
      </c>
      <c r="R11" s="310">
        <f>'6.DL Soc.ekon.analīze'!O9*(1+$E11)</f>
        <v>0</v>
      </c>
      <c r="S11" s="310">
        <f>'6.DL Soc.ekon.analīze'!P9*(1+$E11)</f>
        <v>0</v>
      </c>
      <c r="T11" s="310">
        <f>'6.DL Soc.ekon.analīze'!Q9*(1+$E11)</f>
        <v>0</v>
      </c>
      <c r="U11" s="310">
        <f>'6.DL Soc.ekon.analīze'!R9*(1+$E11)</f>
        <v>0</v>
      </c>
      <c r="V11" s="310">
        <f>'6.DL Soc.ekon.analīze'!S9*(1+$E11)</f>
        <v>0</v>
      </c>
      <c r="W11" s="310">
        <f>'6.DL Soc.ekon.analīze'!T9*(1+$E11)</f>
        <v>0</v>
      </c>
      <c r="X11" s="310">
        <f>'6.DL Soc.ekon.analīze'!U9*(1+$E11)</f>
        <v>0</v>
      </c>
      <c r="Y11" s="310">
        <f>'6.DL Soc.ekon.analīze'!V9*(1+$E11)</f>
        <v>0</v>
      </c>
      <c r="Z11" s="310">
        <f>'6.DL Soc.ekon.analīze'!W9*(1+$E11)</f>
        <v>0</v>
      </c>
      <c r="AA11" s="310">
        <f>'6.DL Soc.ekon.analīze'!X9*(1+$E11)</f>
        <v>0</v>
      </c>
      <c r="AB11" s="310">
        <f>'6.DL Soc.ekon.analīze'!Y9*(1+$E11)</f>
        <v>0</v>
      </c>
      <c r="AC11" s="310">
        <f>'6.DL Soc.ekon.analīze'!Z9*(1+$E11)</f>
        <v>0</v>
      </c>
      <c r="AD11" s="310">
        <f>'6.DL Soc.ekon.analīze'!AA9*(1+$E11)</f>
        <v>0</v>
      </c>
      <c r="AE11" s="310">
        <f>'6.DL Soc.ekon.analīze'!AB9*(1+$E11)</f>
        <v>0</v>
      </c>
      <c r="AF11" s="311">
        <f t="shared" si="1"/>
        <v>0</v>
      </c>
      <c r="AG11" s="514"/>
    </row>
    <row r="12" spans="1:33" s="521" customFormat="1" ht="12.75" x14ac:dyDescent="0.2">
      <c r="A12" s="209"/>
      <c r="B12" s="707" t="s">
        <v>288</v>
      </c>
      <c r="C12" s="929" t="str">
        <f>'6.DL Soc.ekon.analīze'!B10</f>
        <v>Ieguvums ...</v>
      </c>
      <c r="D12" s="983"/>
      <c r="E12" s="210">
        <v>0</v>
      </c>
      <c r="F12" s="181" t="s">
        <v>20</v>
      </c>
      <c r="G12" s="310">
        <f>'6.DL Soc.ekon.analīze'!D10*(1+$E12)</f>
        <v>0</v>
      </c>
      <c r="H12" s="310">
        <f>'6.DL Soc.ekon.analīze'!E10*(1+$E12)</f>
        <v>0</v>
      </c>
      <c r="I12" s="310">
        <f>'6.DL Soc.ekon.analīze'!F10*(1+$E12)</f>
        <v>0</v>
      </c>
      <c r="J12" s="310">
        <f>'6.DL Soc.ekon.analīze'!G10*(1+$E12)</f>
        <v>0</v>
      </c>
      <c r="K12" s="310">
        <f>'6.DL Soc.ekon.analīze'!H10*(1+$E12)</f>
        <v>0</v>
      </c>
      <c r="L12" s="310">
        <f>'6.DL Soc.ekon.analīze'!I10*(1+$E12)</f>
        <v>0</v>
      </c>
      <c r="M12" s="310">
        <f>'6.DL Soc.ekon.analīze'!J10*(1+$E12)</f>
        <v>0</v>
      </c>
      <c r="N12" s="310">
        <f>'6.DL Soc.ekon.analīze'!K10*(1+$E12)</f>
        <v>0</v>
      </c>
      <c r="O12" s="310">
        <f>'6.DL Soc.ekon.analīze'!L10*(1+$E12)</f>
        <v>0</v>
      </c>
      <c r="P12" s="310">
        <f>'6.DL Soc.ekon.analīze'!M10*(1+$E12)</f>
        <v>0</v>
      </c>
      <c r="Q12" s="310">
        <f>'6.DL Soc.ekon.analīze'!N10*(1+$E12)</f>
        <v>0</v>
      </c>
      <c r="R12" s="310">
        <f>'6.DL Soc.ekon.analīze'!O10*(1+$E12)</f>
        <v>0</v>
      </c>
      <c r="S12" s="310">
        <f>'6.DL Soc.ekon.analīze'!P10*(1+$E12)</f>
        <v>0</v>
      </c>
      <c r="T12" s="310">
        <f>'6.DL Soc.ekon.analīze'!Q10*(1+$E12)</f>
        <v>0</v>
      </c>
      <c r="U12" s="310">
        <f>'6.DL Soc.ekon.analīze'!R10*(1+$E12)</f>
        <v>0</v>
      </c>
      <c r="V12" s="310">
        <f>'6.DL Soc.ekon.analīze'!S10*(1+$E12)</f>
        <v>0</v>
      </c>
      <c r="W12" s="310">
        <f>'6.DL Soc.ekon.analīze'!T10*(1+$E12)</f>
        <v>0</v>
      </c>
      <c r="X12" s="310">
        <f>'6.DL Soc.ekon.analīze'!U10*(1+$E12)</f>
        <v>0</v>
      </c>
      <c r="Y12" s="310">
        <f>'6.DL Soc.ekon.analīze'!V10*(1+$E12)</f>
        <v>0</v>
      </c>
      <c r="Z12" s="310">
        <f>'6.DL Soc.ekon.analīze'!W10*(1+$E12)</f>
        <v>0</v>
      </c>
      <c r="AA12" s="310">
        <f>'6.DL Soc.ekon.analīze'!X10*(1+$E12)</f>
        <v>0</v>
      </c>
      <c r="AB12" s="310">
        <f>'6.DL Soc.ekon.analīze'!Y10*(1+$E12)</f>
        <v>0</v>
      </c>
      <c r="AC12" s="310">
        <f>'6.DL Soc.ekon.analīze'!Z10*(1+$E12)</f>
        <v>0</v>
      </c>
      <c r="AD12" s="310">
        <f>'6.DL Soc.ekon.analīze'!AA10*(1+$E12)</f>
        <v>0</v>
      </c>
      <c r="AE12" s="310">
        <f>'6.DL Soc.ekon.analīze'!AB10*(1+$E12)</f>
        <v>0</v>
      </c>
      <c r="AF12" s="311">
        <f t="shared" si="1"/>
        <v>0</v>
      </c>
      <c r="AG12" s="514"/>
    </row>
    <row r="13" spans="1:33" s="521" customFormat="1" ht="12.75" x14ac:dyDescent="0.2">
      <c r="A13" s="209"/>
      <c r="B13" s="707" t="s">
        <v>289</v>
      </c>
      <c r="C13" s="929" t="str">
        <f>'6.DL Soc.ekon.analīze'!B11</f>
        <v>Ieguvums ...</v>
      </c>
      <c r="D13" s="983"/>
      <c r="E13" s="210">
        <v>0</v>
      </c>
      <c r="F13" s="181" t="s">
        <v>20</v>
      </c>
      <c r="G13" s="310">
        <f>'6.DL Soc.ekon.analīze'!D11*(1+$E13)</f>
        <v>0</v>
      </c>
      <c r="H13" s="310">
        <f>'6.DL Soc.ekon.analīze'!E11*(1+$E13)</f>
        <v>0</v>
      </c>
      <c r="I13" s="310">
        <f>'6.DL Soc.ekon.analīze'!F11*(1+$E13)</f>
        <v>0</v>
      </c>
      <c r="J13" s="310">
        <f>'6.DL Soc.ekon.analīze'!G11*(1+$E13)</f>
        <v>0</v>
      </c>
      <c r="K13" s="310">
        <f>'6.DL Soc.ekon.analīze'!H11*(1+$E13)</f>
        <v>0</v>
      </c>
      <c r="L13" s="310">
        <f>'6.DL Soc.ekon.analīze'!I11*(1+$E13)</f>
        <v>0</v>
      </c>
      <c r="M13" s="310">
        <f>'6.DL Soc.ekon.analīze'!J11*(1+$E13)</f>
        <v>0</v>
      </c>
      <c r="N13" s="310">
        <f>'6.DL Soc.ekon.analīze'!K11*(1+$E13)</f>
        <v>0</v>
      </c>
      <c r="O13" s="310">
        <f>'6.DL Soc.ekon.analīze'!L11*(1+$E13)</f>
        <v>0</v>
      </c>
      <c r="P13" s="310">
        <f>'6.DL Soc.ekon.analīze'!M11*(1+$E13)</f>
        <v>0</v>
      </c>
      <c r="Q13" s="310">
        <f>'6.DL Soc.ekon.analīze'!N11*(1+$E13)</f>
        <v>0</v>
      </c>
      <c r="R13" s="310">
        <f>'6.DL Soc.ekon.analīze'!O11*(1+$E13)</f>
        <v>0</v>
      </c>
      <c r="S13" s="310">
        <f>'6.DL Soc.ekon.analīze'!P11*(1+$E13)</f>
        <v>0</v>
      </c>
      <c r="T13" s="310">
        <f>'6.DL Soc.ekon.analīze'!Q11*(1+$E13)</f>
        <v>0</v>
      </c>
      <c r="U13" s="310">
        <f>'6.DL Soc.ekon.analīze'!R11*(1+$E13)</f>
        <v>0</v>
      </c>
      <c r="V13" s="310">
        <f>'6.DL Soc.ekon.analīze'!S11*(1+$E13)</f>
        <v>0</v>
      </c>
      <c r="W13" s="310">
        <f>'6.DL Soc.ekon.analīze'!T11*(1+$E13)</f>
        <v>0</v>
      </c>
      <c r="X13" s="310">
        <f>'6.DL Soc.ekon.analīze'!U11*(1+$E13)</f>
        <v>0</v>
      </c>
      <c r="Y13" s="310">
        <f>'6.DL Soc.ekon.analīze'!V11*(1+$E13)</f>
        <v>0</v>
      </c>
      <c r="Z13" s="310">
        <f>'6.DL Soc.ekon.analīze'!W11*(1+$E13)</f>
        <v>0</v>
      </c>
      <c r="AA13" s="310">
        <f>'6.DL Soc.ekon.analīze'!X11*(1+$E13)</f>
        <v>0</v>
      </c>
      <c r="AB13" s="310">
        <f>'6.DL Soc.ekon.analīze'!Y11*(1+$E13)</f>
        <v>0</v>
      </c>
      <c r="AC13" s="310">
        <f>'6.DL Soc.ekon.analīze'!Z11*(1+$E13)</f>
        <v>0</v>
      </c>
      <c r="AD13" s="310">
        <f>'6.DL Soc.ekon.analīze'!AA11*(1+$E13)</f>
        <v>0</v>
      </c>
      <c r="AE13" s="310">
        <f>'6.DL Soc.ekon.analīze'!AB11*(1+$E13)</f>
        <v>0</v>
      </c>
      <c r="AF13" s="311">
        <f t="shared" si="1"/>
        <v>0</v>
      </c>
      <c r="AG13" s="514"/>
    </row>
    <row r="14" spans="1:33" s="521" customFormat="1" ht="12.75" x14ac:dyDescent="0.2">
      <c r="A14" s="209"/>
      <c r="B14" s="707" t="s">
        <v>290</v>
      </c>
      <c r="C14" s="929" t="str">
        <f>'6.DL Soc.ekon.analīze'!B12</f>
        <v>Ieguvums ...</v>
      </c>
      <c r="D14" s="983"/>
      <c r="E14" s="210">
        <v>0</v>
      </c>
      <c r="F14" s="181" t="s">
        <v>20</v>
      </c>
      <c r="G14" s="310">
        <f>'6.DL Soc.ekon.analīze'!D12*(1+$E14)</f>
        <v>0</v>
      </c>
      <c r="H14" s="310">
        <f>'6.DL Soc.ekon.analīze'!E12*(1+$E14)</f>
        <v>0</v>
      </c>
      <c r="I14" s="310">
        <f>'6.DL Soc.ekon.analīze'!F12*(1+$E14)</f>
        <v>0</v>
      </c>
      <c r="J14" s="310">
        <f>'6.DL Soc.ekon.analīze'!G12*(1+$E14)</f>
        <v>0</v>
      </c>
      <c r="K14" s="310">
        <f>'6.DL Soc.ekon.analīze'!H12*(1+$E14)</f>
        <v>0</v>
      </c>
      <c r="L14" s="310">
        <f>'6.DL Soc.ekon.analīze'!I12*(1+$E14)</f>
        <v>0</v>
      </c>
      <c r="M14" s="310">
        <f>'6.DL Soc.ekon.analīze'!J12*(1+$E14)</f>
        <v>0</v>
      </c>
      <c r="N14" s="310">
        <f>'6.DL Soc.ekon.analīze'!K12*(1+$E14)</f>
        <v>0</v>
      </c>
      <c r="O14" s="310">
        <f>'6.DL Soc.ekon.analīze'!L12*(1+$E14)</f>
        <v>0</v>
      </c>
      <c r="P14" s="310">
        <f>'6.DL Soc.ekon.analīze'!M12*(1+$E14)</f>
        <v>0</v>
      </c>
      <c r="Q14" s="310">
        <f>'6.DL Soc.ekon.analīze'!N12*(1+$E14)</f>
        <v>0</v>
      </c>
      <c r="R14" s="310">
        <f>'6.DL Soc.ekon.analīze'!O12*(1+$E14)</f>
        <v>0</v>
      </c>
      <c r="S14" s="310">
        <f>'6.DL Soc.ekon.analīze'!P12*(1+$E14)</f>
        <v>0</v>
      </c>
      <c r="T14" s="310">
        <f>'6.DL Soc.ekon.analīze'!Q12*(1+$E14)</f>
        <v>0</v>
      </c>
      <c r="U14" s="310">
        <f>'6.DL Soc.ekon.analīze'!R12*(1+$E14)</f>
        <v>0</v>
      </c>
      <c r="V14" s="310">
        <f>'6.DL Soc.ekon.analīze'!S12*(1+$E14)</f>
        <v>0</v>
      </c>
      <c r="W14" s="310">
        <f>'6.DL Soc.ekon.analīze'!T12*(1+$E14)</f>
        <v>0</v>
      </c>
      <c r="X14" s="310">
        <f>'6.DL Soc.ekon.analīze'!U12*(1+$E14)</f>
        <v>0</v>
      </c>
      <c r="Y14" s="310">
        <f>'6.DL Soc.ekon.analīze'!V12*(1+$E14)</f>
        <v>0</v>
      </c>
      <c r="Z14" s="310">
        <f>'6.DL Soc.ekon.analīze'!W12*(1+$E14)</f>
        <v>0</v>
      </c>
      <c r="AA14" s="310">
        <f>'6.DL Soc.ekon.analīze'!X12*(1+$E14)</f>
        <v>0</v>
      </c>
      <c r="AB14" s="310">
        <f>'6.DL Soc.ekon.analīze'!Y12*(1+$E14)</f>
        <v>0</v>
      </c>
      <c r="AC14" s="310">
        <f>'6.DL Soc.ekon.analīze'!Z12*(1+$E14)</f>
        <v>0</v>
      </c>
      <c r="AD14" s="310">
        <f>'6.DL Soc.ekon.analīze'!AA12*(1+$E14)</f>
        <v>0</v>
      </c>
      <c r="AE14" s="310">
        <f>'6.DL Soc.ekon.analīze'!AB12*(1+$E14)</f>
        <v>0</v>
      </c>
      <c r="AF14" s="311">
        <f t="shared" si="1"/>
        <v>0</v>
      </c>
      <c r="AG14" s="514"/>
    </row>
    <row r="15" spans="1:33" s="521" customFormat="1" ht="12.75" x14ac:dyDescent="0.2">
      <c r="A15" s="209"/>
      <c r="B15" s="707" t="s">
        <v>291</v>
      </c>
      <c r="C15" s="929" t="str">
        <f>'6.DL Soc.ekon.analīze'!B13</f>
        <v>Ieguvums ...</v>
      </c>
      <c r="D15" s="983"/>
      <c r="E15" s="210">
        <v>0</v>
      </c>
      <c r="F15" s="181" t="s">
        <v>20</v>
      </c>
      <c r="G15" s="310">
        <f>'6.DL Soc.ekon.analīze'!D13*(1+$E15)</f>
        <v>0</v>
      </c>
      <c r="H15" s="310">
        <f>'6.DL Soc.ekon.analīze'!E13*(1+$E15)</f>
        <v>0</v>
      </c>
      <c r="I15" s="310">
        <f>'6.DL Soc.ekon.analīze'!F13*(1+$E15)</f>
        <v>0</v>
      </c>
      <c r="J15" s="310">
        <f>'6.DL Soc.ekon.analīze'!G13*(1+$E15)</f>
        <v>0</v>
      </c>
      <c r="K15" s="310">
        <f>'6.DL Soc.ekon.analīze'!H13*(1+$E15)</f>
        <v>0</v>
      </c>
      <c r="L15" s="310">
        <f>'6.DL Soc.ekon.analīze'!I13*(1+$E15)</f>
        <v>0</v>
      </c>
      <c r="M15" s="310">
        <f>'6.DL Soc.ekon.analīze'!J13*(1+$E15)</f>
        <v>0</v>
      </c>
      <c r="N15" s="310">
        <f>'6.DL Soc.ekon.analīze'!K13*(1+$E15)</f>
        <v>0</v>
      </c>
      <c r="O15" s="310">
        <f>'6.DL Soc.ekon.analīze'!L13*(1+$E15)</f>
        <v>0</v>
      </c>
      <c r="P15" s="310">
        <f>'6.DL Soc.ekon.analīze'!M13*(1+$E15)</f>
        <v>0</v>
      </c>
      <c r="Q15" s="310">
        <f>'6.DL Soc.ekon.analīze'!N13*(1+$E15)</f>
        <v>0</v>
      </c>
      <c r="R15" s="310">
        <f>'6.DL Soc.ekon.analīze'!O13*(1+$E15)</f>
        <v>0</v>
      </c>
      <c r="S15" s="310">
        <f>'6.DL Soc.ekon.analīze'!P13*(1+$E15)</f>
        <v>0</v>
      </c>
      <c r="T15" s="310">
        <f>'6.DL Soc.ekon.analīze'!Q13*(1+$E15)</f>
        <v>0</v>
      </c>
      <c r="U15" s="310">
        <f>'6.DL Soc.ekon.analīze'!R13*(1+$E15)</f>
        <v>0</v>
      </c>
      <c r="V15" s="310">
        <f>'6.DL Soc.ekon.analīze'!S13*(1+$E15)</f>
        <v>0</v>
      </c>
      <c r="W15" s="310">
        <f>'6.DL Soc.ekon.analīze'!T13*(1+$E15)</f>
        <v>0</v>
      </c>
      <c r="X15" s="310">
        <f>'6.DL Soc.ekon.analīze'!U13*(1+$E15)</f>
        <v>0</v>
      </c>
      <c r="Y15" s="310">
        <f>'6.DL Soc.ekon.analīze'!V13*(1+$E15)</f>
        <v>0</v>
      </c>
      <c r="Z15" s="310">
        <f>'6.DL Soc.ekon.analīze'!W13*(1+$E15)</f>
        <v>0</v>
      </c>
      <c r="AA15" s="310">
        <f>'6.DL Soc.ekon.analīze'!X13*(1+$E15)</f>
        <v>0</v>
      </c>
      <c r="AB15" s="310">
        <f>'6.DL Soc.ekon.analīze'!Y13*(1+$E15)</f>
        <v>0</v>
      </c>
      <c r="AC15" s="310">
        <f>'6.DL Soc.ekon.analīze'!Z13*(1+$E15)</f>
        <v>0</v>
      </c>
      <c r="AD15" s="310">
        <f>'6.DL Soc.ekon.analīze'!AA13*(1+$E15)</f>
        <v>0</v>
      </c>
      <c r="AE15" s="310">
        <f>'6.DL Soc.ekon.analīze'!AB13*(1+$E15)</f>
        <v>0</v>
      </c>
      <c r="AF15" s="311">
        <f t="shared" si="1"/>
        <v>0</v>
      </c>
      <c r="AG15" s="514"/>
    </row>
    <row r="16" spans="1:33" s="521" customFormat="1" ht="12.75" x14ac:dyDescent="0.2">
      <c r="A16" s="209"/>
      <c r="B16" s="707" t="s">
        <v>292</v>
      </c>
      <c r="C16" s="929" t="str">
        <f>'6.DL Soc.ekon.analīze'!B14</f>
        <v>Ieguvums ...</v>
      </c>
      <c r="D16" s="983"/>
      <c r="E16" s="210">
        <v>0</v>
      </c>
      <c r="F16" s="181" t="s">
        <v>20</v>
      </c>
      <c r="G16" s="310">
        <f>'6.DL Soc.ekon.analīze'!D14*(1+$E16)</f>
        <v>0</v>
      </c>
      <c r="H16" s="310">
        <f>'6.DL Soc.ekon.analīze'!E14*(1+$E16)</f>
        <v>0</v>
      </c>
      <c r="I16" s="310">
        <f>'6.DL Soc.ekon.analīze'!F14*(1+$E16)</f>
        <v>0</v>
      </c>
      <c r="J16" s="310">
        <f>'6.DL Soc.ekon.analīze'!G14*(1+$E16)</f>
        <v>0</v>
      </c>
      <c r="K16" s="310">
        <f>'6.DL Soc.ekon.analīze'!H14*(1+$E16)</f>
        <v>0</v>
      </c>
      <c r="L16" s="310">
        <f>'6.DL Soc.ekon.analīze'!I14*(1+$E16)</f>
        <v>0</v>
      </c>
      <c r="M16" s="310">
        <f>'6.DL Soc.ekon.analīze'!J14*(1+$E16)</f>
        <v>0</v>
      </c>
      <c r="N16" s="310">
        <f>'6.DL Soc.ekon.analīze'!K14*(1+$E16)</f>
        <v>0</v>
      </c>
      <c r="O16" s="310">
        <f>'6.DL Soc.ekon.analīze'!L14*(1+$E16)</f>
        <v>0</v>
      </c>
      <c r="P16" s="310">
        <f>'6.DL Soc.ekon.analīze'!M14*(1+$E16)</f>
        <v>0</v>
      </c>
      <c r="Q16" s="310">
        <f>'6.DL Soc.ekon.analīze'!N14*(1+$E16)</f>
        <v>0</v>
      </c>
      <c r="R16" s="310">
        <f>'6.DL Soc.ekon.analīze'!O14*(1+$E16)</f>
        <v>0</v>
      </c>
      <c r="S16" s="310">
        <f>'6.DL Soc.ekon.analīze'!P14*(1+$E16)</f>
        <v>0</v>
      </c>
      <c r="T16" s="310">
        <f>'6.DL Soc.ekon.analīze'!Q14*(1+$E16)</f>
        <v>0</v>
      </c>
      <c r="U16" s="310">
        <f>'6.DL Soc.ekon.analīze'!R14*(1+$E16)</f>
        <v>0</v>
      </c>
      <c r="V16" s="310">
        <f>'6.DL Soc.ekon.analīze'!S14*(1+$E16)</f>
        <v>0</v>
      </c>
      <c r="W16" s="310">
        <f>'6.DL Soc.ekon.analīze'!T14*(1+$E16)</f>
        <v>0</v>
      </c>
      <c r="X16" s="310">
        <f>'6.DL Soc.ekon.analīze'!U14*(1+$E16)</f>
        <v>0</v>
      </c>
      <c r="Y16" s="310">
        <f>'6.DL Soc.ekon.analīze'!V14*(1+$E16)</f>
        <v>0</v>
      </c>
      <c r="Z16" s="310">
        <f>'6.DL Soc.ekon.analīze'!W14*(1+$E16)</f>
        <v>0</v>
      </c>
      <c r="AA16" s="310">
        <f>'6.DL Soc.ekon.analīze'!X14*(1+$E16)</f>
        <v>0</v>
      </c>
      <c r="AB16" s="310">
        <f>'6.DL Soc.ekon.analīze'!Y14*(1+$E16)</f>
        <v>0</v>
      </c>
      <c r="AC16" s="310">
        <f>'6.DL Soc.ekon.analīze'!Z14*(1+$E16)</f>
        <v>0</v>
      </c>
      <c r="AD16" s="310">
        <f>'6.DL Soc.ekon.analīze'!AA14*(1+$E16)</f>
        <v>0</v>
      </c>
      <c r="AE16" s="310">
        <f>'6.DL Soc.ekon.analīze'!AB14*(1+$E16)</f>
        <v>0</v>
      </c>
      <c r="AF16" s="311">
        <f t="shared" si="1"/>
        <v>0</v>
      </c>
      <c r="AG16" s="514"/>
    </row>
    <row r="17" spans="1:33" s="521" customFormat="1" ht="12.75" x14ac:dyDescent="0.2">
      <c r="A17" s="209"/>
      <c r="B17" s="211" t="s">
        <v>293</v>
      </c>
      <c r="C17" s="991" t="str">
        <f>'6.DL Soc.ekon.analīze'!B15</f>
        <v>Ieguvums ...</v>
      </c>
      <c r="D17" s="983"/>
      <c r="E17" s="210">
        <v>0</v>
      </c>
      <c r="F17" s="181" t="s">
        <v>20</v>
      </c>
      <c r="G17" s="310">
        <f>'6.DL Soc.ekon.analīze'!D15*(1+$E17)</f>
        <v>0</v>
      </c>
      <c r="H17" s="310">
        <f>'6.DL Soc.ekon.analīze'!E15*(1+$E17)</f>
        <v>0</v>
      </c>
      <c r="I17" s="310">
        <f>'6.DL Soc.ekon.analīze'!F15*(1+$E17)</f>
        <v>0</v>
      </c>
      <c r="J17" s="310">
        <f>'6.DL Soc.ekon.analīze'!G15*(1+$E17)</f>
        <v>0</v>
      </c>
      <c r="K17" s="310">
        <f>'6.DL Soc.ekon.analīze'!H15*(1+$E17)</f>
        <v>0</v>
      </c>
      <c r="L17" s="310">
        <f>'6.DL Soc.ekon.analīze'!I15*(1+$E17)</f>
        <v>0</v>
      </c>
      <c r="M17" s="310">
        <f>'6.DL Soc.ekon.analīze'!J15*(1+$E17)</f>
        <v>0</v>
      </c>
      <c r="N17" s="310">
        <f>'6.DL Soc.ekon.analīze'!K15*(1+$E17)</f>
        <v>0</v>
      </c>
      <c r="O17" s="310">
        <f>'6.DL Soc.ekon.analīze'!L15*(1+$E17)</f>
        <v>0</v>
      </c>
      <c r="P17" s="310">
        <f>'6.DL Soc.ekon.analīze'!M15*(1+$E17)</f>
        <v>0</v>
      </c>
      <c r="Q17" s="310">
        <f>'6.DL Soc.ekon.analīze'!N15*(1+$E17)</f>
        <v>0</v>
      </c>
      <c r="R17" s="310">
        <f>'6.DL Soc.ekon.analīze'!O15*(1+$E17)</f>
        <v>0</v>
      </c>
      <c r="S17" s="310">
        <f>'6.DL Soc.ekon.analīze'!P15*(1+$E17)</f>
        <v>0</v>
      </c>
      <c r="T17" s="310">
        <f>'6.DL Soc.ekon.analīze'!Q15*(1+$E17)</f>
        <v>0</v>
      </c>
      <c r="U17" s="310">
        <f>'6.DL Soc.ekon.analīze'!R15*(1+$E17)</f>
        <v>0</v>
      </c>
      <c r="V17" s="310">
        <f>'6.DL Soc.ekon.analīze'!S15*(1+$E17)</f>
        <v>0</v>
      </c>
      <c r="W17" s="310">
        <f>'6.DL Soc.ekon.analīze'!T15*(1+$E17)</f>
        <v>0</v>
      </c>
      <c r="X17" s="310">
        <f>'6.DL Soc.ekon.analīze'!U15*(1+$E17)</f>
        <v>0</v>
      </c>
      <c r="Y17" s="310">
        <f>'6.DL Soc.ekon.analīze'!V15*(1+$E17)</f>
        <v>0</v>
      </c>
      <c r="Z17" s="310">
        <f>'6.DL Soc.ekon.analīze'!W15*(1+$E17)</f>
        <v>0</v>
      </c>
      <c r="AA17" s="310">
        <f>'6.DL Soc.ekon.analīze'!X15*(1+$E17)</f>
        <v>0</v>
      </c>
      <c r="AB17" s="310">
        <f>'6.DL Soc.ekon.analīze'!Y15*(1+$E17)</f>
        <v>0</v>
      </c>
      <c r="AC17" s="310">
        <f>'6.DL Soc.ekon.analīze'!Z15*(1+$E17)</f>
        <v>0</v>
      </c>
      <c r="AD17" s="310">
        <f>'6.DL Soc.ekon.analīze'!AA15*(1+$E17)</f>
        <v>0</v>
      </c>
      <c r="AE17" s="310">
        <f>'6.DL Soc.ekon.analīze'!AB15*(1+$E17)</f>
        <v>0</v>
      </c>
      <c r="AF17" s="311">
        <f t="shared" si="1"/>
        <v>0</v>
      </c>
      <c r="AG17" s="514"/>
    </row>
    <row r="18" spans="1:33" s="514" customFormat="1" ht="12.75" x14ac:dyDescent="0.2">
      <c r="A18" s="212"/>
      <c r="B18" s="711" t="s">
        <v>28</v>
      </c>
      <c r="C18" s="711" t="s">
        <v>78</v>
      </c>
      <c r="D18" s="160"/>
      <c r="E18" s="219"/>
      <c r="F18" s="181" t="s">
        <v>20</v>
      </c>
      <c r="G18" s="312">
        <f>SUM(G19:G28)</f>
        <v>2000</v>
      </c>
      <c r="H18" s="312">
        <f t="shared" ref="H18:AE18" si="2">SUM(H19:H28)</f>
        <v>3000</v>
      </c>
      <c r="I18" s="312">
        <f t="shared" si="2"/>
        <v>5020</v>
      </c>
      <c r="J18" s="312">
        <f t="shared" si="2"/>
        <v>1018</v>
      </c>
      <c r="K18" s="312">
        <f t="shared" si="2"/>
        <v>1016</v>
      </c>
      <c r="L18" s="312">
        <f t="shared" si="2"/>
        <v>1014</v>
      </c>
      <c r="M18" s="312">
        <f t="shared" si="2"/>
        <v>1012</v>
      </c>
      <c r="N18" s="312">
        <f t="shared" si="2"/>
        <v>1010</v>
      </c>
      <c r="O18" s="312">
        <f t="shared" si="2"/>
        <v>1008</v>
      </c>
      <c r="P18" s="312">
        <f t="shared" si="2"/>
        <v>1006</v>
      </c>
      <c r="Q18" s="312">
        <f t="shared" si="2"/>
        <v>1004</v>
      </c>
      <c r="R18" s="312">
        <f t="shared" si="2"/>
        <v>1002</v>
      </c>
      <c r="S18" s="312">
        <f t="shared" si="2"/>
        <v>1000</v>
      </c>
      <c r="T18" s="312">
        <f t="shared" si="2"/>
        <v>1000</v>
      </c>
      <c r="U18" s="312">
        <f t="shared" si="2"/>
        <v>1000</v>
      </c>
      <c r="V18" s="312">
        <f t="shared" si="2"/>
        <v>1000</v>
      </c>
      <c r="W18" s="312">
        <f t="shared" si="2"/>
        <v>1000</v>
      </c>
      <c r="X18" s="312">
        <f t="shared" si="2"/>
        <v>1000</v>
      </c>
      <c r="Y18" s="312">
        <f t="shared" si="2"/>
        <v>1000</v>
      </c>
      <c r="Z18" s="312">
        <f t="shared" si="2"/>
        <v>1000</v>
      </c>
      <c r="AA18" s="312">
        <f t="shared" si="2"/>
        <v>1000</v>
      </c>
      <c r="AB18" s="312">
        <f t="shared" si="2"/>
        <v>1000</v>
      </c>
      <c r="AC18" s="312">
        <f t="shared" si="2"/>
        <v>1000</v>
      </c>
      <c r="AD18" s="312">
        <f t="shared" si="2"/>
        <v>1000</v>
      </c>
      <c r="AE18" s="312">
        <f t="shared" si="2"/>
        <v>1000</v>
      </c>
      <c r="AF18" s="311">
        <f t="shared" si="1"/>
        <v>32110</v>
      </c>
    </row>
    <row r="19" spans="1:33" s="521" customFormat="1" ht="12.75" customHeight="1" x14ac:dyDescent="0.2">
      <c r="A19" s="209"/>
      <c r="B19" s="707" t="s">
        <v>42</v>
      </c>
      <c r="C19" s="986" t="str">
        <f>'3.DL Naudas plūsma ar projektu'!B15</f>
        <v>no biogāzes tirdzniecības</v>
      </c>
      <c r="D19" s="987"/>
      <c r="E19" s="210">
        <v>0</v>
      </c>
      <c r="F19" s="181" t="s">
        <v>20</v>
      </c>
      <c r="G19" s="310">
        <f>('3.DL Naudas plūsma ar projektu'!E15-'2.DL Naudas plūsma bez projekta'!E15)*(1+$E19)</f>
        <v>-5000</v>
      </c>
      <c r="H19" s="310">
        <f>('3.DL Naudas plūsma ar projektu'!F15-'2.DL Naudas plūsma bez projekta'!F15)*(1+$E19)</f>
        <v>0</v>
      </c>
      <c r="I19" s="310">
        <f>('3.DL Naudas plūsma ar projektu'!G15-'2.DL Naudas plūsma bez projekta'!G15)*(1+$E19)</f>
        <v>0</v>
      </c>
      <c r="J19" s="310">
        <f>('3.DL Naudas plūsma ar projektu'!H15-'2.DL Naudas plūsma bez projekta'!H15)*(1+$E19)</f>
        <v>0</v>
      </c>
      <c r="K19" s="310">
        <f>('3.DL Naudas plūsma ar projektu'!I15-'2.DL Naudas plūsma bez projekta'!I15)*(1+$E19)</f>
        <v>0</v>
      </c>
      <c r="L19" s="310">
        <f>('3.DL Naudas plūsma ar projektu'!J15-'2.DL Naudas plūsma bez projekta'!J15)*(1+$E19)</f>
        <v>0</v>
      </c>
      <c r="M19" s="310">
        <f>('3.DL Naudas plūsma ar projektu'!K15-'2.DL Naudas plūsma bez projekta'!K15)*(1+$E19)</f>
        <v>0</v>
      </c>
      <c r="N19" s="310">
        <f>('3.DL Naudas plūsma ar projektu'!L15-'2.DL Naudas plūsma bez projekta'!L15)*(1+$E19)</f>
        <v>0</v>
      </c>
      <c r="O19" s="310">
        <f>('3.DL Naudas plūsma ar projektu'!M15-'2.DL Naudas plūsma bez projekta'!M15)*(1+$E19)</f>
        <v>0</v>
      </c>
      <c r="P19" s="310">
        <f>('3.DL Naudas plūsma ar projektu'!N15-'2.DL Naudas plūsma bez projekta'!N15)*(1+$E19)</f>
        <v>0</v>
      </c>
      <c r="Q19" s="310">
        <f>('3.DL Naudas plūsma ar projektu'!O15-'2.DL Naudas plūsma bez projekta'!O15)*(1+$E19)</f>
        <v>0</v>
      </c>
      <c r="R19" s="310">
        <f>('3.DL Naudas plūsma ar projektu'!P15-'2.DL Naudas plūsma bez projekta'!P15)*(1+$E19)</f>
        <v>0</v>
      </c>
      <c r="S19" s="310">
        <f>('3.DL Naudas plūsma ar projektu'!Q15-'2.DL Naudas plūsma bez projekta'!Q15)*(1+$E19)</f>
        <v>0</v>
      </c>
      <c r="T19" s="310">
        <f>('3.DL Naudas plūsma ar projektu'!R15-'2.DL Naudas plūsma bez projekta'!R15)*(1+$E19)</f>
        <v>0</v>
      </c>
      <c r="U19" s="310">
        <f>('3.DL Naudas plūsma ar projektu'!S15-'2.DL Naudas plūsma bez projekta'!S15)*(1+$E19)</f>
        <v>0</v>
      </c>
      <c r="V19" s="310">
        <f>('3.DL Naudas plūsma ar projektu'!T15-'2.DL Naudas plūsma bez projekta'!T15)*(1+$E19)</f>
        <v>0</v>
      </c>
      <c r="W19" s="310">
        <f>('3.DL Naudas plūsma ar projektu'!U15-'2.DL Naudas plūsma bez projekta'!U15)*(1+$E19)</f>
        <v>0</v>
      </c>
      <c r="X19" s="310">
        <f>('3.DL Naudas plūsma ar projektu'!V15-'2.DL Naudas plūsma bez projekta'!V15)*(1+$E19)</f>
        <v>0</v>
      </c>
      <c r="Y19" s="310">
        <f>('3.DL Naudas plūsma ar projektu'!W15-'2.DL Naudas plūsma bez projekta'!W15)*(1+$E19)</f>
        <v>0</v>
      </c>
      <c r="Z19" s="310">
        <f>('3.DL Naudas plūsma ar projektu'!X15-'2.DL Naudas plūsma bez projekta'!X15)*(1+$E19)</f>
        <v>0</v>
      </c>
      <c r="AA19" s="310">
        <f>('3.DL Naudas plūsma ar projektu'!Y15-'2.DL Naudas plūsma bez projekta'!Y15)*(1+$E19)</f>
        <v>0</v>
      </c>
      <c r="AB19" s="310">
        <f>('3.DL Naudas plūsma ar projektu'!Z15-'2.DL Naudas plūsma bez projekta'!Z15)*(1+$E19)</f>
        <v>0</v>
      </c>
      <c r="AC19" s="310">
        <f>('3.DL Naudas plūsma ar projektu'!AA15-'2.DL Naudas plūsma bez projekta'!AA15)*(1+$E19)</f>
        <v>0</v>
      </c>
      <c r="AD19" s="310">
        <f>('3.DL Naudas plūsma ar projektu'!AB15-'2.DL Naudas plūsma bez projekta'!AB15)*(1+$E19)</f>
        <v>0</v>
      </c>
      <c r="AE19" s="310">
        <f>('3.DL Naudas plūsma ar projektu'!AC15-'2.DL Naudas plūsma bez projekta'!AC15)*(1+$E19)</f>
        <v>0</v>
      </c>
      <c r="AF19" s="311">
        <f t="shared" si="1"/>
        <v>-5000</v>
      </c>
      <c r="AG19" s="514"/>
    </row>
    <row r="20" spans="1:33" s="521" customFormat="1" ht="11.25" customHeight="1" x14ac:dyDescent="0.2">
      <c r="A20" s="209"/>
      <c r="B20" s="707" t="s">
        <v>43</v>
      </c>
      <c r="C20" s="986" t="str">
        <f>'3.DL Naudas plūsma ar projektu'!B16</f>
        <v>no elektroenerģijas tirdzniecības</v>
      </c>
      <c r="D20" s="987"/>
      <c r="E20" s="210">
        <v>0</v>
      </c>
      <c r="F20" s="181" t="s">
        <v>20</v>
      </c>
      <c r="G20" s="310">
        <f>('3.DL Naudas plūsma ar projektu'!E16-'2.DL Naudas plūsma bez projekta'!E16)*(1+$E20)</f>
        <v>0</v>
      </c>
      <c r="H20" s="310">
        <f>('3.DL Naudas plūsma ar projektu'!F16-'2.DL Naudas plūsma bez projekta'!F16)*(1+$E20)</f>
        <v>0</v>
      </c>
      <c r="I20" s="310">
        <f>('3.DL Naudas plūsma ar projektu'!G16-'2.DL Naudas plūsma bez projekta'!G16)*(1+$E20)</f>
        <v>0</v>
      </c>
      <c r="J20" s="310">
        <f>('3.DL Naudas plūsma ar projektu'!H16-'2.DL Naudas plūsma bez projekta'!H16)*(1+$E20)</f>
        <v>0</v>
      </c>
      <c r="K20" s="310">
        <f>('3.DL Naudas plūsma ar projektu'!I16-'2.DL Naudas plūsma bez projekta'!I16)*(1+$E20)</f>
        <v>0</v>
      </c>
      <c r="L20" s="310">
        <f>('3.DL Naudas plūsma ar projektu'!J16-'2.DL Naudas plūsma bez projekta'!J16)*(1+$E20)</f>
        <v>0</v>
      </c>
      <c r="M20" s="310">
        <f>('3.DL Naudas plūsma ar projektu'!K16-'2.DL Naudas plūsma bez projekta'!K16)*(1+$E20)</f>
        <v>0</v>
      </c>
      <c r="N20" s="310">
        <f>('3.DL Naudas plūsma ar projektu'!L16-'2.DL Naudas plūsma bez projekta'!L16)*(1+$E20)</f>
        <v>0</v>
      </c>
      <c r="O20" s="310">
        <f>('3.DL Naudas plūsma ar projektu'!M16-'2.DL Naudas plūsma bez projekta'!M16)*(1+$E20)</f>
        <v>0</v>
      </c>
      <c r="P20" s="310">
        <f>('3.DL Naudas plūsma ar projektu'!N16-'2.DL Naudas plūsma bez projekta'!N16)*(1+$E20)</f>
        <v>0</v>
      </c>
      <c r="Q20" s="310">
        <f>('3.DL Naudas plūsma ar projektu'!O16-'2.DL Naudas plūsma bez projekta'!O16)*(1+$E20)</f>
        <v>0</v>
      </c>
      <c r="R20" s="310">
        <f>('3.DL Naudas plūsma ar projektu'!P16-'2.DL Naudas plūsma bez projekta'!P16)*(1+$E20)</f>
        <v>0</v>
      </c>
      <c r="S20" s="310">
        <f>('3.DL Naudas plūsma ar projektu'!Q16-'2.DL Naudas plūsma bez projekta'!Q16)*(1+$E20)</f>
        <v>0</v>
      </c>
      <c r="T20" s="310">
        <f>('3.DL Naudas plūsma ar projektu'!R16-'2.DL Naudas plūsma bez projekta'!R16)*(1+$E20)</f>
        <v>0</v>
      </c>
      <c r="U20" s="310">
        <f>('3.DL Naudas plūsma ar projektu'!S16-'2.DL Naudas plūsma bez projekta'!S16)*(1+$E20)</f>
        <v>0</v>
      </c>
      <c r="V20" s="310">
        <f>('3.DL Naudas plūsma ar projektu'!T16-'2.DL Naudas plūsma bez projekta'!T16)*(1+$E20)</f>
        <v>0</v>
      </c>
      <c r="W20" s="310">
        <f>('3.DL Naudas plūsma ar projektu'!U16-'2.DL Naudas plūsma bez projekta'!U16)*(1+$E20)</f>
        <v>0</v>
      </c>
      <c r="X20" s="310">
        <f>('3.DL Naudas plūsma ar projektu'!V16-'2.DL Naudas plūsma bez projekta'!V16)*(1+$E20)</f>
        <v>0</v>
      </c>
      <c r="Y20" s="310">
        <f>('3.DL Naudas plūsma ar projektu'!W16-'2.DL Naudas plūsma bez projekta'!W16)*(1+$E20)</f>
        <v>0</v>
      </c>
      <c r="Z20" s="310">
        <f>('3.DL Naudas plūsma ar projektu'!X16-'2.DL Naudas plūsma bez projekta'!X16)*(1+$E20)</f>
        <v>0</v>
      </c>
      <c r="AA20" s="310">
        <f>('3.DL Naudas plūsma ar projektu'!Y16-'2.DL Naudas plūsma bez projekta'!Y16)*(1+$E20)</f>
        <v>0</v>
      </c>
      <c r="AB20" s="310">
        <f>('3.DL Naudas plūsma ar projektu'!Z16-'2.DL Naudas plūsma bez projekta'!Z16)*(1+$E20)</f>
        <v>0</v>
      </c>
      <c r="AC20" s="310">
        <f>('3.DL Naudas plūsma ar projektu'!AA16-'2.DL Naudas plūsma bez projekta'!AA16)*(1+$E20)</f>
        <v>0</v>
      </c>
      <c r="AD20" s="310">
        <f>('3.DL Naudas plūsma ar projektu'!AB16-'2.DL Naudas plūsma bez projekta'!AB16)*(1+$E20)</f>
        <v>0</v>
      </c>
      <c r="AE20" s="310">
        <f>('3.DL Naudas plūsma ar projektu'!AC16-'2.DL Naudas plūsma bez projekta'!AC16)*(1+$E20)</f>
        <v>0</v>
      </c>
      <c r="AF20" s="311"/>
      <c r="AG20" s="514"/>
    </row>
    <row r="21" spans="1:33" s="521" customFormat="1" ht="14.25" customHeight="1" x14ac:dyDescent="0.2">
      <c r="A21" s="209"/>
      <c r="B21" s="707" t="s">
        <v>44</v>
      </c>
      <c r="C21" s="986" t="str">
        <f>'3.DL Naudas plūsma ar projektu'!B17</f>
        <v xml:space="preserve">no siltumenerģijas tirdzniecības </v>
      </c>
      <c r="D21" s="987"/>
      <c r="E21" s="210">
        <v>0</v>
      </c>
      <c r="F21" s="181" t="s">
        <v>20</v>
      </c>
      <c r="G21" s="310">
        <f>('3.DL Naudas plūsma ar projektu'!E17-'2.DL Naudas plūsma bez projekta'!E17)*(1+$E21)</f>
        <v>0</v>
      </c>
      <c r="H21" s="310">
        <f>('3.DL Naudas plūsma ar projektu'!F17-'2.DL Naudas plūsma bez projekta'!F17)*(1+$E21)</f>
        <v>0</v>
      </c>
      <c r="I21" s="310">
        <f>('3.DL Naudas plūsma ar projektu'!G17-'2.DL Naudas plūsma bez projekta'!G17)*(1+$E21)</f>
        <v>0</v>
      </c>
      <c r="J21" s="310">
        <f>('3.DL Naudas plūsma ar projektu'!H17-'2.DL Naudas plūsma bez projekta'!H17)*(1+$E21)</f>
        <v>0</v>
      </c>
      <c r="K21" s="310">
        <f>('3.DL Naudas plūsma ar projektu'!I17-'2.DL Naudas plūsma bez projekta'!I17)*(1+$E21)</f>
        <v>0</v>
      </c>
      <c r="L21" s="310">
        <f>('3.DL Naudas plūsma ar projektu'!J17-'2.DL Naudas plūsma bez projekta'!J17)*(1+$E21)</f>
        <v>0</v>
      </c>
      <c r="M21" s="310">
        <f>('3.DL Naudas plūsma ar projektu'!K17-'2.DL Naudas plūsma bez projekta'!K17)*(1+$E21)</f>
        <v>0</v>
      </c>
      <c r="N21" s="310">
        <f>('3.DL Naudas plūsma ar projektu'!L17-'2.DL Naudas plūsma bez projekta'!L17)*(1+$E21)</f>
        <v>0</v>
      </c>
      <c r="O21" s="310">
        <f>('3.DL Naudas plūsma ar projektu'!M17-'2.DL Naudas plūsma bez projekta'!M17)*(1+$E21)</f>
        <v>0</v>
      </c>
      <c r="P21" s="310">
        <f>('3.DL Naudas plūsma ar projektu'!N17-'2.DL Naudas plūsma bez projekta'!N17)*(1+$E21)</f>
        <v>0</v>
      </c>
      <c r="Q21" s="310">
        <f>('3.DL Naudas plūsma ar projektu'!O17-'2.DL Naudas plūsma bez projekta'!O17)*(1+$E21)</f>
        <v>0</v>
      </c>
      <c r="R21" s="310">
        <f>('3.DL Naudas plūsma ar projektu'!P17-'2.DL Naudas plūsma bez projekta'!P17)*(1+$E21)</f>
        <v>0</v>
      </c>
      <c r="S21" s="310">
        <f>('3.DL Naudas plūsma ar projektu'!Q17-'2.DL Naudas plūsma bez projekta'!Q17)*(1+$E21)</f>
        <v>0</v>
      </c>
      <c r="T21" s="310">
        <f>('3.DL Naudas plūsma ar projektu'!R17-'2.DL Naudas plūsma bez projekta'!R17)*(1+$E21)</f>
        <v>0</v>
      </c>
      <c r="U21" s="310">
        <f>('3.DL Naudas plūsma ar projektu'!S17-'2.DL Naudas plūsma bez projekta'!S17)*(1+$E21)</f>
        <v>0</v>
      </c>
      <c r="V21" s="310">
        <f>('3.DL Naudas plūsma ar projektu'!T17-'2.DL Naudas plūsma bez projekta'!T17)*(1+$E21)</f>
        <v>0</v>
      </c>
      <c r="W21" s="310">
        <f>('3.DL Naudas plūsma ar projektu'!U17-'2.DL Naudas plūsma bez projekta'!U17)*(1+$E21)</f>
        <v>0</v>
      </c>
      <c r="X21" s="310">
        <f>('3.DL Naudas plūsma ar projektu'!V17-'2.DL Naudas plūsma bez projekta'!V17)*(1+$E21)</f>
        <v>0</v>
      </c>
      <c r="Y21" s="310">
        <f>('3.DL Naudas plūsma ar projektu'!W17-'2.DL Naudas plūsma bez projekta'!W17)*(1+$E21)</f>
        <v>0</v>
      </c>
      <c r="Z21" s="310">
        <f>('3.DL Naudas plūsma ar projektu'!X17-'2.DL Naudas plūsma bez projekta'!X17)*(1+$E21)</f>
        <v>0</v>
      </c>
      <c r="AA21" s="310">
        <f>('3.DL Naudas plūsma ar projektu'!Y17-'2.DL Naudas plūsma bez projekta'!Y17)*(1+$E21)</f>
        <v>0</v>
      </c>
      <c r="AB21" s="310">
        <f>('3.DL Naudas plūsma ar projektu'!Z17-'2.DL Naudas plūsma bez projekta'!Z17)*(1+$E21)</f>
        <v>0</v>
      </c>
      <c r="AC21" s="310">
        <f>('3.DL Naudas plūsma ar projektu'!AA17-'2.DL Naudas plūsma bez projekta'!AA17)*(1+$E21)</f>
        <v>0</v>
      </c>
      <c r="AD21" s="310">
        <f>('3.DL Naudas plūsma ar projektu'!AB17-'2.DL Naudas plūsma bez projekta'!AB17)*(1+$E21)</f>
        <v>0</v>
      </c>
      <c r="AE21" s="310">
        <f>('3.DL Naudas plūsma ar projektu'!AC17-'2.DL Naudas plūsma bez projekta'!AC17)*(1+$E21)</f>
        <v>0</v>
      </c>
      <c r="AF21" s="311"/>
      <c r="AG21" s="514"/>
    </row>
    <row r="22" spans="1:33" s="521" customFormat="1" ht="24.75" customHeight="1" x14ac:dyDescent="0.2">
      <c r="A22" s="209"/>
      <c r="B22" s="707" t="s">
        <v>45</v>
      </c>
      <c r="C22" s="986" t="str">
        <f>'3.DL Naudas plūsma ar projektu'!B18</f>
        <v>no zemes, ēku un tehnoloģisko iekārtu izmantošanas</v>
      </c>
      <c r="D22" s="987"/>
      <c r="E22" s="210">
        <v>0</v>
      </c>
      <c r="F22" s="181" t="s">
        <v>20</v>
      </c>
      <c r="G22" s="310">
        <f>('3.DL Naudas plūsma ar projektu'!E18-'2.DL Naudas plūsma bez projekta'!E18)*(1+$E22)</f>
        <v>1000</v>
      </c>
      <c r="H22" s="310">
        <f>('3.DL Naudas plūsma ar projektu'!F18-'2.DL Naudas plūsma bez projekta'!F18)*(1+$E22)</f>
        <v>1000</v>
      </c>
      <c r="I22" s="310">
        <f>('3.DL Naudas plūsma ar projektu'!G18-'2.DL Naudas plūsma bez projekta'!G18)*(1+$E22)</f>
        <v>1000</v>
      </c>
      <c r="J22" s="310">
        <f>('3.DL Naudas plūsma ar projektu'!H18-'2.DL Naudas plūsma bez projekta'!H18)*(1+$E22)</f>
        <v>1000</v>
      </c>
      <c r="K22" s="310">
        <f>('3.DL Naudas plūsma ar projektu'!I18-'2.DL Naudas plūsma bez projekta'!I18)*(1+$E22)</f>
        <v>1000</v>
      </c>
      <c r="L22" s="310">
        <f>('3.DL Naudas plūsma ar projektu'!J18-'2.DL Naudas plūsma bez projekta'!J18)*(1+$E22)</f>
        <v>1000</v>
      </c>
      <c r="M22" s="310">
        <f>('3.DL Naudas plūsma ar projektu'!K18-'2.DL Naudas plūsma bez projekta'!K18)*(1+$E22)</f>
        <v>1000</v>
      </c>
      <c r="N22" s="310">
        <f>('3.DL Naudas plūsma ar projektu'!L18-'2.DL Naudas plūsma bez projekta'!L18)*(1+$E22)</f>
        <v>1000</v>
      </c>
      <c r="O22" s="310">
        <f>('3.DL Naudas plūsma ar projektu'!M18-'2.DL Naudas plūsma bez projekta'!M18)*(1+$E22)</f>
        <v>1000</v>
      </c>
      <c r="P22" s="310">
        <f>('3.DL Naudas plūsma ar projektu'!N18-'2.DL Naudas plūsma bez projekta'!N18)*(1+$E22)</f>
        <v>1000</v>
      </c>
      <c r="Q22" s="310">
        <f>('3.DL Naudas plūsma ar projektu'!O18-'2.DL Naudas plūsma bez projekta'!O18)*(1+$E22)</f>
        <v>1000</v>
      </c>
      <c r="R22" s="310">
        <f>('3.DL Naudas plūsma ar projektu'!P18-'2.DL Naudas plūsma bez projekta'!P18)*(1+$E22)</f>
        <v>1000</v>
      </c>
      <c r="S22" s="310">
        <f>('3.DL Naudas plūsma ar projektu'!Q18-'2.DL Naudas plūsma bez projekta'!Q18)*(1+$E22)</f>
        <v>1000</v>
      </c>
      <c r="T22" s="310">
        <f>('3.DL Naudas plūsma ar projektu'!R18-'2.DL Naudas plūsma bez projekta'!R18)*(1+$E22)</f>
        <v>1000</v>
      </c>
      <c r="U22" s="310">
        <f>('3.DL Naudas plūsma ar projektu'!S18-'2.DL Naudas plūsma bez projekta'!S18)*(1+$E22)</f>
        <v>1000</v>
      </c>
      <c r="V22" s="310">
        <f>('3.DL Naudas plūsma ar projektu'!T18-'2.DL Naudas plūsma bez projekta'!T18)*(1+$E22)</f>
        <v>1000</v>
      </c>
      <c r="W22" s="310">
        <f>('3.DL Naudas plūsma ar projektu'!U18-'2.DL Naudas plūsma bez projekta'!U18)*(1+$E22)</f>
        <v>1000</v>
      </c>
      <c r="X22" s="310">
        <f>('3.DL Naudas plūsma ar projektu'!V18-'2.DL Naudas plūsma bez projekta'!V18)*(1+$E22)</f>
        <v>1000</v>
      </c>
      <c r="Y22" s="310">
        <f>('3.DL Naudas plūsma ar projektu'!W18-'2.DL Naudas plūsma bez projekta'!W18)*(1+$E22)</f>
        <v>1000</v>
      </c>
      <c r="Z22" s="310">
        <f>('3.DL Naudas plūsma ar projektu'!X18-'2.DL Naudas plūsma bez projekta'!X18)*(1+$E22)</f>
        <v>1000</v>
      </c>
      <c r="AA22" s="310">
        <f>('3.DL Naudas plūsma ar projektu'!Y18-'2.DL Naudas plūsma bez projekta'!Y18)*(1+$E22)</f>
        <v>1000</v>
      </c>
      <c r="AB22" s="310">
        <f>('3.DL Naudas plūsma ar projektu'!Z18-'2.DL Naudas plūsma bez projekta'!Z18)*(1+$E22)</f>
        <v>1000</v>
      </c>
      <c r="AC22" s="310">
        <f>('3.DL Naudas plūsma ar projektu'!AA18-'2.DL Naudas plūsma bez projekta'!AA18)*(1+$E22)</f>
        <v>1000</v>
      </c>
      <c r="AD22" s="310">
        <f>('3.DL Naudas plūsma ar projektu'!AB18-'2.DL Naudas plūsma bez projekta'!AB18)*(1+$E22)</f>
        <v>1000</v>
      </c>
      <c r="AE22" s="310">
        <f>('3.DL Naudas plūsma ar projektu'!AC18-'2.DL Naudas plūsma bez projekta'!AC18)*(1+$E22)</f>
        <v>1000</v>
      </c>
      <c r="AF22" s="311"/>
      <c r="AG22" s="514"/>
    </row>
    <row r="23" spans="1:33" s="521" customFormat="1" ht="25.5" customHeight="1" x14ac:dyDescent="0.2">
      <c r="A23" s="209"/>
      <c r="B23" s="707" t="s">
        <v>294</v>
      </c>
      <c r="C23" s="986" t="str">
        <f>'3.DL Naudas plūsma ar projektu'!B19</f>
        <v>no nošķiroto, reģenerējamo sadzīves atkritumu tirdzniecības</v>
      </c>
      <c r="D23" s="987"/>
      <c r="E23" s="210">
        <v>0</v>
      </c>
      <c r="F23" s="181" t="s">
        <v>20</v>
      </c>
      <c r="G23" s="310">
        <f>('3.DL Naudas plūsma ar projektu'!E19-'2.DL Naudas plūsma bez projekta'!E19)*(1+$E23)</f>
        <v>2000</v>
      </c>
      <c r="H23" s="310">
        <f>('3.DL Naudas plūsma ar projektu'!F19-'2.DL Naudas plūsma bez projekta'!F19)*(1+$E23)</f>
        <v>2000</v>
      </c>
      <c r="I23" s="310">
        <f>('3.DL Naudas plūsma ar projektu'!G19-'2.DL Naudas plūsma bez projekta'!G19)*(1+$E23)</f>
        <v>2000</v>
      </c>
      <c r="J23" s="310">
        <f>('3.DL Naudas plūsma ar projektu'!H19-'2.DL Naudas plūsma bez projekta'!H19)*(1+$E23)</f>
        <v>0</v>
      </c>
      <c r="K23" s="310">
        <f>('3.DL Naudas plūsma ar projektu'!I19-'2.DL Naudas plūsma bez projekta'!I19)*(1+$E23)</f>
        <v>0</v>
      </c>
      <c r="L23" s="310">
        <f>('3.DL Naudas plūsma ar projektu'!J19-'2.DL Naudas plūsma bez projekta'!J19)*(1+$E23)</f>
        <v>0</v>
      </c>
      <c r="M23" s="310">
        <f>('3.DL Naudas plūsma ar projektu'!K19-'2.DL Naudas plūsma bez projekta'!K19)*(1+$E23)</f>
        <v>0</v>
      </c>
      <c r="N23" s="310">
        <f>('3.DL Naudas plūsma ar projektu'!L19-'2.DL Naudas plūsma bez projekta'!L19)*(1+$E23)</f>
        <v>0</v>
      </c>
      <c r="O23" s="310">
        <f>('3.DL Naudas plūsma ar projektu'!M19-'2.DL Naudas plūsma bez projekta'!M19)*(1+$E23)</f>
        <v>0</v>
      </c>
      <c r="P23" s="310">
        <f>('3.DL Naudas plūsma ar projektu'!N19-'2.DL Naudas plūsma bez projekta'!N19)*(1+$E23)</f>
        <v>0</v>
      </c>
      <c r="Q23" s="310">
        <f>('3.DL Naudas plūsma ar projektu'!O19-'2.DL Naudas plūsma bez projekta'!O19)*(1+$E23)</f>
        <v>0</v>
      </c>
      <c r="R23" s="310">
        <f>('3.DL Naudas plūsma ar projektu'!P19-'2.DL Naudas plūsma bez projekta'!P19)*(1+$E23)</f>
        <v>0</v>
      </c>
      <c r="S23" s="310">
        <f>('3.DL Naudas plūsma ar projektu'!Q19-'2.DL Naudas plūsma bez projekta'!Q19)*(1+$E23)</f>
        <v>0</v>
      </c>
      <c r="T23" s="310">
        <f>('3.DL Naudas plūsma ar projektu'!R19-'2.DL Naudas plūsma bez projekta'!R19)*(1+$E23)</f>
        <v>0</v>
      </c>
      <c r="U23" s="310">
        <f>('3.DL Naudas plūsma ar projektu'!S19-'2.DL Naudas plūsma bez projekta'!S19)*(1+$E23)</f>
        <v>0</v>
      </c>
      <c r="V23" s="310">
        <f>('3.DL Naudas plūsma ar projektu'!T19-'2.DL Naudas plūsma bez projekta'!T19)*(1+$E23)</f>
        <v>0</v>
      </c>
      <c r="W23" s="310">
        <f>('3.DL Naudas plūsma ar projektu'!U19-'2.DL Naudas plūsma bez projekta'!U19)*(1+$E23)</f>
        <v>0</v>
      </c>
      <c r="X23" s="310">
        <f>('3.DL Naudas plūsma ar projektu'!V19-'2.DL Naudas plūsma bez projekta'!V19)*(1+$E23)</f>
        <v>0</v>
      </c>
      <c r="Y23" s="310">
        <f>('3.DL Naudas plūsma ar projektu'!W19-'2.DL Naudas plūsma bez projekta'!W19)*(1+$E23)</f>
        <v>0</v>
      </c>
      <c r="Z23" s="310">
        <f>('3.DL Naudas plūsma ar projektu'!X19-'2.DL Naudas plūsma bez projekta'!X19)*(1+$E23)</f>
        <v>0</v>
      </c>
      <c r="AA23" s="310">
        <f>('3.DL Naudas plūsma ar projektu'!Y19-'2.DL Naudas plūsma bez projekta'!Y19)*(1+$E23)</f>
        <v>0</v>
      </c>
      <c r="AB23" s="310">
        <f>('3.DL Naudas plūsma ar projektu'!Z19-'2.DL Naudas plūsma bez projekta'!Z19)*(1+$E23)</f>
        <v>0</v>
      </c>
      <c r="AC23" s="310">
        <f>('3.DL Naudas plūsma ar projektu'!AA19-'2.DL Naudas plūsma bez projekta'!AA19)*(1+$E23)</f>
        <v>0</v>
      </c>
      <c r="AD23" s="310">
        <f>('3.DL Naudas plūsma ar projektu'!AB19-'2.DL Naudas plūsma bez projekta'!AB19)*(1+$E23)</f>
        <v>0</v>
      </c>
      <c r="AE23" s="310">
        <f>('3.DL Naudas plūsma ar projektu'!AC19-'2.DL Naudas plūsma bez projekta'!AC19)*(1+$E23)</f>
        <v>0</v>
      </c>
      <c r="AF23" s="311"/>
      <c r="AG23" s="514"/>
    </row>
    <row r="24" spans="1:33" s="521" customFormat="1" ht="24.75" customHeight="1" x14ac:dyDescent="0.2">
      <c r="A24" s="209"/>
      <c r="B24" s="707" t="s">
        <v>295</v>
      </c>
      <c r="C24" s="986" t="str">
        <f>'3.DL Naudas plūsma ar projektu'!B20</f>
        <v>no sadzīves atkritumu apglabāšanas pakalpojuma</v>
      </c>
      <c r="D24" s="987"/>
      <c r="E24" s="210">
        <v>0</v>
      </c>
      <c r="F24" s="181" t="s">
        <v>20</v>
      </c>
      <c r="G24" s="310">
        <f>('3.DL Naudas plūsma ar projektu'!E20-'2.DL Naudas plūsma bez projekta'!E20)*(1+$E24)</f>
        <v>2000</v>
      </c>
      <c r="H24" s="310">
        <f>('3.DL Naudas plūsma ar projektu'!F20-'2.DL Naudas plūsma bez projekta'!F20)*(1+$E24)</f>
        <v>-3000</v>
      </c>
      <c r="I24" s="310">
        <f>('3.DL Naudas plūsma ar projektu'!G20-'2.DL Naudas plūsma bez projekta'!G20)*(1+$E24)</f>
        <v>-2980</v>
      </c>
      <c r="J24" s="310">
        <f>('3.DL Naudas plūsma ar projektu'!H20-'2.DL Naudas plūsma bez projekta'!H20)*(1+$E24)</f>
        <v>-982</v>
      </c>
      <c r="K24" s="310">
        <f>('3.DL Naudas plūsma ar projektu'!I20-'2.DL Naudas plūsma bez projekta'!I20)*(1+$E24)</f>
        <v>-984</v>
      </c>
      <c r="L24" s="310">
        <f>('3.DL Naudas plūsma ar projektu'!J20-'2.DL Naudas plūsma bez projekta'!J20)*(1+$E24)</f>
        <v>-986</v>
      </c>
      <c r="M24" s="310">
        <f>('3.DL Naudas plūsma ar projektu'!K20-'2.DL Naudas plūsma bez projekta'!K20)*(1+$E24)</f>
        <v>-988</v>
      </c>
      <c r="N24" s="310">
        <f>('3.DL Naudas plūsma ar projektu'!L20-'2.DL Naudas plūsma bez projekta'!L20)*(1+$E24)</f>
        <v>-990</v>
      </c>
      <c r="O24" s="310">
        <f>('3.DL Naudas plūsma ar projektu'!M20-'2.DL Naudas plūsma bez projekta'!M20)*(1+$E24)</f>
        <v>-992</v>
      </c>
      <c r="P24" s="310">
        <f>('3.DL Naudas plūsma ar projektu'!N20-'2.DL Naudas plūsma bez projekta'!N20)*(1+$E24)</f>
        <v>-994</v>
      </c>
      <c r="Q24" s="310">
        <f>('3.DL Naudas plūsma ar projektu'!O20-'2.DL Naudas plūsma bez projekta'!O20)*(1+$E24)</f>
        <v>-996</v>
      </c>
      <c r="R24" s="310">
        <f>('3.DL Naudas plūsma ar projektu'!P20-'2.DL Naudas plūsma bez projekta'!P20)*(1+$E24)</f>
        <v>-998</v>
      </c>
      <c r="S24" s="310">
        <f>('3.DL Naudas plūsma ar projektu'!Q20-'2.DL Naudas plūsma bez projekta'!Q20)*(1+$E24)</f>
        <v>-1000</v>
      </c>
      <c r="T24" s="310">
        <f>('3.DL Naudas plūsma ar projektu'!R20-'2.DL Naudas plūsma bez projekta'!R20)*(1+$E24)</f>
        <v>-1000</v>
      </c>
      <c r="U24" s="310">
        <f>('3.DL Naudas plūsma ar projektu'!S20-'2.DL Naudas plūsma bez projekta'!S20)*(1+$E24)</f>
        <v>-1000</v>
      </c>
      <c r="V24" s="310">
        <f>('3.DL Naudas plūsma ar projektu'!T20-'2.DL Naudas plūsma bez projekta'!T20)*(1+$E24)</f>
        <v>-1000</v>
      </c>
      <c r="W24" s="310">
        <f>('3.DL Naudas plūsma ar projektu'!U20-'2.DL Naudas plūsma bez projekta'!U20)*(1+$E24)</f>
        <v>-1000</v>
      </c>
      <c r="X24" s="310">
        <f>('3.DL Naudas plūsma ar projektu'!V20-'2.DL Naudas plūsma bez projekta'!V20)*(1+$E24)</f>
        <v>-1000</v>
      </c>
      <c r="Y24" s="310">
        <f>('3.DL Naudas plūsma ar projektu'!W20-'2.DL Naudas plūsma bez projekta'!W20)*(1+$E24)</f>
        <v>-1000</v>
      </c>
      <c r="Z24" s="310">
        <f>('3.DL Naudas plūsma ar projektu'!X20-'2.DL Naudas plūsma bez projekta'!X20)*(1+$E24)</f>
        <v>-1000</v>
      </c>
      <c r="AA24" s="310">
        <f>('3.DL Naudas plūsma ar projektu'!Y20-'2.DL Naudas plūsma bez projekta'!Y20)*(1+$E24)</f>
        <v>-1000</v>
      </c>
      <c r="AB24" s="310">
        <f>('3.DL Naudas plūsma ar projektu'!Z20-'2.DL Naudas plūsma bez projekta'!Z20)*(1+$E24)</f>
        <v>-1000</v>
      </c>
      <c r="AC24" s="310">
        <f>('3.DL Naudas plūsma ar projektu'!AA20-'2.DL Naudas plūsma bez projekta'!AA20)*(1+$E24)</f>
        <v>-1000</v>
      </c>
      <c r="AD24" s="310">
        <f>('3.DL Naudas plūsma ar projektu'!AB20-'2.DL Naudas plūsma bez projekta'!AB20)*(1+$E24)</f>
        <v>-1000</v>
      </c>
      <c r="AE24" s="310">
        <f>('3.DL Naudas plūsma ar projektu'!AC20-'2.DL Naudas plūsma bez projekta'!AC20)*(1+$E24)</f>
        <v>-1000</v>
      </c>
      <c r="AF24" s="311">
        <f t="shared" si="1"/>
        <v>-25890</v>
      </c>
      <c r="AG24" s="514"/>
    </row>
    <row r="25" spans="1:33" s="521" customFormat="1" ht="24" customHeight="1" x14ac:dyDescent="0.2">
      <c r="A25" s="209"/>
      <c r="B25" s="707" t="s">
        <v>440</v>
      </c>
      <c r="C25" s="986" t="str">
        <f>'3.DL Naudas plūsma ar projektu'!B21</f>
        <v>no dalīti vāktajiem bioloģiski noārdāmajaiem atkritumiem</v>
      </c>
      <c r="D25" s="987"/>
      <c r="E25" s="210">
        <v>0</v>
      </c>
      <c r="F25" s="181" t="s">
        <v>20</v>
      </c>
      <c r="G25" s="310">
        <f>('3.DL Naudas plūsma ar projektu'!E21-'2.DL Naudas plūsma bez projekta'!E21)*(1+$E25)</f>
        <v>2000</v>
      </c>
      <c r="H25" s="310">
        <f>('3.DL Naudas plūsma ar projektu'!F21-'2.DL Naudas plūsma bez projekta'!F21)*(1+$E25)</f>
        <v>3000</v>
      </c>
      <c r="I25" s="310">
        <f>('3.DL Naudas plūsma ar projektu'!G21-'2.DL Naudas plūsma bez projekta'!G21)*(1+$E25)</f>
        <v>5000</v>
      </c>
      <c r="J25" s="310">
        <f>('3.DL Naudas plūsma ar projektu'!H21-'2.DL Naudas plūsma bez projekta'!H21)*(1+$E25)</f>
        <v>1000</v>
      </c>
      <c r="K25" s="310">
        <f>('3.DL Naudas plūsma ar projektu'!I21-'2.DL Naudas plūsma bez projekta'!I21)*(1+$E25)</f>
        <v>1000</v>
      </c>
      <c r="L25" s="310">
        <f>('3.DL Naudas plūsma ar projektu'!J21-'2.DL Naudas plūsma bez projekta'!J21)*(1+$E25)</f>
        <v>1000</v>
      </c>
      <c r="M25" s="310">
        <f>('3.DL Naudas plūsma ar projektu'!K21-'2.DL Naudas plūsma bez projekta'!K21)*(1+$E25)</f>
        <v>1000</v>
      </c>
      <c r="N25" s="310">
        <f>('3.DL Naudas plūsma ar projektu'!L21-'2.DL Naudas plūsma bez projekta'!L21)*(1+$E25)</f>
        <v>1000</v>
      </c>
      <c r="O25" s="310">
        <f>('3.DL Naudas plūsma ar projektu'!M21-'2.DL Naudas plūsma bez projekta'!M21)*(1+$E25)</f>
        <v>1000</v>
      </c>
      <c r="P25" s="310">
        <f>('3.DL Naudas plūsma ar projektu'!N21-'2.DL Naudas plūsma bez projekta'!N21)*(1+$E25)</f>
        <v>1000</v>
      </c>
      <c r="Q25" s="310">
        <f>('3.DL Naudas plūsma ar projektu'!O21-'2.DL Naudas plūsma bez projekta'!O21)*(1+$E25)</f>
        <v>1000</v>
      </c>
      <c r="R25" s="310">
        <f>('3.DL Naudas plūsma ar projektu'!P21-'2.DL Naudas plūsma bez projekta'!P21)*(1+$E25)</f>
        <v>1000</v>
      </c>
      <c r="S25" s="310">
        <f>('3.DL Naudas plūsma ar projektu'!Q21-'2.DL Naudas plūsma bez projekta'!Q21)*(1+$E25)</f>
        <v>1000</v>
      </c>
      <c r="T25" s="310">
        <f>('3.DL Naudas plūsma ar projektu'!R21-'2.DL Naudas plūsma bez projekta'!R21)*(1+$E25)</f>
        <v>1000</v>
      </c>
      <c r="U25" s="310">
        <f>('3.DL Naudas plūsma ar projektu'!S21-'2.DL Naudas plūsma bez projekta'!S21)*(1+$E25)</f>
        <v>1000</v>
      </c>
      <c r="V25" s="310">
        <f>('3.DL Naudas plūsma ar projektu'!T21-'2.DL Naudas plūsma bez projekta'!T21)*(1+$E25)</f>
        <v>1000</v>
      </c>
      <c r="W25" s="310">
        <f>('3.DL Naudas plūsma ar projektu'!U21-'2.DL Naudas plūsma bez projekta'!U21)*(1+$E25)</f>
        <v>1000</v>
      </c>
      <c r="X25" s="310">
        <f>('3.DL Naudas plūsma ar projektu'!V21-'2.DL Naudas plūsma bez projekta'!V21)*(1+$E25)</f>
        <v>1000</v>
      </c>
      <c r="Y25" s="310">
        <f>('3.DL Naudas plūsma ar projektu'!W21-'2.DL Naudas plūsma bez projekta'!W21)*(1+$E25)</f>
        <v>1000</v>
      </c>
      <c r="Z25" s="310">
        <f>('3.DL Naudas plūsma ar projektu'!X21-'2.DL Naudas plūsma bez projekta'!X21)*(1+$E25)</f>
        <v>1000</v>
      </c>
      <c r="AA25" s="310">
        <f>('3.DL Naudas plūsma ar projektu'!Y21-'2.DL Naudas plūsma bez projekta'!Y21)*(1+$E25)</f>
        <v>1000</v>
      </c>
      <c r="AB25" s="310">
        <f>('3.DL Naudas plūsma ar projektu'!Z21-'2.DL Naudas plūsma bez projekta'!Z21)*(1+$E25)</f>
        <v>1000</v>
      </c>
      <c r="AC25" s="310">
        <f>('3.DL Naudas plūsma ar projektu'!AA21-'2.DL Naudas plūsma bez projekta'!AA21)*(1+$E25)</f>
        <v>1000</v>
      </c>
      <c r="AD25" s="310">
        <f>('3.DL Naudas plūsma ar projektu'!AB21-'2.DL Naudas plūsma bez projekta'!AB21)*(1+$E25)</f>
        <v>1000</v>
      </c>
      <c r="AE25" s="310">
        <f>('3.DL Naudas plūsma ar projektu'!AC21-'2.DL Naudas plūsma bez projekta'!AC21)*(1+$E25)</f>
        <v>1000</v>
      </c>
      <c r="AF25" s="311">
        <f t="shared" si="1"/>
        <v>32000</v>
      </c>
      <c r="AG25" s="514"/>
    </row>
    <row r="26" spans="1:33" s="521" customFormat="1" ht="31.5" customHeight="1" x14ac:dyDescent="0.2">
      <c r="A26" s="209"/>
      <c r="B26" s="707" t="s">
        <v>441</v>
      </c>
      <c r="C26" s="986" t="str">
        <f>'3.DL Naudas plūsma ar projektu'!B22</f>
        <v/>
      </c>
      <c r="D26" s="987"/>
      <c r="E26" s="210">
        <v>0</v>
      </c>
      <c r="F26" s="181" t="s">
        <v>20</v>
      </c>
      <c r="G26" s="310">
        <f>('3.DL Naudas plūsma ar projektu'!E22-'2.DL Naudas plūsma bez projekta'!E22)*(1+$E26)</f>
        <v>0</v>
      </c>
      <c r="H26" s="310">
        <f>('3.DL Naudas plūsma ar projektu'!F22-'2.DL Naudas plūsma bez projekta'!F22)*(1+$E26)</f>
        <v>0</v>
      </c>
      <c r="I26" s="310">
        <f>('3.DL Naudas plūsma ar projektu'!G22-'2.DL Naudas plūsma bez projekta'!G22)*(1+$E26)</f>
        <v>0</v>
      </c>
      <c r="J26" s="310">
        <f>('3.DL Naudas plūsma ar projektu'!H22-'2.DL Naudas plūsma bez projekta'!H22)*(1+$E26)</f>
        <v>0</v>
      </c>
      <c r="K26" s="310">
        <f>('3.DL Naudas plūsma ar projektu'!I22-'2.DL Naudas plūsma bez projekta'!I22)*(1+$E26)</f>
        <v>0</v>
      </c>
      <c r="L26" s="310">
        <f>('3.DL Naudas plūsma ar projektu'!J22-'2.DL Naudas plūsma bez projekta'!J22)*(1+$E26)</f>
        <v>0</v>
      </c>
      <c r="M26" s="310">
        <f>('3.DL Naudas plūsma ar projektu'!K22-'2.DL Naudas plūsma bez projekta'!K22)*(1+$E26)</f>
        <v>0</v>
      </c>
      <c r="N26" s="310">
        <f>('3.DL Naudas plūsma ar projektu'!L22-'2.DL Naudas plūsma bez projekta'!L22)*(1+$E26)</f>
        <v>0</v>
      </c>
      <c r="O26" s="310">
        <f>('3.DL Naudas plūsma ar projektu'!M22-'2.DL Naudas plūsma bez projekta'!M22)*(1+$E26)</f>
        <v>0</v>
      </c>
      <c r="P26" s="310">
        <f>('3.DL Naudas plūsma ar projektu'!N22-'2.DL Naudas plūsma bez projekta'!N22)*(1+$E26)</f>
        <v>0</v>
      </c>
      <c r="Q26" s="310">
        <f>('3.DL Naudas plūsma ar projektu'!O22-'2.DL Naudas plūsma bez projekta'!O22)*(1+$E26)</f>
        <v>0</v>
      </c>
      <c r="R26" s="310">
        <f>('3.DL Naudas plūsma ar projektu'!P22-'2.DL Naudas plūsma bez projekta'!P22)*(1+$E26)</f>
        <v>0</v>
      </c>
      <c r="S26" s="310">
        <f>('3.DL Naudas plūsma ar projektu'!Q22-'2.DL Naudas plūsma bez projekta'!Q22)*(1+$E26)</f>
        <v>0</v>
      </c>
      <c r="T26" s="310">
        <f>('3.DL Naudas plūsma ar projektu'!R22-'2.DL Naudas plūsma bez projekta'!R22)*(1+$E26)</f>
        <v>0</v>
      </c>
      <c r="U26" s="310">
        <f>('3.DL Naudas plūsma ar projektu'!S22-'2.DL Naudas plūsma bez projekta'!S22)*(1+$E26)</f>
        <v>0</v>
      </c>
      <c r="V26" s="310">
        <f>('3.DL Naudas plūsma ar projektu'!T22-'2.DL Naudas plūsma bez projekta'!T22)*(1+$E26)</f>
        <v>0</v>
      </c>
      <c r="W26" s="310">
        <f>('3.DL Naudas plūsma ar projektu'!U22-'2.DL Naudas plūsma bez projekta'!U22)*(1+$E26)</f>
        <v>0</v>
      </c>
      <c r="X26" s="310">
        <f>('3.DL Naudas plūsma ar projektu'!V22-'2.DL Naudas plūsma bez projekta'!V22)*(1+$E26)</f>
        <v>0</v>
      </c>
      <c r="Y26" s="310">
        <f>('3.DL Naudas plūsma ar projektu'!W22-'2.DL Naudas plūsma bez projekta'!W22)*(1+$E26)</f>
        <v>0</v>
      </c>
      <c r="Z26" s="310">
        <f>('3.DL Naudas plūsma ar projektu'!X22-'2.DL Naudas plūsma bez projekta'!X22)*(1+$E26)</f>
        <v>0</v>
      </c>
      <c r="AA26" s="310">
        <f>('3.DL Naudas plūsma ar projektu'!Y22-'2.DL Naudas plūsma bez projekta'!Y22)*(1+$E26)</f>
        <v>0</v>
      </c>
      <c r="AB26" s="310">
        <f>('3.DL Naudas plūsma ar projektu'!Z22-'2.DL Naudas plūsma bez projekta'!Z22)*(1+$E26)</f>
        <v>0</v>
      </c>
      <c r="AC26" s="310">
        <f>('3.DL Naudas plūsma ar projektu'!AA22-'2.DL Naudas plūsma bez projekta'!AA22)*(1+$E26)</f>
        <v>0</v>
      </c>
      <c r="AD26" s="310">
        <f>('3.DL Naudas plūsma ar projektu'!AB22-'2.DL Naudas plūsma bez projekta'!AB22)*(1+$E26)</f>
        <v>0</v>
      </c>
      <c r="AE26" s="310">
        <f>('3.DL Naudas plūsma ar projektu'!AC22-'2.DL Naudas plūsma bez projekta'!AC22)*(1+$E26)</f>
        <v>0</v>
      </c>
      <c r="AF26" s="311">
        <f t="shared" si="1"/>
        <v>0</v>
      </c>
      <c r="AG26" s="514"/>
    </row>
    <row r="27" spans="1:33" s="521" customFormat="1" ht="27.75" customHeight="1" x14ac:dyDescent="0.2">
      <c r="A27" s="209"/>
      <c r="B27" s="707" t="s">
        <v>442</v>
      </c>
      <c r="C27" s="986" t="str">
        <f>'3.DL Naudas plūsma ar projektu'!B23</f>
        <v/>
      </c>
      <c r="D27" s="987"/>
      <c r="E27" s="210">
        <v>0</v>
      </c>
      <c r="F27" s="181" t="s">
        <v>20</v>
      </c>
      <c r="G27" s="310">
        <f>('3.DL Naudas plūsma ar projektu'!E23-'2.DL Naudas plūsma bez projekta'!E23)*(1+$E27)</f>
        <v>0</v>
      </c>
      <c r="H27" s="310">
        <f>('3.DL Naudas plūsma ar projektu'!F23-'2.DL Naudas plūsma bez projekta'!F23)*(1+$E27)</f>
        <v>0</v>
      </c>
      <c r="I27" s="310">
        <f>('3.DL Naudas plūsma ar projektu'!G23-'2.DL Naudas plūsma bez projekta'!G23)*(1+$E27)</f>
        <v>0</v>
      </c>
      <c r="J27" s="310">
        <f>('3.DL Naudas plūsma ar projektu'!H23-'2.DL Naudas plūsma bez projekta'!H23)*(1+$E27)</f>
        <v>0</v>
      </c>
      <c r="K27" s="310">
        <f>('3.DL Naudas plūsma ar projektu'!I23-'2.DL Naudas plūsma bez projekta'!I23)*(1+$E27)</f>
        <v>0</v>
      </c>
      <c r="L27" s="310">
        <f>('3.DL Naudas plūsma ar projektu'!J23-'2.DL Naudas plūsma bez projekta'!J23)*(1+$E27)</f>
        <v>0</v>
      </c>
      <c r="M27" s="310">
        <f>('3.DL Naudas plūsma ar projektu'!K23-'2.DL Naudas plūsma bez projekta'!K23)*(1+$E27)</f>
        <v>0</v>
      </c>
      <c r="N27" s="310">
        <f>('3.DL Naudas plūsma ar projektu'!L23-'2.DL Naudas plūsma bez projekta'!L23)*(1+$E27)</f>
        <v>0</v>
      </c>
      <c r="O27" s="310">
        <f>('3.DL Naudas plūsma ar projektu'!M23-'2.DL Naudas plūsma bez projekta'!M23)*(1+$E27)</f>
        <v>0</v>
      </c>
      <c r="P27" s="310">
        <f>('3.DL Naudas plūsma ar projektu'!N23-'2.DL Naudas plūsma bez projekta'!N23)*(1+$E27)</f>
        <v>0</v>
      </c>
      <c r="Q27" s="310">
        <f>('3.DL Naudas plūsma ar projektu'!O23-'2.DL Naudas plūsma bez projekta'!O23)*(1+$E27)</f>
        <v>0</v>
      </c>
      <c r="R27" s="310">
        <f>('3.DL Naudas plūsma ar projektu'!P23-'2.DL Naudas plūsma bez projekta'!P23)*(1+$E27)</f>
        <v>0</v>
      </c>
      <c r="S27" s="310">
        <f>('3.DL Naudas plūsma ar projektu'!Q23-'2.DL Naudas plūsma bez projekta'!Q23)*(1+$E27)</f>
        <v>0</v>
      </c>
      <c r="T27" s="310">
        <f>('3.DL Naudas plūsma ar projektu'!R23-'2.DL Naudas plūsma bez projekta'!R23)*(1+$E27)</f>
        <v>0</v>
      </c>
      <c r="U27" s="310">
        <f>('3.DL Naudas plūsma ar projektu'!S23-'2.DL Naudas plūsma bez projekta'!S23)*(1+$E27)</f>
        <v>0</v>
      </c>
      <c r="V27" s="310">
        <f>('3.DL Naudas plūsma ar projektu'!T23-'2.DL Naudas plūsma bez projekta'!T23)*(1+$E27)</f>
        <v>0</v>
      </c>
      <c r="W27" s="310">
        <f>('3.DL Naudas plūsma ar projektu'!U23-'2.DL Naudas plūsma bez projekta'!U23)*(1+$E27)</f>
        <v>0</v>
      </c>
      <c r="X27" s="310">
        <f>('3.DL Naudas plūsma ar projektu'!V23-'2.DL Naudas plūsma bez projekta'!V23)*(1+$E27)</f>
        <v>0</v>
      </c>
      <c r="Y27" s="310">
        <f>('3.DL Naudas plūsma ar projektu'!W23-'2.DL Naudas plūsma bez projekta'!W23)*(1+$E27)</f>
        <v>0</v>
      </c>
      <c r="Z27" s="310">
        <f>('3.DL Naudas plūsma ar projektu'!X23-'2.DL Naudas plūsma bez projekta'!X23)*(1+$E27)</f>
        <v>0</v>
      </c>
      <c r="AA27" s="310">
        <f>('3.DL Naudas plūsma ar projektu'!Y23-'2.DL Naudas plūsma bez projekta'!Y23)*(1+$E27)</f>
        <v>0</v>
      </c>
      <c r="AB27" s="310">
        <f>('3.DL Naudas plūsma ar projektu'!Z23-'2.DL Naudas plūsma bez projekta'!Z23)*(1+$E27)</f>
        <v>0</v>
      </c>
      <c r="AC27" s="310">
        <f>('3.DL Naudas plūsma ar projektu'!AA23-'2.DL Naudas plūsma bez projekta'!AA23)*(1+$E27)</f>
        <v>0</v>
      </c>
      <c r="AD27" s="310">
        <f>('3.DL Naudas plūsma ar projektu'!AB23-'2.DL Naudas plūsma bez projekta'!AB23)*(1+$E27)</f>
        <v>0</v>
      </c>
      <c r="AE27" s="310">
        <f>('3.DL Naudas plūsma ar projektu'!AC23-'2.DL Naudas plūsma bez projekta'!AC23)*(1+$E27)</f>
        <v>0</v>
      </c>
      <c r="AF27" s="311">
        <f t="shared" si="1"/>
        <v>0</v>
      </c>
      <c r="AG27" s="514"/>
    </row>
    <row r="28" spans="1:33" s="521" customFormat="1" ht="12" customHeight="1" x14ac:dyDescent="0.2">
      <c r="A28" s="209"/>
      <c r="B28" s="707" t="s">
        <v>443</v>
      </c>
      <c r="C28" s="986" t="str">
        <f>'3.DL Naudas plūsma ar projektu'!B24</f>
        <v/>
      </c>
      <c r="D28" s="987"/>
      <c r="E28" s="210">
        <v>0</v>
      </c>
      <c r="F28" s="181" t="s">
        <v>20</v>
      </c>
      <c r="G28" s="310">
        <f>('3.DL Naudas plūsma ar projektu'!E24-'2.DL Naudas plūsma bez projekta'!E24)*(1+$E28)</f>
        <v>0</v>
      </c>
      <c r="H28" s="310">
        <f>('3.DL Naudas plūsma ar projektu'!F24-'2.DL Naudas plūsma bez projekta'!F24)*(1+$E28)</f>
        <v>0</v>
      </c>
      <c r="I28" s="310">
        <f>('3.DL Naudas plūsma ar projektu'!G24-'2.DL Naudas plūsma bez projekta'!G24)*(1+$E28)</f>
        <v>0</v>
      </c>
      <c r="J28" s="310">
        <f>('3.DL Naudas plūsma ar projektu'!H24-'2.DL Naudas plūsma bez projekta'!H24)*(1+$E28)</f>
        <v>0</v>
      </c>
      <c r="K28" s="310">
        <f>('3.DL Naudas plūsma ar projektu'!I24-'2.DL Naudas plūsma bez projekta'!I24)*(1+$E28)</f>
        <v>0</v>
      </c>
      <c r="L28" s="310">
        <f>('3.DL Naudas plūsma ar projektu'!J24-'2.DL Naudas plūsma bez projekta'!J24)*(1+$E28)</f>
        <v>0</v>
      </c>
      <c r="M28" s="310">
        <f>('3.DL Naudas plūsma ar projektu'!K24-'2.DL Naudas plūsma bez projekta'!K24)*(1+$E28)</f>
        <v>0</v>
      </c>
      <c r="N28" s="310">
        <f>('3.DL Naudas plūsma ar projektu'!L24-'2.DL Naudas plūsma bez projekta'!L24)*(1+$E28)</f>
        <v>0</v>
      </c>
      <c r="O28" s="310">
        <f>('3.DL Naudas plūsma ar projektu'!M24-'2.DL Naudas plūsma bez projekta'!M24)*(1+$E28)</f>
        <v>0</v>
      </c>
      <c r="P28" s="310">
        <f>('3.DL Naudas plūsma ar projektu'!N24-'2.DL Naudas plūsma bez projekta'!N24)*(1+$E28)</f>
        <v>0</v>
      </c>
      <c r="Q28" s="310">
        <f>('3.DL Naudas plūsma ar projektu'!O24-'2.DL Naudas plūsma bez projekta'!O24)*(1+$E28)</f>
        <v>0</v>
      </c>
      <c r="R28" s="310">
        <f>('3.DL Naudas plūsma ar projektu'!P24-'2.DL Naudas plūsma bez projekta'!P24)*(1+$E28)</f>
        <v>0</v>
      </c>
      <c r="S28" s="310">
        <f>('3.DL Naudas plūsma ar projektu'!Q24-'2.DL Naudas plūsma bez projekta'!Q24)*(1+$E28)</f>
        <v>0</v>
      </c>
      <c r="T28" s="310">
        <f>('3.DL Naudas plūsma ar projektu'!R24-'2.DL Naudas plūsma bez projekta'!R24)*(1+$E28)</f>
        <v>0</v>
      </c>
      <c r="U28" s="310">
        <f>('3.DL Naudas plūsma ar projektu'!S24-'2.DL Naudas plūsma bez projekta'!S24)*(1+$E28)</f>
        <v>0</v>
      </c>
      <c r="V28" s="310">
        <f>('3.DL Naudas plūsma ar projektu'!T24-'2.DL Naudas plūsma bez projekta'!T24)*(1+$E28)</f>
        <v>0</v>
      </c>
      <c r="W28" s="310">
        <f>('3.DL Naudas plūsma ar projektu'!U24-'2.DL Naudas plūsma bez projekta'!U24)*(1+$E28)</f>
        <v>0</v>
      </c>
      <c r="X28" s="310">
        <f>('3.DL Naudas plūsma ar projektu'!V24-'2.DL Naudas plūsma bez projekta'!V24)*(1+$E28)</f>
        <v>0</v>
      </c>
      <c r="Y28" s="310">
        <f>('3.DL Naudas plūsma ar projektu'!W24-'2.DL Naudas plūsma bez projekta'!W24)*(1+$E28)</f>
        <v>0</v>
      </c>
      <c r="Z28" s="310">
        <f>('3.DL Naudas plūsma ar projektu'!X24-'2.DL Naudas plūsma bez projekta'!X24)*(1+$E28)</f>
        <v>0</v>
      </c>
      <c r="AA28" s="310">
        <f>('3.DL Naudas plūsma ar projektu'!Y24-'2.DL Naudas plūsma bez projekta'!Y24)*(1+$E28)</f>
        <v>0</v>
      </c>
      <c r="AB28" s="310">
        <f>('3.DL Naudas plūsma ar projektu'!Z24-'2.DL Naudas plūsma bez projekta'!Z24)*(1+$E28)</f>
        <v>0</v>
      </c>
      <c r="AC28" s="310">
        <f>('3.DL Naudas plūsma ar projektu'!AA24-'2.DL Naudas plūsma bez projekta'!AA24)*(1+$E28)</f>
        <v>0</v>
      </c>
      <c r="AD28" s="310">
        <f>('3.DL Naudas plūsma ar projektu'!AB24-'2.DL Naudas plūsma bez projekta'!AB24)*(1+$E28)</f>
        <v>0</v>
      </c>
      <c r="AE28" s="310">
        <f>('3.DL Naudas plūsma ar projektu'!AC24-'2.DL Naudas plūsma bez projekta'!AC24)*(1+$E28)</f>
        <v>0</v>
      </c>
      <c r="AF28" s="311">
        <f t="shared" si="1"/>
        <v>0</v>
      </c>
      <c r="AG28" s="514"/>
    </row>
    <row r="29" spans="1:33" s="521" customFormat="1" ht="12.75" x14ac:dyDescent="0.2">
      <c r="A29" s="212"/>
      <c r="B29" s="711" t="s">
        <v>80</v>
      </c>
      <c r="C29" s="988" t="s">
        <v>75</v>
      </c>
      <c r="D29" s="989"/>
      <c r="E29" s="210">
        <v>0</v>
      </c>
      <c r="F29" s="181" t="s">
        <v>20</v>
      </c>
      <c r="G29" s="312">
        <f>'3.DL Naudas plūsma ar projektu'!E61*(1+$E29)</f>
        <v>0</v>
      </c>
      <c r="H29" s="312">
        <f>'3.DL Naudas plūsma ar projektu'!F61*(1+$E29)</f>
        <v>0</v>
      </c>
      <c r="I29" s="312">
        <f>'3.DL Naudas plūsma ar projektu'!G61*(1+$E29)</f>
        <v>0</v>
      </c>
      <c r="J29" s="312">
        <f>'3.DL Naudas plūsma ar projektu'!H61*(1+$E29)</f>
        <v>0</v>
      </c>
      <c r="K29" s="312">
        <f>'3.DL Naudas plūsma ar projektu'!I61*(1+$E29)</f>
        <v>0</v>
      </c>
      <c r="L29" s="312">
        <f>'3.DL Naudas plūsma ar projektu'!J61*(1+$E29)</f>
        <v>0</v>
      </c>
      <c r="M29" s="312">
        <f>'3.DL Naudas plūsma ar projektu'!K61*(1+$E29)</f>
        <v>0</v>
      </c>
      <c r="N29" s="312">
        <f>'3.DL Naudas plūsma ar projektu'!L61*(1+$E29)</f>
        <v>0</v>
      </c>
      <c r="O29" s="312">
        <f>'3.DL Naudas plūsma ar projektu'!M61*(1+$E29)</f>
        <v>0</v>
      </c>
      <c r="P29" s="312">
        <f>'3.DL Naudas plūsma ar projektu'!N61*(1+$E29)</f>
        <v>0</v>
      </c>
      <c r="Q29" s="312">
        <f>'3.DL Naudas plūsma ar projektu'!O61*(1+$E29)</f>
        <v>0</v>
      </c>
      <c r="R29" s="312">
        <f>'3.DL Naudas plūsma ar projektu'!P61*(1+$E29)</f>
        <v>0</v>
      </c>
      <c r="S29" s="312">
        <f>'3.DL Naudas plūsma ar projektu'!Q61*(1+$E29)</f>
        <v>0</v>
      </c>
      <c r="T29" s="312">
        <f>'3.DL Naudas plūsma ar projektu'!R61*(1+$E29)</f>
        <v>0</v>
      </c>
      <c r="U29" s="312">
        <f>'3.DL Naudas plūsma ar projektu'!S61*(1+$E29)</f>
        <v>0</v>
      </c>
      <c r="V29" s="312">
        <f>'3.DL Naudas plūsma ar projektu'!T61*(1+$E29)</f>
        <v>0</v>
      </c>
      <c r="W29" s="312">
        <f>'3.DL Naudas plūsma ar projektu'!U61*(1+$E29)</f>
        <v>0</v>
      </c>
      <c r="X29" s="312">
        <f>'3.DL Naudas plūsma ar projektu'!V61*(1+$E29)</f>
        <v>0</v>
      </c>
      <c r="Y29" s="312">
        <f>'3.DL Naudas plūsma ar projektu'!W61*(1+$E29)</f>
        <v>0</v>
      </c>
      <c r="Z29" s="312">
        <f>'3.DL Naudas plūsma ar projektu'!X61*(1+$E29)</f>
        <v>0</v>
      </c>
      <c r="AA29" s="312">
        <f>'3.DL Naudas plūsma ar projektu'!Y61*(1+$E29)</f>
        <v>0</v>
      </c>
      <c r="AB29" s="312">
        <f>'3.DL Naudas plūsma ar projektu'!Z61*(1+$E29)</f>
        <v>0</v>
      </c>
      <c r="AC29" s="312">
        <f>'3.DL Naudas plūsma ar projektu'!AA61*(1+$E29)</f>
        <v>0</v>
      </c>
      <c r="AD29" s="312">
        <f>'3.DL Naudas plūsma ar projektu'!AB61*(1+$E29)</f>
        <v>0</v>
      </c>
      <c r="AE29" s="312">
        <f>'3.DL Naudas plūsma ar projektu'!AC61*(1+$E29)</f>
        <v>0</v>
      </c>
      <c r="AF29" s="311">
        <f t="shared" si="1"/>
        <v>0</v>
      </c>
      <c r="AG29" s="514"/>
    </row>
    <row r="30" spans="1:33" s="514" customFormat="1" ht="12.75" x14ac:dyDescent="0.2">
      <c r="A30" s="212"/>
      <c r="B30" s="711" t="s">
        <v>142</v>
      </c>
      <c r="C30" s="711" t="s">
        <v>296</v>
      </c>
      <c r="D30" s="160"/>
      <c r="E30" s="612"/>
      <c r="F30" s="181" t="s">
        <v>20</v>
      </c>
      <c r="G30" s="312">
        <f>G29+G18+G8</f>
        <v>19500</v>
      </c>
      <c r="H30" s="312">
        <f t="shared" ref="H30:AE30" si="3">H29+H18+H8</f>
        <v>20500</v>
      </c>
      <c r="I30" s="312">
        <f t="shared" si="3"/>
        <v>17520</v>
      </c>
      <c r="J30" s="312">
        <f t="shared" si="3"/>
        <v>13518</v>
      </c>
      <c r="K30" s="312">
        <f t="shared" si="3"/>
        <v>13516</v>
      </c>
      <c r="L30" s="312">
        <f t="shared" si="3"/>
        <v>13514</v>
      </c>
      <c r="M30" s="312">
        <f t="shared" si="3"/>
        <v>13512</v>
      </c>
      <c r="N30" s="312">
        <f t="shared" si="3"/>
        <v>13510</v>
      </c>
      <c r="O30" s="312">
        <f t="shared" si="3"/>
        <v>13508</v>
      </c>
      <c r="P30" s="312">
        <f t="shared" si="3"/>
        <v>13506</v>
      </c>
      <c r="Q30" s="312">
        <f t="shared" si="3"/>
        <v>13504</v>
      </c>
      <c r="R30" s="312">
        <f t="shared" si="3"/>
        <v>13502</v>
      </c>
      <c r="S30" s="312">
        <f t="shared" si="3"/>
        <v>13500</v>
      </c>
      <c r="T30" s="312">
        <f t="shared" si="3"/>
        <v>13500</v>
      </c>
      <c r="U30" s="312">
        <f t="shared" si="3"/>
        <v>13500</v>
      </c>
      <c r="V30" s="312">
        <f t="shared" si="3"/>
        <v>13500</v>
      </c>
      <c r="W30" s="312">
        <f t="shared" si="3"/>
        <v>13500</v>
      </c>
      <c r="X30" s="312">
        <f t="shared" si="3"/>
        <v>13500</v>
      </c>
      <c r="Y30" s="312">
        <f t="shared" si="3"/>
        <v>13500</v>
      </c>
      <c r="Z30" s="312">
        <f t="shared" si="3"/>
        <v>13500</v>
      </c>
      <c r="AA30" s="312">
        <f t="shared" si="3"/>
        <v>13500</v>
      </c>
      <c r="AB30" s="312">
        <f t="shared" si="3"/>
        <v>13500</v>
      </c>
      <c r="AC30" s="312">
        <f t="shared" si="3"/>
        <v>13500</v>
      </c>
      <c r="AD30" s="312">
        <f t="shared" si="3"/>
        <v>13500</v>
      </c>
      <c r="AE30" s="312">
        <f t="shared" si="3"/>
        <v>13500</v>
      </c>
      <c r="AF30" s="311">
        <f t="shared" si="1"/>
        <v>354610</v>
      </c>
    </row>
    <row r="31" spans="1:33" s="514" customFormat="1" ht="12.75" x14ac:dyDescent="0.2">
      <c r="A31" s="212"/>
      <c r="B31" s="711" t="s">
        <v>81</v>
      </c>
      <c r="C31" s="27" t="s">
        <v>297</v>
      </c>
      <c r="D31" s="27"/>
      <c r="E31" s="611"/>
      <c r="F31" s="181" t="s">
        <v>20</v>
      </c>
      <c r="G31" s="313">
        <f>SUM(G32:G40)</f>
        <v>1500</v>
      </c>
      <c r="H31" s="313">
        <f t="shared" ref="H31:AE31" si="4">SUM(H32:H40)</f>
        <v>1500</v>
      </c>
      <c r="I31" s="313">
        <f t="shared" si="4"/>
        <v>1500</v>
      </c>
      <c r="J31" s="313">
        <f t="shared" si="4"/>
        <v>1500</v>
      </c>
      <c r="K31" s="313">
        <f t="shared" si="4"/>
        <v>1500</v>
      </c>
      <c r="L31" s="313">
        <f t="shared" si="4"/>
        <v>1500</v>
      </c>
      <c r="M31" s="313">
        <f t="shared" si="4"/>
        <v>1500</v>
      </c>
      <c r="N31" s="313">
        <f t="shared" si="4"/>
        <v>1500</v>
      </c>
      <c r="O31" s="313">
        <f t="shared" si="4"/>
        <v>1500</v>
      </c>
      <c r="P31" s="313">
        <f t="shared" si="4"/>
        <v>1500</v>
      </c>
      <c r="Q31" s="313">
        <f t="shared" si="4"/>
        <v>1500</v>
      </c>
      <c r="R31" s="313">
        <f t="shared" si="4"/>
        <v>1500</v>
      </c>
      <c r="S31" s="313">
        <f t="shared" si="4"/>
        <v>1500</v>
      </c>
      <c r="T31" s="313">
        <f t="shared" si="4"/>
        <v>1500</v>
      </c>
      <c r="U31" s="313">
        <f t="shared" si="4"/>
        <v>1500</v>
      </c>
      <c r="V31" s="313">
        <f t="shared" si="4"/>
        <v>1500</v>
      </c>
      <c r="W31" s="313">
        <f t="shared" si="4"/>
        <v>1500</v>
      </c>
      <c r="X31" s="313">
        <f t="shared" si="4"/>
        <v>1500</v>
      </c>
      <c r="Y31" s="313">
        <f t="shared" si="4"/>
        <v>1500</v>
      </c>
      <c r="Z31" s="313">
        <f t="shared" si="4"/>
        <v>1500</v>
      </c>
      <c r="AA31" s="313">
        <f t="shared" si="4"/>
        <v>1500</v>
      </c>
      <c r="AB31" s="313">
        <f t="shared" si="4"/>
        <v>1500</v>
      </c>
      <c r="AC31" s="313">
        <f t="shared" si="4"/>
        <v>1500</v>
      </c>
      <c r="AD31" s="313">
        <f t="shared" si="4"/>
        <v>1500</v>
      </c>
      <c r="AE31" s="313">
        <f t="shared" si="4"/>
        <v>1500</v>
      </c>
      <c r="AF31" s="311">
        <f t="shared" si="1"/>
        <v>37500</v>
      </c>
    </row>
    <row r="32" spans="1:33" s="521" customFormat="1" ht="12.75" x14ac:dyDescent="0.2">
      <c r="A32" s="209"/>
      <c r="B32" s="707" t="s">
        <v>298</v>
      </c>
      <c r="C32" s="929" t="str">
        <f>'6.DL Soc.ekon.analīze'!B17</f>
        <v>Zaudējumi...</v>
      </c>
      <c r="D32" s="983"/>
      <c r="E32" s="210">
        <v>0</v>
      </c>
      <c r="F32" s="181" t="s">
        <v>20</v>
      </c>
      <c r="G32" s="307">
        <f>'6.DL Soc.ekon.analīze'!D17*(1+$E32)</f>
        <v>1500</v>
      </c>
      <c r="H32" s="307">
        <f>'6.DL Soc.ekon.analīze'!E17*(1+$E32)</f>
        <v>1500</v>
      </c>
      <c r="I32" s="307">
        <f>'6.DL Soc.ekon.analīze'!F17*(1+$E32)</f>
        <v>1500</v>
      </c>
      <c r="J32" s="307">
        <f>'6.DL Soc.ekon.analīze'!G17*(1+$E32)</f>
        <v>1500</v>
      </c>
      <c r="K32" s="307">
        <f>'6.DL Soc.ekon.analīze'!H17*(1+$E32)</f>
        <v>1500</v>
      </c>
      <c r="L32" s="307">
        <f>'6.DL Soc.ekon.analīze'!I17*(1+$E32)</f>
        <v>1500</v>
      </c>
      <c r="M32" s="307">
        <f>'6.DL Soc.ekon.analīze'!J17*(1+$E32)</f>
        <v>1500</v>
      </c>
      <c r="N32" s="307">
        <f>'6.DL Soc.ekon.analīze'!K17*(1+$E32)</f>
        <v>1500</v>
      </c>
      <c r="O32" s="307">
        <f>'6.DL Soc.ekon.analīze'!L17*(1+$E32)</f>
        <v>1500</v>
      </c>
      <c r="P32" s="307">
        <f>'6.DL Soc.ekon.analīze'!M17*(1+$E32)</f>
        <v>1500</v>
      </c>
      <c r="Q32" s="307">
        <f>'6.DL Soc.ekon.analīze'!N17*(1+$E32)</f>
        <v>1500</v>
      </c>
      <c r="R32" s="307">
        <f>'6.DL Soc.ekon.analīze'!O17*(1+$E32)</f>
        <v>1500</v>
      </c>
      <c r="S32" s="307">
        <f>'6.DL Soc.ekon.analīze'!P17*(1+$E32)</f>
        <v>1500</v>
      </c>
      <c r="T32" s="307">
        <f>'6.DL Soc.ekon.analīze'!Q17*(1+$E32)</f>
        <v>1500</v>
      </c>
      <c r="U32" s="307">
        <f>'6.DL Soc.ekon.analīze'!R17*(1+$E32)</f>
        <v>1500</v>
      </c>
      <c r="V32" s="307">
        <f>'6.DL Soc.ekon.analīze'!S17*(1+$E32)</f>
        <v>1500</v>
      </c>
      <c r="W32" s="307">
        <f>'6.DL Soc.ekon.analīze'!T17*(1+$E32)</f>
        <v>1500</v>
      </c>
      <c r="X32" s="307">
        <f>'6.DL Soc.ekon.analīze'!U17*(1+$E32)</f>
        <v>1500</v>
      </c>
      <c r="Y32" s="307">
        <f>'6.DL Soc.ekon.analīze'!V17*(1+$E32)</f>
        <v>1500</v>
      </c>
      <c r="Z32" s="307">
        <f>'6.DL Soc.ekon.analīze'!W17*(1+$E32)</f>
        <v>1500</v>
      </c>
      <c r="AA32" s="307">
        <f>'6.DL Soc.ekon.analīze'!X17*(1+$E32)</f>
        <v>1500</v>
      </c>
      <c r="AB32" s="307">
        <f>'6.DL Soc.ekon.analīze'!Y17*(1+$E32)</f>
        <v>1500</v>
      </c>
      <c r="AC32" s="307">
        <f>'6.DL Soc.ekon.analīze'!Z17*(1+$E32)</f>
        <v>1500</v>
      </c>
      <c r="AD32" s="307">
        <f>'6.DL Soc.ekon.analīze'!AA17*(1+$E32)</f>
        <v>1500</v>
      </c>
      <c r="AE32" s="307">
        <f>'6.DL Soc.ekon.analīze'!AB17*(1+$E32)</f>
        <v>1500</v>
      </c>
      <c r="AF32" s="311">
        <f t="shared" si="1"/>
        <v>37500</v>
      </c>
      <c r="AG32" s="514"/>
    </row>
    <row r="33" spans="1:33" s="521" customFormat="1" ht="12.75" x14ac:dyDescent="0.2">
      <c r="A33" s="209"/>
      <c r="B33" s="707" t="s">
        <v>299</v>
      </c>
      <c r="C33" s="929" t="str">
        <f>'6.DL Soc.ekon.analīze'!B18</f>
        <v>Zaudējumi...</v>
      </c>
      <c r="D33" s="983"/>
      <c r="E33" s="210">
        <v>0</v>
      </c>
      <c r="F33" s="181" t="s">
        <v>20</v>
      </c>
      <c r="G33" s="307">
        <f>'6.DL Soc.ekon.analīze'!D18*(1+$E33)</f>
        <v>0</v>
      </c>
      <c r="H33" s="307">
        <f>'6.DL Soc.ekon.analīze'!E18*(1+$E33)</f>
        <v>0</v>
      </c>
      <c r="I33" s="307">
        <f>'6.DL Soc.ekon.analīze'!F18*(1+$E33)</f>
        <v>0</v>
      </c>
      <c r="J33" s="307">
        <f>'6.DL Soc.ekon.analīze'!G18*(1+$E33)</f>
        <v>0</v>
      </c>
      <c r="K33" s="307">
        <f>'6.DL Soc.ekon.analīze'!H18*(1+$E33)</f>
        <v>0</v>
      </c>
      <c r="L33" s="307">
        <f>'6.DL Soc.ekon.analīze'!I18*(1+$E33)</f>
        <v>0</v>
      </c>
      <c r="M33" s="307">
        <f>'6.DL Soc.ekon.analīze'!J18*(1+$E33)</f>
        <v>0</v>
      </c>
      <c r="N33" s="307">
        <f>'6.DL Soc.ekon.analīze'!K18*(1+$E33)</f>
        <v>0</v>
      </c>
      <c r="O33" s="307">
        <f>'6.DL Soc.ekon.analīze'!L18*(1+$E33)</f>
        <v>0</v>
      </c>
      <c r="P33" s="307">
        <f>'6.DL Soc.ekon.analīze'!M18*(1+$E33)</f>
        <v>0</v>
      </c>
      <c r="Q33" s="307">
        <f>'6.DL Soc.ekon.analīze'!N18*(1+$E33)</f>
        <v>0</v>
      </c>
      <c r="R33" s="307">
        <f>'6.DL Soc.ekon.analīze'!O18*(1+$E33)</f>
        <v>0</v>
      </c>
      <c r="S33" s="307">
        <f>'6.DL Soc.ekon.analīze'!P18*(1+$E33)</f>
        <v>0</v>
      </c>
      <c r="T33" s="307">
        <f>'6.DL Soc.ekon.analīze'!Q18*(1+$E33)</f>
        <v>0</v>
      </c>
      <c r="U33" s="307">
        <f>'6.DL Soc.ekon.analīze'!R18*(1+$E33)</f>
        <v>0</v>
      </c>
      <c r="V33" s="307">
        <f>'6.DL Soc.ekon.analīze'!S18*(1+$E33)</f>
        <v>0</v>
      </c>
      <c r="W33" s="307">
        <f>'6.DL Soc.ekon.analīze'!T18*(1+$E33)</f>
        <v>0</v>
      </c>
      <c r="X33" s="307">
        <f>'6.DL Soc.ekon.analīze'!U18*(1+$E33)</f>
        <v>0</v>
      </c>
      <c r="Y33" s="307">
        <f>'6.DL Soc.ekon.analīze'!V18*(1+$E33)</f>
        <v>0</v>
      </c>
      <c r="Z33" s="307">
        <f>'6.DL Soc.ekon.analīze'!W18*(1+$E33)</f>
        <v>0</v>
      </c>
      <c r="AA33" s="307">
        <f>'6.DL Soc.ekon.analīze'!X18*(1+$E33)</f>
        <v>0</v>
      </c>
      <c r="AB33" s="307">
        <f>'6.DL Soc.ekon.analīze'!Y18*(1+$E33)</f>
        <v>0</v>
      </c>
      <c r="AC33" s="307">
        <f>'6.DL Soc.ekon.analīze'!Z18*(1+$E33)</f>
        <v>0</v>
      </c>
      <c r="AD33" s="307">
        <f>'6.DL Soc.ekon.analīze'!AA18*(1+$E33)</f>
        <v>0</v>
      </c>
      <c r="AE33" s="307">
        <f>'6.DL Soc.ekon.analīze'!AB18*(1+$E33)</f>
        <v>0</v>
      </c>
      <c r="AF33" s="311">
        <f t="shared" si="1"/>
        <v>0</v>
      </c>
      <c r="AG33" s="514"/>
    </row>
    <row r="34" spans="1:33" s="521" customFormat="1" ht="12.75" x14ac:dyDescent="0.2">
      <c r="A34" s="209"/>
      <c r="B34" s="707" t="s">
        <v>300</v>
      </c>
      <c r="C34" s="929" t="str">
        <f>'6.DL Soc.ekon.analīze'!B19</f>
        <v>Zaudējumi...</v>
      </c>
      <c r="D34" s="983"/>
      <c r="E34" s="210">
        <v>0</v>
      </c>
      <c r="F34" s="181" t="s">
        <v>20</v>
      </c>
      <c r="G34" s="307">
        <f>'6.DL Soc.ekon.analīze'!D19*(1+$E34)</f>
        <v>0</v>
      </c>
      <c r="H34" s="307">
        <f>'6.DL Soc.ekon.analīze'!E19*(1+$E34)</f>
        <v>0</v>
      </c>
      <c r="I34" s="307">
        <f>'6.DL Soc.ekon.analīze'!F19*(1+$E34)</f>
        <v>0</v>
      </c>
      <c r="J34" s="307">
        <f>'6.DL Soc.ekon.analīze'!G19*(1+$E34)</f>
        <v>0</v>
      </c>
      <c r="K34" s="307">
        <f>'6.DL Soc.ekon.analīze'!H19*(1+$E34)</f>
        <v>0</v>
      </c>
      <c r="L34" s="307">
        <f>'6.DL Soc.ekon.analīze'!I19*(1+$E34)</f>
        <v>0</v>
      </c>
      <c r="M34" s="307">
        <f>'6.DL Soc.ekon.analīze'!J19*(1+$E34)</f>
        <v>0</v>
      </c>
      <c r="N34" s="307">
        <f>'6.DL Soc.ekon.analīze'!K19*(1+$E34)</f>
        <v>0</v>
      </c>
      <c r="O34" s="307">
        <f>'6.DL Soc.ekon.analīze'!L19*(1+$E34)</f>
        <v>0</v>
      </c>
      <c r="P34" s="307">
        <f>'6.DL Soc.ekon.analīze'!M19*(1+$E34)</f>
        <v>0</v>
      </c>
      <c r="Q34" s="307">
        <f>'6.DL Soc.ekon.analīze'!N19*(1+$E34)</f>
        <v>0</v>
      </c>
      <c r="R34" s="307">
        <f>'6.DL Soc.ekon.analīze'!O19*(1+$E34)</f>
        <v>0</v>
      </c>
      <c r="S34" s="307">
        <f>'6.DL Soc.ekon.analīze'!P19*(1+$E34)</f>
        <v>0</v>
      </c>
      <c r="T34" s="307">
        <f>'6.DL Soc.ekon.analīze'!Q19*(1+$E34)</f>
        <v>0</v>
      </c>
      <c r="U34" s="307">
        <f>'6.DL Soc.ekon.analīze'!R19*(1+$E34)</f>
        <v>0</v>
      </c>
      <c r="V34" s="307">
        <f>'6.DL Soc.ekon.analīze'!S19*(1+$E34)</f>
        <v>0</v>
      </c>
      <c r="W34" s="307">
        <f>'6.DL Soc.ekon.analīze'!T19*(1+$E34)</f>
        <v>0</v>
      </c>
      <c r="X34" s="307">
        <f>'6.DL Soc.ekon.analīze'!U19*(1+$E34)</f>
        <v>0</v>
      </c>
      <c r="Y34" s="307">
        <f>'6.DL Soc.ekon.analīze'!V19*(1+$E34)</f>
        <v>0</v>
      </c>
      <c r="Z34" s="307">
        <f>'6.DL Soc.ekon.analīze'!W19*(1+$E34)</f>
        <v>0</v>
      </c>
      <c r="AA34" s="307">
        <f>'6.DL Soc.ekon.analīze'!X19*(1+$E34)</f>
        <v>0</v>
      </c>
      <c r="AB34" s="307">
        <f>'6.DL Soc.ekon.analīze'!Y19*(1+$E34)</f>
        <v>0</v>
      </c>
      <c r="AC34" s="307">
        <f>'6.DL Soc.ekon.analīze'!Z19*(1+$E34)</f>
        <v>0</v>
      </c>
      <c r="AD34" s="307">
        <f>'6.DL Soc.ekon.analīze'!AA19*(1+$E34)</f>
        <v>0</v>
      </c>
      <c r="AE34" s="307">
        <f>'6.DL Soc.ekon.analīze'!AB19*(1+$E34)</f>
        <v>0</v>
      </c>
      <c r="AF34" s="311">
        <f t="shared" si="1"/>
        <v>0</v>
      </c>
      <c r="AG34" s="514"/>
    </row>
    <row r="35" spans="1:33" s="521" customFormat="1" ht="12.75" x14ac:dyDescent="0.2">
      <c r="A35" s="209"/>
      <c r="B35" s="707" t="s">
        <v>301</v>
      </c>
      <c r="C35" s="929" t="str">
        <f>'6.DL Soc.ekon.analīze'!B20</f>
        <v>Zaudējumi...</v>
      </c>
      <c r="D35" s="983"/>
      <c r="E35" s="210">
        <v>0</v>
      </c>
      <c r="F35" s="181" t="s">
        <v>20</v>
      </c>
      <c r="G35" s="307">
        <f>'6.DL Soc.ekon.analīze'!D20*(1+$E35)</f>
        <v>0</v>
      </c>
      <c r="H35" s="307">
        <f>'6.DL Soc.ekon.analīze'!E20*(1+$E35)</f>
        <v>0</v>
      </c>
      <c r="I35" s="307">
        <f>'6.DL Soc.ekon.analīze'!F20*(1+$E35)</f>
        <v>0</v>
      </c>
      <c r="J35" s="307">
        <f>'6.DL Soc.ekon.analīze'!G20*(1+$E35)</f>
        <v>0</v>
      </c>
      <c r="K35" s="307">
        <f>'6.DL Soc.ekon.analīze'!H20*(1+$E35)</f>
        <v>0</v>
      </c>
      <c r="L35" s="307">
        <f>'6.DL Soc.ekon.analīze'!I20*(1+$E35)</f>
        <v>0</v>
      </c>
      <c r="M35" s="307">
        <f>'6.DL Soc.ekon.analīze'!J20*(1+$E35)</f>
        <v>0</v>
      </c>
      <c r="N35" s="307">
        <f>'6.DL Soc.ekon.analīze'!K20*(1+$E35)</f>
        <v>0</v>
      </c>
      <c r="O35" s="307">
        <f>'6.DL Soc.ekon.analīze'!L20*(1+$E35)</f>
        <v>0</v>
      </c>
      <c r="P35" s="307">
        <f>'6.DL Soc.ekon.analīze'!M20*(1+$E35)</f>
        <v>0</v>
      </c>
      <c r="Q35" s="307">
        <f>'6.DL Soc.ekon.analīze'!N20*(1+$E35)</f>
        <v>0</v>
      </c>
      <c r="R35" s="307">
        <f>'6.DL Soc.ekon.analīze'!O20*(1+$E35)</f>
        <v>0</v>
      </c>
      <c r="S35" s="307">
        <f>'6.DL Soc.ekon.analīze'!P20*(1+$E35)</f>
        <v>0</v>
      </c>
      <c r="T35" s="307">
        <f>'6.DL Soc.ekon.analīze'!Q20*(1+$E35)</f>
        <v>0</v>
      </c>
      <c r="U35" s="307">
        <f>'6.DL Soc.ekon.analīze'!R20*(1+$E35)</f>
        <v>0</v>
      </c>
      <c r="V35" s="307">
        <f>'6.DL Soc.ekon.analīze'!S20*(1+$E35)</f>
        <v>0</v>
      </c>
      <c r="W35" s="307">
        <f>'6.DL Soc.ekon.analīze'!T20*(1+$E35)</f>
        <v>0</v>
      </c>
      <c r="X35" s="307">
        <f>'6.DL Soc.ekon.analīze'!U20*(1+$E35)</f>
        <v>0</v>
      </c>
      <c r="Y35" s="307">
        <f>'6.DL Soc.ekon.analīze'!V20*(1+$E35)</f>
        <v>0</v>
      </c>
      <c r="Z35" s="307">
        <f>'6.DL Soc.ekon.analīze'!W20*(1+$E35)</f>
        <v>0</v>
      </c>
      <c r="AA35" s="307">
        <f>'6.DL Soc.ekon.analīze'!X20*(1+$E35)</f>
        <v>0</v>
      </c>
      <c r="AB35" s="307">
        <f>'6.DL Soc.ekon.analīze'!Y20*(1+$E35)</f>
        <v>0</v>
      </c>
      <c r="AC35" s="307">
        <f>'6.DL Soc.ekon.analīze'!Z20*(1+$E35)</f>
        <v>0</v>
      </c>
      <c r="AD35" s="307">
        <f>'6.DL Soc.ekon.analīze'!AA20*(1+$E35)</f>
        <v>0</v>
      </c>
      <c r="AE35" s="307">
        <f>'6.DL Soc.ekon.analīze'!AB20*(1+$E35)</f>
        <v>0</v>
      </c>
      <c r="AF35" s="311">
        <f t="shared" si="1"/>
        <v>0</v>
      </c>
      <c r="AG35" s="514"/>
    </row>
    <row r="36" spans="1:33" s="521" customFormat="1" ht="12.75" x14ac:dyDescent="0.2">
      <c r="A36" s="209"/>
      <c r="B36" s="707" t="s">
        <v>302</v>
      </c>
      <c r="C36" s="929" t="str">
        <f>'6.DL Soc.ekon.analīze'!B21</f>
        <v>Zaudējumi...</v>
      </c>
      <c r="D36" s="983"/>
      <c r="E36" s="210">
        <v>0</v>
      </c>
      <c r="F36" s="181" t="s">
        <v>20</v>
      </c>
      <c r="G36" s="307">
        <f>'6.DL Soc.ekon.analīze'!D21*(1+$E36)</f>
        <v>0</v>
      </c>
      <c r="H36" s="307">
        <f>'6.DL Soc.ekon.analīze'!E21*(1+$E36)</f>
        <v>0</v>
      </c>
      <c r="I36" s="307">
        <f>'6.DL Soc.ekon.analīze'!F21*(1+$E36)</f>
        <v>0</v>
      </c>
      <c r="J36" s="307">
        <f>'6.DL Soc.ekon.analīze'!G21*(1+$E36)</f>
        <v>0</v>
      </c>
      <c r="K36" s="307">
        <f>'6.DL Soc.ekon.analīze'!H21*(1+$E36)</f>
        <v>0</v>
      </c>
      <c r="L36" s="307">
        <f>'6.DL Soc.ekon.analīze'!I21*(1+$E36)</f>
        <v>0</v>
      </c>
      <c r="M36" s="307">
        <f>'6.DL Soc.ekon.analīze'!J21*(1+$E36)</f>
        <v>0</v>
      </c>
      <c r="N36" s="307">
        <f>'6.DL Soc.ekon.analīze'!K21*(1+$E36)</f>
        <v>0</v>
      </c>
      <c r="O36" s="307">
        <f>'6.DL Soc.ekon.analīze'!L21*(1+$E36)</f>
        <v>0</v>
      </c>
      <c r="P36" s="307">
        <f>'6.DL Soc.ekon.analīze'!M21*(1+$E36)</f>
        <v>0</v>
      </c>
      <c r="Q36" s="307">
        <f>'6.DL Soc.ekon.analīze'!N21*(1+$E36)</f>
        <v>0</v>
      </c>
      <c r="R36" s="307">
        <f>'6.DL Soc.ekon.analīze'!O21*(1+$E36)</f>
        <v>0</v>
      </c>
      <c r="S36" s="307">
        <f>'6.DL Soc.ekon.analīze'!P21*(1+$E36)</f>
        <v>0</v>
      </c>
      <c r="T36" s="307">
        <f>'6.DL Soc.ekon.analīze'!Q21*(1+$E36)</f>
        <v>0</v>
      </c>
      <c r="U36" s="307">
        <f>'6.DL Soc.ekon.analīze'!R21*(1+$E36)</f>
        <v>0</v>
      </c>
      <c r="V36" s="307">
        <f>'6.DL Soc.ekon.analīze'!S21*(1+$E36)</f>
        <v>0</v>
      </c>
      <c r="W36" s="307">
        <f>'6.DL Soc.ekon.analīze'!T21*(1+$E36)</f>
        <v>0</v>
      </c>
      <c r="X36" s="307">
        <f>'6.DL Soc.ekon.analīze'!U21*(1+$E36)</f>
        <v>0</v>
      </c>
      <c r="Y36" s="307">
        <f>'6.DL Soc.ekon.analīze'!V21*(1+$E36)</f>
        <v>0</v>
      </c>
      <c r="Z36" s="307">
        <f>'6.DL Soc.ekon.analīze'!W21*(1+$E36)</f>
        <v>0</v>
      </c>
      <c r="AA36" s="307">
        <f>'6.DL Soc.ekon.analīze'!X21*(1+$E36)</f>
        <v>0</v>
      </c>
      <c r="AB36" s="307">
        <f>'6.DL Soc.ekon.analīze'!Y21*(1+$E36)</f>
        <v>0</v>
      </c>
      <c r="AC36" s="307">
        <f>'6.DL Soc.ekon.analīze'!Z21*(1+$E36)</f>
        <v>0</v>
      </c>
      <c r="AD36" s="307">
        <f>'6.DL Soc.ekon.analīze'!AA21*(1+$E36)</f>
        <v>0</v>
      </c>
      <c r="AE36" s="307">
        <f>'6.DL Soc.ekon.analīze'!AB21*(1+$E36)</f>
        <v>0</v>
      </c>
      <c r="AF36" s="311">
        <f t="shared" si="1"/>
        <v>0</v>
      </c>
      <c r="AG36" s="514"/>
    </row>
    <row r="37" spans="1:33" s="521" customFormat="1" ht="12.75" x14ac:dyDescent="0.2">
      <c r="A37" s="209"/>
      <c r="B37" s="707" t="s">
        <v>303</v>
      </c>
      <c r="C37" s="929" t="str">
        <f>'6.DL Soc.ekon.analīze'!B22</f>
        <v>Zaudējumi...</v>
      </c>
      <c r="D37" s="983"/>
      <c r="E37" s="210">
        <v>0</v>
      </c>
      <c r="F37" s="181" t="s">
        <v>20</v>
      </c>
      <c r="G37" s="307">
        <f>'6.DL Soc.ekon.analīze'!D22*(1+$E37)</f>
        <v>0</v>
      </c>
      <c r="H37" s="307">
        <f>'6.DL Soc.ekon.analīze'!E22*(1+$E37)</f>
        <v>0</v>
      </c>
      <c r="I37" s="307">
        <f>'6.DL Soc.ekon.analīze'!F22*(1+$E37)</f>
        <v>0</v>
      </c>
      <c r="J37" s="307">
        <f>'6.DL Soc.ekon.analīze'!G22*(1+$E37)</f>
        <v>0</v>
      </c>
      <c r="K37" s="307">
        <f>'6.DL Soc.ekon.analīze'!H22*(1+$E37)</f>
        <v>0</v>
      </c>
      <c r="L37" s="307">
        <f>'6.DL Soc.ekon.analīze'!I22*(1+$E37)</f>
        <v>0</v>
      </c>
      <c r="M37" s="307">
        <f>'6.DL Soc.ekon.analīze'!J22*(1+$E37)</f>
        <v>0</v>
      </c>
      <c r="N37" s="307">
        <f>'6.DL Soc.ekon.analīze'!K22*(1+$E37)</f>
        <v>0</v>
      </c>
      <c r="O37" s="307">
        <f>'6.DL Soc.ekon.analīze'!L22*(1+$E37)</f>
        <v>0</v>
      </c>
      <c r="P37" s="307">
        <f>'6.DL Soc.ekon.analīze'!M22*(1+$E37)</f>
        <v>0</v>
      </c>
      <c r="Q37" s="307">
        <f>'6.DL Soc.ekon.analīze'!N22*(1+$E37)</f>
        <v>0</v>
      </c>
      <c r="R37" s="307">
        <f>'6.DL Soc.ekon.analīze'!O22*(1+$E37)</f>
        <v>0</v>
      </c>
      <c r="S37" s="307">
        <f>'6.DL Soc.ekon.analīze'!P22*(1+$E37)</f>
        <v>0</v>
      </c>
      <c r="T37" s="307">
        <f>'6.DL Soc.ekon.analīze'!Q22*(1+$E37)</f>
        <v>0</v>
      </c>
      <c r="U37" s="307">
        <f>'6.DL Soc.ekon.analīze'!R22*(1+$E37)</f>
        <v>0</v>
      </c>
      <c r="V37" s="307">
        <f>'6.DL Soc.ekon.analīze'!S22*(1+$E37)</f>
        <v>0</v>
      </c>
      <c r="W37" s="307">
        <f>'6.DL Soc.ekon.analīze'!T22*(1+$E37)</f>
        <v>0</v>
      </c>
      <c r="X37" s="307">
        <f>'6.DL Soc.ekon.analīze'!U22*(1+$E37)</f>
        <v>0</v>
      </c>
      <c r="Y37" s="307">
        <f>'6.DL Soc.ekon.analīze'!V22*(1+$E37)</f>
        <v>0</v>
      </c>
      <c r="Z37" s="307">
        <f>'6.DL Soc.ekon.analīze'!W22*(1+$E37)</f>
        <v>0</v>
      </c>
      <c r="AA37" s="307">
        <f>'6.DL Soc.ekon.analīze'!X22*(1+$E37)</f>
        <v>0</v>
      </c>
      <c r="AB37" s="307">
        <f>'6.DL Soc.ekon.analīze'!Y22*(1+$E37)</f>
        <v>0</v>
      </c>
      <c r="AC37" s="307">
        <f>'6.DL Soc.ekon.analīze'!Z22*(1+$E37)</f>
        <v>0</v>
      </c>
      <c r="AD37" s="307">
        <f>'6.DL Soc.ekon.analīze'!AA22*(1+$E37)</f>
        <v>0</v>
      </c>
      <c r="AE37" s="307">
        <f>'6.DL Soc.ekon.analīze'!AB22*(1+$E37)</f>
        <v>0</v>
      </c>
      <c r="AF37" s="311">
        <f t="shared" si="1"/>
        <v>0</v>
      </c>
      <c r="AG37" s="514"/>
    </row>
    <row r="38" spans="1:33" s="521" customFormat="1" ht="12.75" x14ac:dyDescent="0.2">
      <c r="A38" s="209"/>
      <c r="B38" s="707" t="s">
        <v>304</v>
      </c>
      <c r="C38" s="929" t="str">
        <f>'6.DL Soc.ekon.analīze'!B23</f>
        <v>Zaudējumi...</v>
      </c>
      <c r="D38" s="983"/>
      <c r="E38" s="210">
        <v>0</v>
      </c>
      <c r="F38" s="181" t="s">
        <v>20</v>
      </c>
      <c r="G38" s="307">
        <f>'6.DL Soc.ekon.analīze'!D23*(1+$E38)</f>
        <v>0</v>
      </c>
      <c r="H38" s="307">
        <f>'6.DL Soc.ekon.analīze'!E23*(1+$E38)</f>
        <v>0</v>
      </c>
      <c r="I38" s="307">
        <f>'6.DL Soc.ekon.analīze'!F23*(1+$E38)</f>
        <v>0</v>
      </c>
      <c r="J38" s="307">
        <f>'6.DL Soc.ekon.analīze'!G23*(1+$E38)</f>
        <v>0</v>
      </c>
      <c r="K38" s="307">
        <f>'6.DL Soc.ekon.analīze'!H23*(1+$E38)</f>
        <v>0</v>
      </c>
      <c r="L38" s="307">
        <f>'6.DL Soc.ekon.analīze'!I23*(1+$E38)</f>
        <v>0</v>
      </c>
      <c r="M38" s="307">
        <f>'6.DL Soc.ekon.analīze'!J23*(1+$E38)</f>
        <v>0</v>
      </c>
      <c r="N38" s="307">
        <f>'6.DL Soc.ekon.analīze'!K23*(1+$E38)</f>
        <v>0</v>
      </c>
      <c r="O38" s="307">
        <f>'6.DL Soc.ekon.analīze'!L23*(1+$E38)</f>
        <v>0</v>
      </c>
      <c r="P38" s="307">
        <f>'6.DL Soc.ekon.analīze'!M23*(1+$E38)</f>
        <v>0</v>
      </c>
      <c r="Q38" s="307">
        <f>'6.DL Soc.ekon.analīze'!N23*(1+$E38)</f>
        <v>0</v>
      </c>
      <c r="R38" s="307">
        <f>'6.DL Soc.ekon.analīze'!O23*(1+$E38)</f>
        <v>0</v>
      </c>
      <c r="S38" s="307">
        <f>'6.DL Soc.ekon.analīze'!P23*(1+$E38)</f>
        <v>0</v>
      </c>
      <c r="T38" s="307">
        <f>'6.DL Soc.ekon.analīze'!Q23*(1+$E38)</f>
        <v>0</v>
      </c>
      <c r="U38" s="307">
        <f>'6.DL Soc.ekon.analīze'!R23*(1+$E38)</f>
        <v>0</v>
      </c>
      <c r="V38" s="307">
        <f>'6.DL Soc.ekon.analīze'!S23*(1+$E38)</f>
        <v>0</v>
      </c>
      <c r="W38" s="307">
        <f>'6.DL Soc.ekon.analīze'!T23*(1+$E38)</f>
        <v>0</v>
      </c>
      <c r="X38" s="307">
        <f>'6.DL Soc.ekon.analīze'!U23*(1+$E38)</f>
        <v>0</v>
      </c>
      <c r="Y38" s="307">
        <f>'6.DL Soc.ekon.analīze'!V23*(1+$E38)</f>
        <v>0</v>
      </c>
      <c r="Z38" s="307">
        <f>'6.DL Soc.ekon.analīze'!W23*(1+$E38)</f>
        <v>0</v>
      </c>
      <c r="AA38" s="307">
        <f>'6.DL Soc.ekon.analīze'!X23*(1+$E38)</f>
        <v>0</v>
      </c>
      <c r="AB38" s="307">
        <f>'6.DL Soc.ekon.analīze'!Y23*(1+$E38)</f>
        <v>0</v>
      </c>
      <c r="AC38" s="307">
        <f>'6.DL Soc.ekon.analīze'!Z23*(1+$E38)</f>
        <v>0</v>
      </c>
      <c r="AD38" s="307">
        <f>'6.DL Soc.ekon.analīze'!AA23*(1+$E38)</f>
        <v>0</v>
      </c>
      <c r="AE38" s="307">
        <f>'6.DL Soc.ekon.analīze'!AB23*(1+$E38)</f>
        <v>0</v>
      </c>
      <c r="AF38" s="311">
        <f t="shared" si="1"/>
        <v>0</v>
      </c>
      <c r="AG38" s="514"/>
    </row>
    <row r="39" spans="1:33" s="521" customFormat="1" ht="12.75" x14ac:dyDescent="0.2">
      <c r="A39" s="209"/>
      <c r="B39" s="707" t="s">
        <v>305</v>
      </c>
      <c r="C39" s="929" t="str">
        <f>'6.DL Soc.ekon.analīze'!B24</f>
        <v>Zaudējumi...</v>
      </c>
      <c r="D39" s="983"/>
      <c r="E39" s="210">
        <v>0</v>
      </c>
      <c r="F39" s="181" t="s">
        <v>20</v>
      </c>
      <c r="G39" s="307">
        <f>'6.DL Soc.ekon.analīze'!D24*(1+$E39)</f>
        <v>0</v>
      </c>
      <c r="H39" s="307">
        <f>'6.DL Soc.ekon.analīze'!E24*(1+$E39)</f>
        <v>0</v>
      </c>
      <c r="I39" s="307">
        <f>'6.DL Soc.ekon.analīze'!F24*(1+$E39)</f>
        <v>0</v>
      </c>
      <c r="J39" s="307">
        <f>'6.DL Soc.ekon.analīze'!G24*(1+$E39)</f>
        <v>0</v>
      </c>
      <c r="K39" s="307">
        <f>'6.DL Soc.ekon.analīze'!H24*(1+$E39)</f>
        <v>0</v>
      </c>
      <c r="L39" s="307">
        <f>'6.DL Soc.ekon.analīze'!I24*(1+$E39)</f>
        <v>0</v>
      </c>
      <c r="M39" s="307">
        <f>'6.DL Soc.ekon.analīze'!J24*(1+$E39)</f>
        <v>0</v>
      </c>
      <c r="N39" s="307">
        <f>'6.DL Soc.ekon.analīze'!K24*(1+$E39)</f>
        <v>0</v>
      </c>
      <c r="O39" s="307">
        <f>'6.DL Soc.ekon.analīze'!L24*(1+$E39)</f>
        <v>0</v>
      </c>
      <c r="P39" s="307">
        <f>'6.DL Soc.ekon.analīze'!M24*(1+$E39)</f>
        <v>0</v>
      </c>
      <c r="Q39" s="307">
        <f>'6.DL Soc.ekon.analīze'!N24*(1+$E39)</f>
        <v>0</v>
      </c>
      <c r="R39" s="307">
        <f>'6.DL Soc.ekon.analīze'!O24*(1+$E39)</f>
        <v>0</v>
      </c>
      <c r="S39" s="307">
        <f>'6.DL Soc.ekon.analīze'!P24*(1+$E39)</f>
        <v>0</v>
      </c>
      <c r="T39" s="307">
        <f>'6.DL Soc.ekon.analīze'!Q24*(1+$E39)</f>
        <v>0</v>
      </c>
      <c r="U39" s="307">
        <f>'6.DL Soc.ekon.analīze'!R24*(1+$E39)</f>
        <v>0</v>
      </c>
      <c r="V39" s="307">
        <f>'6.DL Soc.ekon.analīze'!S24*(1+$E39)</f>
        <v>0</v>
      </c>
      <c r="W39" s="307">
        <f>'6.DL Soc.ekon.analīze'!T24*(1+$E39)</f>
        <v>0</v>
      </c>
      <c r="X39" s="307">
        <f>'6.DL Soc.ekon.analīze'!U24*(1+$E39)</f>
        <v>0</v>
      </c>
      <c r="Y39" s="307">
        <f>'6.DL Soc.ekon.analīze'!V24*(1+$E39)</f>
        <v>0</v>
      </c>
      <c r="Z39" s="307">
        <f>'6.DL Soc.ekon.analīze'!W24*(1+$E39)</f>
        <v>0</v>
      </c>
      <c r="AA39" s="307">
        <f>'6.DL Soc.ekon.analīze'!X24*(1+$E39)</f>
        <v>0</v>
      </c>
      <c r="AB39" s="307">
        <f>'6.DL Soc.ekon.analīze'!Y24*(1+$E39)</f>
        <v>0</v>
      </c>
      <c r="AC39" s="307">
        <f>'6.DL Soc.ekon.analīze'!Z24*(1+$E39)</f>
        <v>0</v>
      </c>
      <c r="AD39" s="307">
        <f>'6.DL Soc.ekon.analīze'!AA24*(1+$E39)</f>
        <v>0</v>
      </c>
      <c r="AE39" s="307">
        <f>'6.DL Soc.ekon.analīze'!AB24*(1+$E39)</f>
        <v>0</v>
      </c>
      <c r="AF39" s="311">
        <f t="shared" si="1"/>
        <v>0</v>
      </c>
      <c r="AG39" s="514"/>
    </row>
    <row r="40" spans="1:33" s="521" customFormat="1" ht="12.75" x14ac:dyDescent="0.2">
      <c r="A40" s="209"/>
      <c r="B40" s="707" t="s">
        <v>306</v>
      </c>
      <c r="C40" s="929" t="str">
        <f>'6.DL Soc.ekon.analīze'!B25</f>
        <v>Zaudējumi...</v>
      </c>
      <c r="D40" s="983"/>
      <c r="E40" s="210">
        <v>0</v>
      </c>
      <c r="F40" s="181" t="s">
        <v>20</v>
      </c>
      <c r="G40" s="307">
        <f>'6.DL Soc.ekon.analīze'!D25*(1+$E40)</f>
        <v>0</v>
      </c>
      <c r="H40" s="307">
        <f>'6.DL Soc.ekon.analīze'!E25*(1+$E40)</f>
        <v>0</v>
      </c>
      <c r="I40" s="307">
        <f>'6.DL Soc.ekon.analīze'!F25*(1+$E40)</f>
        <v>0</v>
      </c>
      <c r="J40" s="307">
        <f>'6.DL Soc.ekon.analīze'!G25*(1+$E40)</f>
        <v>0</v>
      </c>
      <c r="K40" s="307">
        <f>'6.DL Soc.ekon.analīze'!H25*(1+$E40)</f>
        <v>0</v>
      </c>
      <c r="L40" s="307">
        <f>'6.DL Soc.ekon.analīze'!I25*(1+$E40)</f>
        <v>0</v>
      </c>
      <c r="M40" s="307">
        <f>'6.DL Soc.ekon.analīze'!J25*(1+$E40)</f>
        <v>0</v>
      </c>
      <c r="N40" s="307">
        <f>'6.DL Soc.ekon.analīze'!K25*(1+$E40)</f>
        <v>0</v>
      </c>
      <c r="O40" s="307">
        <f>'6.DL Soc.ekon.analīze'!L25*(1+$E40)</f>
        <v>0</v>
      </c>
      <c r="P40" s="307">
        <f>'6.DL Soc.ekon.analīze'!M25*(1+$E40)</f>
        <v>0</v>
      </c>
      <c r="Q40" s="307">
        <f>'6.DL Soc.ekon.analīze'!N25*(1+$E40)</f>
        <v>0</v>
      </c>
      <c r="R40" s="307">
        <f>'6.DL Soc.ekon.analīze'!O25*(1+$E40)</f>
        <v>0</v>
      </c>
      <c r="S40" s="307">
        <f>'6.DL Soc.ekon.analīze'!P25*(1+$E40)</f>
        <v>0</v>
      </c>
      <c r="T40" s="307">
        <f>'6.DL Soc.ekon.analīze'!Q25*(1+$E40)</f>
        <v>0</v>
      </c>
      <c r="U40" s="307">
        <f>'6.DL Soc.ekon.analīze'!R25*(1+$E40)</f>
        <v>0</v>
      </c>
      <c r="V40" s="307">
        <f>'6.DL Soc.ekon.analīze'!S25*(1+$E40)</f>
        <v>0</v>
      </c>
      <c r="W40" s="307">
        <f>'6.DL Soc.ekon.analīze'!T25*(1+$E40)</f>
        <v>0</v>
      </c>
      <c r="X40" s="307">
        <f>'6.DL Soc.ekon.analīze'!U25*(1+$E40)</f>
        <v>0</v>
      </c>
      <c r="Y40" s="307">
        <f>'6.DL Soc.ekon.analīze'!V25*(1+$E40)</f>
        <v>0</v>
      </c>
      <c r="Z40" s="307">
        <f>'6.DL Soc.ekon.analīze'!W25*(1+$E40)</f>
        <v>0</v>
      </c>
      <c r="AA40" s="307">
        <f>'6.DL Soc.ekon.analīze'!X25*(1+$E40)</f>
        <v>0</v>
      </c>
      <c r="AB40" s="307">
        <f>'6.DL Soc.ekon.analīze'!Y25*(1+$E40)</f>
        <v>0</v>
      </c>
      <c r="AC40" s="307">
        <f>'6.DL Soc.ekon.analīze'!Z25*(1+$E40)</f>
        <v>0</v>
      </c>
      <c r="AD40" s="307">
        <f>'6.DL Soc.ekon.analīze'!AA25*(1+$E40)</f>
        <v>0</v>
      </c>
      <c r="AE40" s="307">
        <f>'6.DL Soc.ekon.analīze'!AB25*(1+$E40)</f>
        <v>0</v>
      </c>
      <c r="AF40" s="311">
        <f t="shared" si="1"/>
        <v>0</v>
      </c>
      <c r="AG40" s="514"/>
    </row>
    <row r="41" spans="1:33" s="514" customFormat="1" ht="12.75" x14ac:dyDescent="0.2">
      <c r="A41" s="212"/>
      <c r="B41" s="711" t="s">
        <v>82</v>
      </c>
      <c r="C41" s="711" t="s">
        <v>108</v>
      </c>
      <c r="D41" s="160"/>
      <c r="E41" s="611"/>
      <c r="F41" s="181" t="s">
        <v>20</v>
      </c>
      <c r="G41" s="313">
        <f t="shared" ref="G41:AE41" si="5">SUM(G42:G44)</f>
        <v>0</v>
      </c>
      <c r="H41" s="313">
        <f t="shared" si="5"/>
        <v>0</v>
      </c>
      <c r="I41" s="313">
        <f t="shared" si="5"/>
        <v>0</v>
      </c>
      <c r="J41" s="313">
        <f t="shared" si="5"/>
        <v>0</v>
      </c>
      <c r="K41" s="313">
        <f t="shared" si="5"/>
        <v>0</v>
      </c>
      <c r="L41" s="313">
        <f t="shared" si="5"/>
        <v>0</v>
      </c>
      <c r="M41" s="313">
        <f t="shared" si="5"/>
        <v>0</v>
      </c>
      <c r="N41" s="313">
        <f t="shared" si="5"/>
        <v>0</v>
      </c>
      <c r="O41" s="313">
        <f t="shared" si="5"/>
        <v>0</v>
      </c>
      <c r="P41" s="313">
        <f t="shared" si="5"/>
        <v>0</v>
      </c>
      <c r="Q41" s="313">
        <f t="shared" si="5"/>
        <v>0</v>
      </c>
      <c r="R41" s="313">
        <f t="shared" si="5"/>
        <v>0</v>
      </c>
      <c r="S41" s="313">
        <f t="shared" si="5"/>
        <v>0</v>
      </c>
      <c r="T41" s="313">
        <f t="shared" si="5"/>
        <v>0</v>
      </c>
      <c r="U41" s="313">
        <f t="shared" si="5"/>
        <v>0</v>
      </c>
      <c r="V41" s="313">
        <f t="shared" si="5"/>
        <v>0</v>
      </c>
      <c r="W41" s="313">
        <f t="shared" si="5"/>
        <v>0</v>
      </c>
      <c r="X41" s="313">
        <f t="shared" si="5"/>
        <v>0</v>
      </c>
      <c r="Y41" s="313">
        <f t="shared" si="5"/>
        <v>0</v>
      </c>
      <c r="Z41" s="313">
        <f t="shared" si="5"/>
        <v>0</v>
      </c>
      <c r="AA41" s="313">
        <f t="shared" si="5"/>
        <v>0</v>
      </c>
      <c r="AB41" s="313">
        <f t="shared" si="5"/>
        <v>0</v>
      </c>
      <c r="AC41" s="313">
        <f t="shared" si="5"/>
        <v>0</v>
      </c>
      <c r="AD41" s="313">
        <f t="shared" si="5"/>
        <v>0</v>
      </c>
      <c r="AE41" s="313">
        <f t="shared" si="5"/>
        <v>0</v>
      </c>
      <c r="AF41" s="311">
        <f t="shared" si="1"/>
        <v>0</v>
      </c>
    </row>
    <row r="42" spans="1:33" s="521" customFormat="1" ht="41.25" customHeight="1" x14ac:dyDescent="0.2">
      <c r="A42" s="209"/>
      <c r="B42" s="707" t="s">
        <v>307</v>
      </c>
      <c r="C42" s="995" t="str">
        <f>'2.DL Naudas plūsma bez projekta'!B27</f>
        <v>Izdevumi, kas rodas saistībā ar sadzīves atkritumu apglabāšanas pakalpojumu sniegšanu</v>
      </c>
      <c r="D42" s="996"/>
      <c r="E42" s="210">
        <v>0</v>
      </c>
      <c r="F42" s="181" t="s">
        <v>20</v>
      </c>
      <c r="G42" s="307">
        <f>(('3.DL Naudas plūsma ar projektu'!E27-'2.DL Naudas plūsma bez projekta'!E27)*(1+$E42))</f>
        <v>0</v>
      </c>
      <c r="H42" s="307">
        <f>(('3.DL Naudas plūsma ar projektu'!F27-'2.DL Naudas plūsma bez projekta'!F27)*(1+$E42))</f>
        <v>0</v>
      </c>
      <c r="I42" s="307">
        <f>(('3.DL Naudas plūsma ar projektu'!G27-'2.DL Naudas plūsma bez projekta'!G27)*(1+$E42))</f>
        <v>0</v>
      </c>
      <c r="J42" s="307">
        <f>(('3.DL Naudas plūsma ar projektu'!H27-'2.DL Naudas plūsma bez projekta'!H27)*(1+$E42))</f>
        <v>0</v>
      </c>
      <c r="K42" s="307">
        <f>(('3.DL Naudas plūsma ar projektu'!I27-'2.DL Naudas plūsma bez projekta'!I27)*(1+$E42))</f>
        <v>0</v>
      </c>
      <c r="L42" s="307">
        <f>(('3.DL Naudas plūsma ar projektu'!J27-'2.DL Naudas plūsma bez projekta'!J27)*(1+$E42))</f>
        <v>0</v>
      </c>
      <c r="M42" s="307">
        <f>(('3.DL Naudas plūsma ar projektu'!K27-'2.DL Naudas plūsma bez projekta'!K27)*(1+$E42))</f>
        <v>0</v>
      </c>
      <c r="N42" s="307">
        <f>(('3.DL Naudas plūsma ar projektu'!L27-'2.DL Naudas plūsma bez projekta'!L27)*(1+$E42))</f>
        <v>0</v>
      </c>
      <c r="O42" s="307">
        <f>(('3.DL Naudas plūsma ar projektu'!M27-'2.DL Naudas plūsma bez projekta'!M27)*(1+$E42))</f>
        <v>0</v>
      </c>
      <c r="P42" s="307">
        <f>(('3.DL Naudas plūsma ar projektu'!N27-'2.DL Naudas plūsma bez projekta'!N27)*(1+$E42))</f>
        <v>0</v>
      </c>
      <c r="Q42" s="307">
        <f>(('3.DL Naudas plūsma ar projektu'!O27-'2.DL Naudas plūsma bez projekta'!O27)*(1+$E42))</f>
        <v>0</v>
      </c>
      <c r="R42" s="307">
        <f>(('3.DL Naudas plūsma ar projektu'!P27-'2.DL Naudas plūsma bez projekta'!P27)*(1+$E42))</f>
        <v>0</v>
      </c>
      <c r="S42" s="307">
        <f>(('3.DL Naudas plūsma ar projektu'!Q27-'2.DL Naudas plūsma bez projekta'!Q27)*(1+$E42))</f>
        <v>0</v>
      </c>
      <c r="T42" s="307">
        <f>(('3.DL Naudas plūsma ar projektu'!R27-'2.DL Naudas plūsma bez projekta'!R27)*(1+$E42))</f>
        <v>0</v>
      </c>
      <c r="U42" s="307">
        <f>(('3.DL Naudas plūsma ar projektu'!S27-'2.DL Naudas plūsma bez projekta'!S27)*(1+$E42))</f>
        <v>0</v>
      </c>
      <c r="V42" s="307">
        <f>(('3.DL Naudas plūsma ar projektu'!T27-'2.DL Naudas plūsma bez projekta'!T27)*(1+$E42))</f>
        <v>0</v>
      </c>
      <c r="W42" s="307">
        <f>(('3.DL Naudas plūsma ar projektu'!U27-'2.DL Naudas plūsma bez projekta'!U27)*(1+$E42))</f>
        <v>0</v>
      </c>
      <c r="X42" s="307">
        <f>(('3.DL Naudas plūsma ar projektu'!V27-'2.DL Naudas plūsma bez projekta'!V27)*(1+$E42))</f>
        <v>0</v>
      </c>
      <c r="Y42" s="307">
        <f>(('3.DL Naudas plūsma ar projektu'!W27-'2.DL Naudas plūsma bez projekta'!W27)*(1+$E42))</f>
        <v>0</v>
      </c>
      <c r="Z42" s="307">
        <f>(('3.DL Naudas plūsma ar projektu'!X27-'2.DL Naudas plūsma bez projekta'!X27)*(1+$E42))</f>
        <v>0</v>
      </c>
      <c r="AA42" s="307">
        <f>(('3.DL Naudas plūsma ar projektu'!Y27-'2.DL Naudas plūsma bez projekta'!Y27)*(1+$E42))</f>
        <v>0</v>
      </c>
      <c r="AB42" s="307">
        <f>(('3.DL Naudas plūsma ar projektu'!Z27-'2.DL Naudas plūsma bez projekta'!Z27)*(1+$E42))</f>
        <v>0</v>
      </c>
      <c r="AC42" s="307">
        <f>(('3.DL Naudas plūsma ar projektu'!AA27-'2.DL Naudas plūsma bez projekta'!AA27)*(1+$E42))</f>
        <v>0</v>
      </c>
      <c r="AD42" s="307">
        <f>(('3.DL Naudas plūsma ar projektu'!AB27-'2.DL Naudas plūsma bez projekta'!AB27)*(1+$E42))</f>
        <v>0</v>
      </c>
      <c r="AE42" s="307">
        <f>(('3.DL Naudas plūsma ar projektu'!AC27-'2.DL Naudas plūsma bez projekta'!AC27)*(1+$E42))</f>
        <v>0</v>
      </c>
      <c r="AF42" s="311">
        <f t="shared" si="1"/>
        <v>0</v>
      </c>
      <c r="AG42" s="514"/>
    </row>
    <row r="43" spans="1:33" s="521" customFormat="1" ht="32.25" customHeight="1" x14ac:dyDescent="0.2">
      <c r="A43" s="209"/>
      <c r="B43" s="707" t="s">
        <v>308</v>
      </c>
      <c r="C43" s="995" t="str">
        <f>'2.DL Naudas plūsma bez projekta'!B46</f>
        <v>Reģenerējamo sadzīves atkritumu sagatavošanas tirdzniecībai izmaksas</v>
      </c>
      <c r="D43" s="996"/>
      <c r="E43" s="210">
        <v>0</v>
      </c>
      <c r="F43" s="181" t="s">
        <v>20</v>
      </c>
      <c r="G43" s="307">
        <f>('3.DL Naudas plūsma ar projektu'!E46-'2.DL Naudas plūsma bez projekta'!E46)*(1+$E43)</f>
        <v>0</v>
      </c>
      <c r="H43" s="307">
        <f>('3.DL Naudas plūsma ar projektu'!F46-'2.DL Naudas plūsma bez projekta'!F46)*(1+$E43)</f>
        <v>0</v>
      </c>
      <c r="I43" s="307">
        <f>('3.DL Naudas plūsma ar projektu'!G46-'2.DL Naudas plūsma bez projekta'!G46)*(1+$E43)</f>
        <v>0</v>
      </c>
      <c r="J43" s="307">
        <f>('3.DL Naudas plūsma ar projektu'!H46-'2.DL Naudas plūsma bez projekta'!H46)*(1+$E43)</f>
        <v>0</v>
      </c>
      <c r="K43" s="307">
        <f>('3.DL Naudas plūsma ar projektu'!I46-'2.DL Naudas plūsma bez projekta'!I46)*(1+$E43)</f>
        <v>0</v>
      </c>
      <c r="L43" s="307">
        <f>('3.DL Naudas plūsma ar projektu'!J46-'2.DL Naudas plūsma bez projekta'!J46)*(1+$E43)</f>
        <v>0</v>
      </c>
      <c r="M43" s="307">
        <f>('3.DL Naudas plūsma ar projektu'!K46-'2.DL Naudas plūsma bez projekta'!K46)*(1+$E43)</f>
        <v>0</v>
      </c>
      <c r="N43" s="307">
        <f>('3.DL Naudas plūsma ar projektu'!L46-'2.DL Naudas plūsma bez projekta'!L46)*(1+$E43)</f>
        <v>0</v>
      </c>
      <c r="O43" s="307">
        <f>('3.DL Naudas plūsma ar projektu'!M46-'2.DL Naudas plūsma bez projekta'!M46)*(1+$E43)</f>
        <v>0</v>
      </c>
      <c r="P43" s="307">
        <f>('3.DL Naudas plūsma ar projektu'!N46-'2.DL Naudas plūsma bez projekta'!N46)*(1+$E43)</f>
        <v>0</v>
      </c>
      <c r="Q43" s="307">
        <f>('3.DL Naudas plūsma ar projektu'!O46-'2.DL Naudas plūsma bez projekta'!O46)*(1+$E43)</f>
        <v>0</v>
      </c>
      <c r="R43" s="307">
        <f>('3.DL Naudas plūsma ar projektu'!P46-'2.DL Naudas plūsma bez projekta'!P46)*(1+$E43)</f>
        <v>0</v>
      </c>
      <c r="S43" s="307">
        <f>('3.DL Naudas plūsma ar projektu'!Q46-'2.DL Naudas plūsma bez projekta'!Q46)*(1+$E43)</f>
        <v>0</v>
      </c>
      <c r="T43" s="307">
        <f>('3.DL Naudas plūsma ar projektu'!R46-'2.DL Naudas plūsma bez projekta'!R46)*(1+$E43)</f>
        <v>0</v>
      </c>
      <c r="U43" s="307">
        <f>('3.DL Naudas plūsma ar projektu'!S46-'2.DL Naudas plūsma bez projekta'!S46)*(1+$E43)</f>
        <v>0</v>
      </c>
      <c r="V43" s="307">
        <f>('3.DL Naudas plūsma ar projektu'!T46-'2.DL Naudas plūsma bez projekta'!T46)*(1+$E43)</f>
        <v>0</v>
      </c>
      <c r="W43" s="307">
        <f>('3.DL Naudas plūsma ar projektu'!U46-'2.DL Naudas plūsma bez projekta'!U46)*(1+$E43)</f>
        <v>0</v>
      </c>
      <c r="X43" s="307">
        <f>('3.DL Naudas plūsma ar projektu'!V46-'2.DL Naudas plūsma bez projekta'!V46)*(1+$E43)</f>
        <v>0</v>
      </c>
      <c r="Y43" s="307">
        <f>('3.DL Naudas plūsma ar projektu'!W46-'2.DL Naudas plūsma bez projekta'!W46)*(1+$E43)</f>
        <v>0</v>
      </c>
      <c r="Z43" s="307">
        <f>('3.DL Naudas plūsma ar projektu'!X46-'2.DL Naudas plūsma bez projekta'!X46)*(1+$E43)</f>
        <v>0</v>
      </c>
      <c r="AA43" s="307">
        <f>('3.DL Naudas plūsma ar projektu'!Y46-'2.DL Naudas plūsma bez projekta'!Y46)*(1+$E43)</f>
        <v>0</v>
      </c>
      <c r="AB43" s="307">
        <f>('3.DL Naudas plūsma ar projektu'!Z46-'2.DL Naudas plūsma bez projekta'!Z46)*(1+$E43)</f>
        <v>0</v>
      </c>
      <c r="AC43" s="307">
        <f>('3.DL Naudas plūsma ar projektu'!AA46-'2.DL Naudas plūsma bez projekta'!AA46)*(1+$E43)</f>
        <v>0</v>
      </c>
      <c r="AD43" s="307">
        <f>('3.DL Naudas plūsma ar projektu'!AB46-'2.DL Naudas plūsma bez projekta'!AB46)*(1+$E43)</f>
        <v>0</v>
      </c>
      <c r="AE43" s="307">
        <f>('3.DL Naudas plūsma ar projektu'!AC46-'2.DL Naudas plūsma bez projekta'!AC46)*(1+$E43)</f>
        <v>0</v>
      </c>
      <c r="AF43" s="311">
        <f t="shared" si="1"/>
        <v>0</v>
      </c>
      <c r="AG43" s="514"/>
    </row>
    <row r="44" spans="1:33" s="521" customFormat="1" ht="54.75" customHeight="1" x14ac:dyDescent="0.2">
      <c r="A44" s="209"/>
      <c r="B44" s="707" t="s">
        <v>309</v>
      </c>
      <c r="C44" s="995" t="str">
        <f>'2.DL Naudas plūsma bez projekta'!B47</f>
        <v>Pārējās saimnieciskās darbības izmaksas, kas nav saistītas ar sadzīves atkritumu apglabāšanas pakalpojumu sniegšanu</v>
      </c>
      <c r="D44" s="996"/>
      <c r="E44" s="210">
        <v>0</v>
      </c>
      <c r="F44" s="181" t="s">
        <v>20</v>
      </c>
      <c r="G44" s="307">
        <f>('3.DL Naudas plūsma ar projektu'!E47-'2.DL Naudas plūsma bez projekta'!E47)*(1+$E44)</f>
        <v>0</v>
      </c>
      <c r="H44" s="307">
        <f>('3.DL Naudas plūsma ar projektu'!F47-'2.DL Naudas plūsma bez projekta'!F47)*(1+$E44)</f>
        <v>0</v>
      </c>
      <c r="I44" s="307">
        <f>('3.DL Naudas plūsma ar projektu'!G47-'2.DL Naudas plūsma bez projekta'!G47)*(1+$E44)</f>
        <v>0</v>
      </c>
      <c r="J44" s="307">
        <f>('3.DL Naudas plūsma ar projektu'!H47-'2.DL Naudas plūsma bez projekta'!H47)*(1+$E44)</f>
        <v>0</v>
      </c>
      <c r="K44" s="307">
        <f>('3.DL Naudas plūsma ar projektu'!I47-'2.DL Naudas plūsma bez projekta'!I47)*(1+$E44)</f>
        <v>0</v>
      </c>
      <c r="L44" s="307">
        <f>('3.DL Naudas plūsma ar projektu'!J47-'2.DL Naudas plūsma bez projekta'!J47)*(1+$E44)</f>
        <v>0</v>
      </c>
      <c r="M44" s="307">
        <f>('3.DL Naudas plūsma ar projektu'!K47-'2.DL Naudas plūsma bez projekta'!K47)*(1+$E44)</f>
        <v>0</v>
      </c>
      <c r="N44" s="307">
        <f>('3.DL Naudas plūsma ar projektu'!L47-'2.DL Naudas plūsma bez projekta'!L47)*(1+$E44)</f>
        <v>0</v>
      </c>
      <c r="O44" s="307">
        <f>('3.DL Naudas plūsma ar projektu'!M47-'2.DL Naudas plūsma bez projekta'!M47)*(1+$E44)</f>
        <v>0</v>
      </c>
      <c r="P44" s="307">
        <f>('3.DL Naudas plūsma ar projektu'!N47-'2.DL Naudas plūsma bez projekta'!N47)*(1+$E44)</f>
        <v>0</v>
      </c>
      <c r="Q44" s="307">
        <f>('3.DL Naudas plūsma ar projektu'!O47-'2.DL Naudas plūsma bez projekta'!O47)*(1+$E44)</f>
        <v>0</v>
      </c>
      <c r="R44" s="307">
        <f>('3.DL Naudas plūsma ar projektu'!P47-'2.DL Naudas plūsma bez projekta'!P47)*(1+$E44)</f>
        <v>0</v>
      </c>
      <c r="S44" s="307">
        <f>('3.DL Naudas plūsma ar projektu'!Q47-'2.DL Naudas plūsma bez projekta'!Q47)*(1+$E44)</f>
        <v>0</v>
      </c>
      <c r="T44" s="307">
        <f>('3.DL Naudas plūsma ar projektu'!R47-'2.DL Naudas plūsma bez projekta'!R47)*(1+$E44)</f>
        <v>0</v>
      </c>
      <c r="U44" s="307">
        <f>('3.DL Naudas plūsma ar projektu'!S47-'2.DL Naudas plūsma bez projekta'!S47)*(1+$E44)</f>
        <v>0</v>
      </c>
      <c r="V44" s="307">
        <f>('3.DL Naudas plūsma ar projektu'!T47-'2.DL Naudas plūsma bez projekta'!T47)*(1+$E44)</f>
        <v>0</v>
      </c>
      <c r="W44" s="307">
        <f>('3.DL Naudas plūsma ar projektu'!U47-'2.DL Naudas plūsma bez projekta'!U47)*(1+$E44)</f>
        <v>0</v>
      </c>
      <c r="X44" s="307">
        <f>('3.DL Naudas plūsma ar projektu'!V47-'2.DL Naudas plūsma bez projekta'!V47)*(1+$E44)</f>
        <v>0</v>
      </c>
      <c r="Y44" s="307">
        <f>('3.DL Naudas plūsma ar projektu'!W47-'2.DL Naudas plūsma bez projekta'!W47)*(1+$E44)</f>
        <v>0</v>
      </c>
      <c r="Z44" s="307">
        <f>('3.DL Naudas plūsma ar projektu'!X47-'2.DL Naudas plūsma bez projekta'!X47)*(1+$E44)</f>
        <v>0</v>
      </c>
      <c r="AA44" s="307">
        <f>('3.DL Naudas plūsma ar projektu'!Y47-'2.DL Naudas plūsma bez projekta'!Y47)*(1+$E44)</f>
        <v>0</v>
      </c>
      <c r="AB44" s="307">
        <f>('3.DL Naudas plūsma ar projektu'!Z47-'2.DL Naudas plūsma bez projekta'!Z47)*(1+$E44)</f>
        <v>0</v>
      </c>
      <c r="AC44" s="307">
        <f>('3.DL Naudas plūsma ar projektu'!AA47-'2.DL Naudas plūsma bez projekta'!AA47)*(1+$E44)</f>
        <v>0</v>
      </c>
      <c r="AD44" s="307">
        <f>('3.DL Naudas plūsma ar projektu'!AB47-'2.DL Naudas plūsma bez projekta'!AB47)*(1+$E44)</f>
        <v>0</v>
      </c>
      <c r="AE44" s="307">
        <f>('3.DL Naudas plūsma ar projektu'!AC47-'2.DL Naudas plūsma bez projekta'!AC47)*(1+$E44)</f>
        <v>0</v>
      </c>
      <c r="AF44" s="311">
        <f t="shared" si="1"/>
        <v>0</v>
      </c>
      <c r="AG44" s="514"/>
    </row>
    <row r="45" spans="1:33" s="521" customFormat="1" ht="12.75" x14ac:dyDescent="0.2">
      <c r="A45" s="212"/>
      <c r="B45" s="711" t="s">
        <v>145</v>
      </c>
      <c r="C45" s="711" t="s">
        <v>85</v>
      </c>
      <c r="D45" s="711"/>
      <c r="E45" s="639"/>
      <c r="F45" s="181" t="s">
        <v>20</v>
      </c>
      <c r="G45" s="313">
        <f>SUM(G46,G48)</f>
        <v>99500</v>
      </c>
      <c r="H45" s="313">
        <f t="shared" ref="H45:AE45" si="6">SUM(H46,H48)</f>
        <v>83500</v>
      </c>
      <c r="I45" s="313">
        <f t="shared" si="6"/>
        <v>25000</v>
      </c>
      <c r="J45" s="313">
        <f t="shared" si="6"/>
        <v>0</v>
      </c>
      <c r="K45" s="313">
        <f t="shared" si="6"/>
        <v>0</v>
      </c>
      <c r="L45" s="313">
        <f t="shared" si="6"/>
        <v>0</v>
      </c>
      <c r="M45" s="313">
        <f t="shared" si="6"/>
        <v>0</v>
      </c>
      <c r="N45" s="313">
        <f t="shared" si="6"/>
        <v>0</v>
      </c>
      <c r="O45" s="313">
        <f t="shared" si="6"/>
        <v>0</v>
      </c>
      <c r="P45" s="313">
        <f t="shared" si="6"/>
        <v>0</v>
      </c>
      <c r="Q45" s="313">
        <f t="shared" si="6"/>
        <v>0</v>
      </c>
      <c r="R45" s="313">
        <f t="shared" si="6"/>
        <v>0</v>
      </c>
      <c r="S45" s="313">
        <f t="shared" si="6"/>
        <v>0</v>
      </c>
      <c r="T45" s="313">
        <f t="shared" si="6"/>
        <v>0</v>
      </c>
      <c r="U45" s="313">
        <f t="shared" si="6"/>
        <v>0</v>
      </c>
      <c r="V45" s="313">
        <f t="shared" si="6"/>
        <v>0</v>
      </c>
      <c r="W45" s="313">
        <f t="shared" si="6"/>
        <v>0</v>
      </c>
      <c r="X45" s="313">
        <f t="shared" si="6"/>
        <v>0</v>
      </c>
      <c r="Y45" s="313">
        <f t="shared" si="6"/>
        <v>0</v>
      </c>
      <c r="Z45" s="313">
        <f t="shared" si="6"/>
        <v>0</v>
      </c>
      <c r="AA45" s="313">
        <f t="shared" si="6"/>
        <v>0</v>
      </c>
      <c r="AB45" s="313">
        <f t="shared" si="6"/>
        <v>0</v>
      </c>
      <c r="AC45" s="313">
        <f t="shared" si="6"/>
        <v>0</v>
      </c>
      <c r="AD45" s="313">
        <f t="shared" si="6"/>
        <v>0</v>
      </c>
      <c r="AE45" s="313">
        <f t="shared" si="6"/>
        <v>0</v>
      </c>
      <c r="AF45" s="311">
        <f t="shared" si="1"/>
        <v>208000</v>
      </c>
      <c r="AG45" s="514"/>
    </row>
    <row r="46" spans="1:33" s="514" customFormat="1" ht="12.75" x14ac:dyDescent="0.2">
      <c r="A46" s="213"/>
      <c r="B46" s="214" t="s">
        <v>310</v>
      </c>
      <c r="C46" s="638" t="str">
        <f>'3.DL Naudas plūsma ar projektu'!B56</f>
        <v>Investīciju izmaksas bez neparedzētajām izmaksām</v>
      </c>
      <c r="D46" s="216"/>
      <c r="E46" s="610"/>
      <c r="F46" s="181" t="s">
        <v>20</v>
      </c>
      <c r="G46" s="313">
        <f>SUM(G47:G47)</f>
        <v>97000</v>
      </c>
      <c r="H46" s="313">
        <f t="shared" ref="H46:AE46" si="7">SUM(H47:H47)</f>
        <v>81000</v>
      </c>
      <c r="I46" s="313">
        <f t="shared" si="7"/>
        <v>25000</v>
      </c>
      <c r="J46" s="313">
        <f t="shared" si="7"/>
        <v>0</v>
      </c>
      <c r="K46" s="313">
        <f t="shared" si="7"/>
        <v>0</v>
      </c>
      <c r="L46" s="313">
        <f t="shared" si="7"/>
        <v>0</v>
      </c>
      <c r="M46" s="313">
        <f t="shared" si="7"/>
        <v>0</v>
      </c>
      <c r="N46" s="313">
        <f t="shared" si="7"/>
        <v>0</v>
      </c>
      <c r="O46" s="313">
        <f t="shared" si="7"/>
        <v>0</v>
      </c>
      <c r="P46" s="313">
        <f t="shared" si="7"/>
        <v>0</v>
      </c>
      <c r="Q46" s="313">
        <f t="shared" si="7"/>
        <v>0</v>
      </c>
      <c r="R46" s="313">
        <f t="shared" si="7"/>
        <v>0</v>
      </c>
      <c r="S46" s="313">
        <f t="shared" si="7"/>
        <v>0</v>
      </c>
      <c r="T46" s="313">
        <f t="shared" si="7"/>
        <v>0</v>
      </c>
      <c r="U46" s="313">
        <f t="shared" si="7"/>
        <v>0</v>
      </c>
      <c r="V46" s="313">
        <f t="shared" si="7"/>
        <v>0</v>
      </c>
      <c r="W46" s="313">
        <f t="shared" si="7"/>
        <v>0</v>
      </c>
      <c r="X46" s="313">
        <f t="shared" si="7"/>
        <v>0</v>
      </c>
      <c r="Y46" s="313">
        <f t="shared" si="7"/>
        <v>0</v>
      </c>
      <c r="Z46" s="313">
        <f t="shared" si="7"/>
        <v>0</v>
      </c>
      <c r="AA46" s="313">
        <f t="shared" si="7"/>
        <v>0</v>
      </c>
      <c r="AB46" s="313">
        <f t="shared" si="7"/>
        <v>0</v>
      </c>
      <c r="AC46" s="313">
        <f t="shared" si="7"/>
        <v>0</v>
      </c>
      <c r="AD46" s="313">
        <f t="shared" si="7"/>
        <v>0</v>
      </c>
      <c r="AE46" s="313">
        <f t="shared" si="7"/>
        <v>0</v>
      </c>
      <c r="AF46" s="311">
        <f t="shared" si="1"/>
        <v>203000</v>
      </c>
    </row>
    <row r="47" spans="1:33" s="521" customFormat="1" ht="28.5" customHeight="1" x14ac:dyDescent="0.2">
      <c r="A47" s="209"/>
      <c r="B47" s="707" t="s">
        <v>311</v>
      </c>
      <c r="C47" s="986" t="s">
        <v>69</v>
      </c>
      <c r="D47" s="987"/>
      <c r="E47" s="210">
        <v>0</v>
      </c>
      <c r="F47" s="181" t="s">
        <v>20</v>
      </c>
      <c r="G47" s="307">
        <f>'3.DL Naudas plūsma ar projektu'!E57*(1+$E47)</f>
        <v>97000</v>
      </c>
      <c r="H47" s="307">
        <f>'3.DL Naudas plūsma ar projektu'!F57*(1+$E47)</f>
        <v>81000</v>
      </c>
      <c r="I47" s="307">
        <f>'3.DL Naudas plūsma ar projektu'!G57*(1+$E47)</f>
        <v>25000</v>
      </c>
      <c r="J47" s="307">
        <f>'3.DL Naudas plūsma ar projektu'!H57*(1+$E47)</f>
        <v>0</v>
      </c>
      <c r="K47" s="307">
        <f>'3.DL Naudas plūsma ar projektu'!I57*(1+$E47)</f>
        <v>0</v>
      </c>
      <c r="L47" s="307">
        <f>'3.DL Naudas plūsma ar projektu'!J57*(1+$E47)</f>
        <v>0</v>
      </c>
      <c r="M47" s="307">
        <f>'3.DL Naudas plūsma ar projektu'!K57*(1+$E47)</f>
        <v>0</v>
      </c>
      <c r="N47" s="307">
        <f>'3.DL Naudas plūsma ar projektu'!L57*(1+$E47)</f>
        <v>0</v>
      </c>
      <c r="O47" s="307">
        <f>'3.DL Naudas plūsma ar projektu'!M57*(1+$E47)</f>
        <v>0</v>
      </c>
      <c r="P47" s="307">
        <f>'3.DL Naudas plūsma ar projektu'!N57*(1+$E47)</f>
        <v>0</v>
      </c>
      <c r="Q47" s="307">
        <f>'3.DL Naudas plūsma ar projektu'!O57*(1+$E47)</f>
        <v>0</v>
      </c>
      <c r="R47" s="307">
        <f>'3.DL Naudas plūsma ar projektu'!P57*(1+$E47)</f>
        <v>0</v>
      </c>
      <c r="S47" s="307">
        <f>'3.DL Naudas plūsma ar projektu'!Q57*(1+$E47)</f>
        <v>0</v>
      </c>
      <c r="T47" s="307">
        <f>'3.DL Naudas plūsma ar projektu'!R57*(1+$E47)</f>
        <v>0</v>
      </c>
      <c r="U47" s="307">
        <f>'3.DL Naudas plūsma ar projektu'!S57*(1+$E47)</f>
        <v>0</v>
      </c>
      <c r="V47" s="307">
        <f>'3.DL Naudas plūsma ar projektu'!T57*(1+$E47)</f>
        <v>0</v>
      </c>
      <c r="W47" s="307">
        <f>'3.DL Naudas plūsma ar projektu'!U57*(1+$E47)</f>
        <v>0</v>
      </c>
      <c r="X47" s="307">
        <f>'3.DL Naudas plūsma ar projektu'!V57*(1+$E47)</f>
        <v>0</v>
      </c>
      <c r="Y47" s="307">
        <f>'3.DL Naudas plūsma ar projektu'!W57*(1+$E47)</f>
        <v>0</v>
      </c>
      <c r="Z47" s="307">
        <f>'3.DL Naudas plūsma ar projektu'!X57*(1+$E47)</f>
        <v>0</v>
      </c>
      <c r="AA47" s="307">
        <f>'3.DL Naudas plūsma ar projektu'!Y57*(1+$E47)</f>
        <v>0</v>
      </c>
      <c r="AB47" s="307">
        <f>'3.DL Naudas plūsma ar projektu'!Z57*(1+$E47)</f>
        <v>0</v>
      </c>
      <c r="AC47" s="307">
        <f>'3.DL Naudas plūsma ar projektu'!AA57*(1+$E47)</f>
        <v>0</v>
      </c>
      <c r="AD47" s="307">
        <f>'3.DL Naudas plūsma ar projektu'!AB57*(1+$E47)</f>
        <v>0</v>
      </c>
      <c r="AE47" s="307">
        <f>'3.DL Naudas plūsma ar projektu'!AC57*(1+$E47)</f>
        <v>0</v>
      </c>
      <c r="AF47" s="311">
        <f t="shared" si="1"/>
        <v>203000</v>
      </c>
      <c r="AG47" s="514"/>
    </row>
    <row r="48" spans="1:33" s="521" customFormat="1" ht="12.75" x14ac:dyDescent="0.2">
      <c r="A48" s="213"/>
      <c r="B48" s="711" t="s">
        <v>312</v>
      </c>
      <c r="C48" s="215" t="s">
        <v>72</v>
      </c>
      <c r="D48" s="216"/>
      <c r="E48" s="217"/>
      <c r="F48" s="181" t="s">
        <v>20</v>
      </c>
      <c r="G48" s="313">
        <f>'3.DL Naudas plūsma ar projektu'!E59</f>
        <v>2500</v>
      </c>
      <c r="H48" s="313">
        <f>'3.DL Naudas plūsma ar projektu'!F59</f>
        <v>2500</v>
      </c>
      <c r="I48" s="313">
        <f>'3.DL Naudas plūsma ar projektu'!G59</f>
        <v>0</v>
      </c>
      <c r="J48" s="313">
        <f>'3.DL Naudas plūsma ar projektu'!H59</f>
        <v>0</v>
      </c>
      <c r="K48" s="313">
        <f>'3.DL Naudas plūsma ar projektu'!I59</f>
        <v>0</v>
      </c>
      <c r="L48" s="313">
        <f>'3.DL Naudas plūsma ar projektu'!J59</f>
        <v>0</v>
      </c>
      <c r="M48" s="313">
        <f>'3.DL Naudas plūsma ar projektu'!K59</f>
        <v>0</v>
      </c>
      <c r="N48" s="313">
        <f>'3.DL Naudas plūsma ar projektu'!L59</f>
        <v>0</v>
      </c>
      <c r="O48" s="313">
        <f>'3.DL Naudas plūsma ar projektu'!M59</f>
        <v>0</v>
      </c>
      <c r="P48" s="313">
        <f>'3.DL Naudas plūsma ar projektu'!N59</f>
        <v>0</v>
      </c>
      <c r="Q48" s="313">
        <f>'3.DL Naudas plūsma ar projektu'!O59</f>
        <v>0</v>
      </c>
      <c r="R48" s="313">
        <f>'3.DL Naudas plūsma ar projektu'!P59</f>
        <v>0</v>
      </c>
      <c r="S48" s="313">
        <f>'3.DL Naudas plūsma ar projektu'!Q59</f>
        <v>0</v>
      </c>
      <c r="T48" s="313">
        <f>'3.DL Naudas plūsma ar projektu'!R59</f>
        <v>0</v>
      </c>
      <c r="U48" s="313">
        <f>'3.DL Naudas plūsma ar projektu'!S59</f>
        <v>0</v>
      </c>
      <c r="V48" s="313">
        <f>'3.DL Naudas plūsma ar projektu'!T59</f>
        <v>0</v>
      </c>
      <c r="W48" s="313">
        <f>'3.DL Naudas plūsma ar projektu'!U59</f>
        <v>0</v>
      </c>
      <c r="X48" s="313">
        <f>'3.DL Naudas plūsma ar projektu'!V59</f>
        <v>0</v>
      </c>
      <c r="Y48" s="313">
        <f>'3.DL Naudas plūsma ar projektu'!W59</f>
        <v>0</v>
      </c>
      <c r="Z48" s="313">
        <f>'3.DL Naudas plūsma ar projektu'!X59</f>
        <v>0</v>
      </c>
      <c r="AA48" s="313">
        <f>'3.DL Naudas plūsma ar projektu'!Y59</f>
        <v>0</v>
      </c>
      <c r="AB48" s="313">
        <f>'3.DL Naudas plūsma ar projektu'!Z59</f>
        <v>0</v>
      </c>
      <c r="AC48" s="313">
        <f>'3.DL Naudas plūsma ar projektu'!AA59</f>
        <v>0</v>
      </c>
      <c r="AD48" s="313">
        <f>'3.DL Naudas plūsma ar projektu'!AB59</f>
        <v>0</v>
      </c>
      <c r="AE48" s="313">
        <f>'3.DL Naudas plūsma ar projektu'!AC59</f>
        <v>0</v>
      </c>
      <c r="AF48" s="311">
        <f t="shared" si="1"/>
        <v>5000</v>
      </c>
      <c r="AG48" s="514"/>
    </row>
    <row r="49" spans="1:33" s="521" customFormat="1" ht="12.75" x14ac:dyDescent="0.2">
      <c r="A49" s="212"/>
      <c r="B49" s="711" t="s">
        <v>275</v>
      </c>
      <c r="C49" s="711" t="s">
        <v>313</v>
      </c>
      <c r="D49" s="711"/>
      <c r="E49" s="639"/>
      <c r="F49" s="181" t="s">
        <v>20</v>
      </c>
      <c r="G49" s="313">
        <f>SUM(G50:G52)</f>
        <v>781.8</v>
      </c>
      <c r="H49" s="313">
        <f t="shared" ref="H49:AE49" si="8">SUM(H50:H52)</f>
        <v>781.8</v>
      </c>
      <c r="I49" s="313">
        <f t="shared" si="8"/>
        <v>781.8</v>
      </c>
      <c r="J49" s="313">
        <f t="shared" si="8"/>
        <v>781.8</v>
      </c>
      <c r="K49" s="313">
        <f t="shared" si="8"/>
        <v>781.8</v>
      </c>
      <c r="L49" s="313">
        <f t="shared" si="8"/>
        <v>781.8</v>
      </c>
      <c r="M49" s="313">
        <f t="shared" si="8"/>
        <v>781.8</v>
      </c>
      <c r="N49" s="313">
        <f t="shared" si="8"/>
        <v>781.8</v>
      </c>
      <c r="O49" s="313">
        <f t="shared" si="8"/>
        <v>781.8</v>
      </c>
      <c r="P49" s="313">
        <f t="shared" si="8"/>
        <v>781.8</v>
      </c>
      <c r="Q49" s="313">
        <f t="shared" si="8"/>
        <v>781.8</v>
      </c>
      <c r="R49" s="313">
        <f t="shared" si="8"/>
        <v>781.8</v>
      </c>
      <c r="S49" s="313">
        <f t="shared" si="8"/>
        <v>781.8</v>
      </c>
      <c r="T49" s="313">
        <f t="shared" si="8"/>
        <v>781.8</v>
      </c>
      <c r="U49" s="313">
        <f t="shared" si="8"/>
        <v>781.8</v>
      </c>
      <c r="V49" s="313">
        <f t="shared" si="8"/>
        <v>781.8</v>
      </c>
      <c r="W49" s="313">
        <f t="shared" si="8"/>
        <v>781.8</v>
      </c>
      <c r="X49" s="313">
        <f t="shared" si="8"/>
        <v>781.8</v>
      </c>
      <c r="Y49" s="313">
        <f t="shared" si="8"/>
        <v>781.8</v>
      </c>
      <c r="Z49" s="313">
        <f t="shared" si="8"/>
        <v>781.8</v>
      </c>
      <c r="AA49" s="313">
        <f t="shared" si="8"/>
        <v>781.8</v>
      </c>
      <c r="AB49" s="313">
        <f t="shared" si="8"/>
        <v>781.8</v>
      </c>
      <c r="AC49" s="313">
        <f t="shared" si="8"/>
        <v>781.8</v>
      </c>
      <c r="AD49" s="313">
        <f t="shared" si="8"/>
        <v>781.8</v>
      </c>
      <c r="AE49" s="313">
        <f t="shared" si="8"/>
        <v>781.8</v>
      </c>
      <c r="AF49" s="311">
        <f t="shared" si="1"/>
        <v>19544.999999999993</v>
      </c>
      <c r="AG49" s="514"/>
    </row>
    <row r="50" spans="1:33" s="521" customFormat="1" ht="29.25" customHeight="1" x14ac:dyDescent="0.2">
      <c r="A50" s="209"/>
      <c r="B50" s="707" t="s">
        <v>314</v>
      </c>
      <c r="C50" s="997" t="str">
        <f>'6.DL Soc.ekon.analīze'!B27</f>
        <v>Projekta darbības izmaksu darbaspēka izmaksas</v>
      </c>
      <c r="D50" s="998"/>
      <c r="E50" s="210">
        <v>0</v>
      </c>
      <c r="F50" s="181" t="s">
        <v>20</v>
      </c>
      <c r="G50" s="307">
        <f>'12. AL Soc.ekonom.anal.'!E22*(1+$E50)</f>
        <v>120.45</v>
      </c>
      <c r="H50" s="307">
        <f>'12. AL Soc.ekonom.anal.'!F22*(1+$E50)</f>
        <v>120.45</v>
      </c>
      <c r="I50" s="307">
        <f>'12. AL Soc.ekonom.anal.'!G22*(1+$E50)</f>
        <v>120.45</v>
      </c>
      <c r="J50" s="307">
        <f>'12. AL Soc.ekonom.anal.'!H22*(1+$E50)</f>
        <v>120.45</v>
      </c>
      <c r="K50" s="307">
        <f>'12. AL Soc.ekonom.anal.'!I22*(1+$E50)</f>
        <v>120.45</v>
      </c>
      <c r="L50" s="307">
        <f>'12. AL Soc.ekonom.anal.'!J22*(1+$E50)</f>
        <v>120.45</v>
      </c>
      <c r="M50" s="307">
        <f>'12. AL Soc.ekonom.anal.'!K22*(1+$E50)</f>
        <v>120.45</v>
      </c>
      <c r="N50" s="307">
        <f>'12. AL Soc.ekonom.anal.'!L22*(1+$E50)</f>
        <v>120.45</v>
      </c>
      <c r="O50" s="307">
        <f>'12. AL Soc.ekonom.anal.'!M22*(1+$E50)</f>
        <v>120.45</v>
      </c>
      <c r="P50" s="307">
        <f>'12. AL Soc.ekonom.anal.'!N22*(1+$E50)</f>
        <v>120.45</v>
      </c>
      <c r="Q50" s="307">
        <f>'12. AL Soc.ekonom.anal.'!O22*(1+$E50)</f>
        <v>120.45</v>
      </c>
      <c r="R50" s="307">
        <f>'12. AL Soc.ekonom.anal.'!P22*(1+$E50)</f>
        <v>120.45</v>
      </c>
      <c r="S50" s="307">
        <f>'12. AL Soc.ekonom.anal.'!Q22*(1+$E50)</f>
        <v>120.45</v>
      </c>
      <c r="T50" s="307">
        <f>'12. AL Soc.ekonom.anal.'!R22*(1+$E50)</f>
        <v>120.45</v>
      </c>
      <c r="U50" s="307">
        <f>'12. AL Soc.ekonom.anal.'!S22*(1+$E50)</f>
        <v>120.45</v>
      </c>
      <c r="V50" s="307">
        <f>'12. AL Soc.ekonom.anal.'!T22*(1+$E50)</f>
        <v>120.45</v>
      </c>
      <c r="W50" s="307">
        <f>'12. AL Soc.ekonom.anal.'!U22*(1+$E50)</f>
        <v>120.45</v>
      </c>
      <c r="X50" s="307">
        <f>'12. AL Soc.ekonom.anal.'!V22*(1+$E50)</f>
        <v>120.45</v>
      </c>
      <c r="Y50" s="307">
        <f>'12. AL Soc.ekonom.anal.'!W22*(1+$E50)</f>
        <v>120.45</v>
      </c>
      <c r="Z50" s="307">
        <f>'12. AL Soc.ekonom.anal.'!X22*(1+$E50)</f>
        <v>120.45</v>
      </c>
      <c r="AA50" s="307">
        <f>'12. AL Soc.ekonom.anal.'!Y22*(1+$E50)</f>
        <v>120.45</v>
      </c>
      <c r="AB50" s="307">
        <f>'12. AL Soc.ekonom.anal.'!Z22*(1+$E50)</f>
        <v>120.45</v>
      </c>
      <c r="AC50" s="307">
        <f>'12. AL Soc.ekonom.anal.'!AA22*(1+$E50)</f>
        <v>120.45</v>
      </c>
      <c r="AD50" s="307">
        <f>'12. AL Soc.ekonom.anal.'!AB22*(1+$E50)</f>
        <v>120.45</v>
      </c>
      <c r="AE50" s="307">
        <f>'12. AL Soc.ekonom.anal.'!AC22*(1+$E50)</f>
        <v>120.45</v>
      </c>
      <c r="AF50" s="311">
        <f t="shared" si="1"/>
        <v>3011.2499999999991</v>
      </c>
      <c r="AG50" s="514"/>
    </row>
    <row r="51" spans="1:33" s="521" customFormat="1" ht="18" customHeight="1" x14ac:dyDescent="0.2">
      <c r="A51" s="209"/>
      <c r="B51" s="211" t="s">
        <v>315</v>
      </c>
      <c r="C51" s="997" t="str">
        <f>'6.DL Soc.ekon.analīze'!B28</f>
        <v xml:space="preserve">Investīciju darba spēka izmaksas </v>
      </c>
      <c r="D51" s="998"/>
      <c r="E51" s="210">
        <v>0</v>
      </c>
      <c r="F51" s="181" t="s">
        <v>20</v>
      </c>
      <c r="G51" s="307">
        <f>'12. AL Soc.ekonom.anal.'!E23*(1+$E51)</f>
        <v>361.35</v>
      </c>
      <c r="H51" s="307">
        <f>'12. AL Soc.ekonom.anal.'!F23*(1+$E51)</f>
        <v>361.35</v>
      </c>
      <c r="I51" s="307">
        <f>'12. AL Soc.ekonom.anal.'!G23*(1+$E51)</f>
        <v>361.35</v>
      </c>
      <c r="J51" s="307">
        <f>'12. AL Soc.ekonom.anal.'!H23*(1+$E51)</f>
        <v>361.35</v>
      </c>
      <c r="K51" s="307">
        <f>'12. AL Soc.ekonom.anal.'!I23*(1+$E51)</f>
        <v>361.35</v>
      </c>
      <c r="L51" s="307">
        <f>'12. AL Soc.ekonom.anal.'!J23*(1+$E51)</f>
        <v>361.35</v>
      </c>
      <c r="M51" s="307">
        <f>'12. AL Soc.ekonom.anal.'!K23*(1+$E51)</f>
        <v>361.35</v>
      </c>
      <c r="N51" s="307">
        <f>'12. AL Soc.ekonom.anal.'!L23*(1+$E51)</f>
        <v>361.35</v>
      </c>
      <c r="O51" s="307">
        <f>'12. AL Soc.ekonom.anal.'!M23*(1+$E51)</f>
        <v>361.35</v>
      </c>
      <c r="P51" s="307">
        <f>'12. AL Soc.ekonom.anal.'!N23*(1+$E51)</f>
        <v>361.35</v>
      </c>
      <c r="Q51" s="307">
        <f>'12. AL Soc.ekonom.anal.'!O23*(1+$E51)</f>
        <v>361.35</v>
      </c>
      <c r="R51" s="307">
        <f>'12. AL Soc.ekonom.anal.'!P23*(1+$E51)</f>
        <v>361.35</v>
      </c>
      <c r="S51" s="307">
        <f>'12. AL Soc.ekonom.anal.'!Q23*(1+$E51)</f>
        <v>361.35</v>
      </c>
      <c r="T51" s="307">
        <f>'12. AL Soc.ekonom.anal.'!R23*(1+$E51)</f>
        <v>361.35</v>
      </c>
      <c r="U51" s="307">
        <f>'12. AL Soc.ekonom.anal.'!S23*(1+$E51)</f>
        <v>361.35</v>
      </c>
      <c r="V51" s="307">
        <f>'12. AL Soc.ekonom.anal.'!T23*(1+$E51)</f>
        <v>361.35</v>
      </c>
      <c r="W51" s="307">
        <f>'12. AL Soc.ekonom.anal.'!U23*(1+$E51)</f>
        <v>361.35</v>
      </c>
      <c r="X51" s="307">
        <f>'12. AL Soc.ekonom.anal.'!V23*(1+$E51)</f>
        <v>361.35</v>
      </c>
      <c r="Y51" s="307">
        <f>'12. AL Soc.ekonom.anal.'!W23*(1+$E51)</f>
        <v>361.35</v>
      </c>
      <c r="Z51" s="307">
        <f>'12. AL Soc.ekonom.anal.'!X23*(1+$E51)</f>
        <v>361.35</v>
      </c>
      <c r="AA51" s="307">
        <f>'12. AL Soc.ekonom.anal.'!Y23*(1+$E51)</f>
        <v>361.35</v>
      </c>
      <c r="AB51" s="307">
        <f>'12. AL Soc.ekonom.anal.'!Z23*(1+$E51)</f>
        <v>361.35</v>
      </c>
      <c r="AC51" s="307">
        <f>'12. AL Soc.ekonom.anal.'!AA23*(1+$E51)</f>
        <v>361.35</v>
      </c>
      <c r="AD51" s="307">
        <f>'12. AL Soc.ekonom.anal.'!AB23*(1+$E51)</f>
        <v>361.35</v>
      </c>
      <c r="AE51" s="307">
        <f>'12. AL Soc.ekonom.anal.'!AC23*(1+$E51)</f>
        <v>361.35</v>
      </c>
      <c r="AF51" s="311">
        <f t="shared" si="1"/>
        <v>9033.7500000000036</v>
      </c>
      <c r="AG51" s="514"/>
    </row>
    <row r="52" spans="1:33" s="521" customFormat="1" ht="12.75" x14ac:dyDescent="0.2">
      <c r="A52" s="209"/>
      <c r="B52" s="211" t="s">
        <v>316</v>
      </c>
      <c r="C52" s="999" t="str">
        <f>'6.DL Soc.ekon.analīze'!B29</f>
        <v>Citas fiskālās korekcijas</v>
      </c>
      <c r="D52" s="1000"/>
      <c r="E52" s="210">
        <v>0</v>
      </c>
      <c r="F52" s="181" t="s">
        <v>20</v>
      </c>
      <c r="G52" s="307">
        <f>'12. AL Soc.ekonom.anal.'!E24*(1+$E52)</f>
        <v>300</v>
      </c>
      <c r="H52" s="307">
        <f>'12. AL Soc.ekonom.anal.'!F24*(1+$E52)</f>
        <v>300</v>
      </c>
      <c r="I52" s="307">
        <f>'12. AL Soc.ekonom.anal.'!G24*(1+$E52)</f>
        <v>300</v>
      </c>
      <c r="J52" s="307">
        <f>'12. AL Soc.ekonom.anal.'!H24*(1+$E52)</f>
        <v>300</v>
      </c>
      <c r="K52" s="307">
        <f>'12. AL Soc.ekonom.anal.'!I24*(1+$E52)</f>
        <v>300</v>
      </c>
      <c r="L52" s="307">
        <f>'12. AL Soc.ekonom.anal.'!J24*(1+$E52)</f>
        <v>300</v>
      </c>
      <c r="M52" s="307">
        <f>'12. AL Soc.ekonom.anal.'!K24*(1+$E52)</f>
        <v>300</v>
      </c>
      <c r="N52" s="307">
        <f>'12. AL Soc.ekonom.anal.'!L24*(1+$E52)</f>
        <v>300</v>
      </c>
      <c r="O52" s="307">
        <f>'12. AL Soc.ekonom.anal.'!M24*(1+$E52)</f>
        <v>300</v>
      </c>
      <c r="P52" s="307">
        <f>'12. AL Soc.ekonom.anal.'!N24*(1+$E52)</f>
        <v>300</v>
      </c>
      <c r="Q52" s="307">
        <f>'12. AL Soc.ekonom.anal.'!O24*(1+$E52)</f>
        <v>300</v>
      </c>
      <c r="R52" s="307">
        <f>'12. AL Soc.ekonom.anal.'!P24*(1+$E52)</f>
        <v>300</v>
      </c>
      <c r="S52" s="307">
        <f>'12. AL Soc.ekonom.anal.'!Q24*(1+$E52)</f>
        <v>300</v>
      </c>
      <c r="T52" s="307">
        <f>'12. AL Soc.ekonom.anal.'!R24*(1+$E52)</f>
        <v>300</v>
      </c>
      <c r="U52" s="307">
        <f>'12. AL Soc.ekonom.anal.'!S24*(1+$E52)</f>
        <v>300</v>
      </c>
      <c r="V52" s="307">
        <f>'12. AL Soc.ekonom.anal.'!T24*(1+$E52)</f>
        <v>300</v>
      </c>
      <c r="W52" s="307">
        <f>'12. AL Soc.ekonom.anal.'!U24*(1+$E52)</f>
        <v>300</v>
      </c>
      <c r="X52" s="307">
        <f>'12. AL Soc.ekonom.anal.'!V24*(1+$E52)</f>
        <v>300</v>
      </c>
      <c r="Y52" s="307">
        <f>'12. AL Soc.ekonom.anal.'!W24*(1+$E52)</f>
        <v>300</v>
      </c>
      <c r="Z52" s="307">
        <f>'12. AL Soc.ekonom.anal.'!X24*(1+$E52)</f>
        <v>300</v>
      </c>
      <c r="AA52" s="307">
        <f>'12. AL Soc.ekonom.anal.'!Y24*(1+$E52)</f>
        <v>300</v>
      </c>
      <c r="AB52" s="307">
        <f>'12. AL Soc.ekonom.anal.'!Z24*(1+$E52)</f>
        <v>300</v>
      </c>
      <c r="AC52" s="307">
        <f>'12. AL Soc.ekonom.anal.'!AA24*(1+$E52)</f>
        <v>300</v>
      </c>
      <c r="AD52" s="307">
        <f>'12. AL Soc.ekonom.anal.'!AB24*(1+$E52)</f>
        <v>300</v>
      </c>
      <c r="AE52" s="307">
        <f>'12. AL Soc.ekonom.anal.'!AC24*(1+$E52)</f>
        <v>300</v>
      </c>
      <c r="AF52" s="311">
        <f t="shared" si="1"/>
        <v>7500</v>
      </c>
      <c r="AG52" s="514"/>
    </row>
    <row r="53" spans="1:33" s="514" customFormat="1" ht="12.75" x14ac:dyDescent="0.2">
      <c r="A53" s="212"/>
      <c r="B53" s="218" t="s">
        <v>276</v>
      </c>
      <c r="C53" s="711" t="s">
        <v>318</v>
      </c>
      <c r="D53" s="160"/>
      <c r="E53" s="219"/>
      <c r="F53" s="181" t="s">
        <v>20</v>
      </c>
      <c r="G53" s="313">
        <f t="shared" ref="G53:AE53" si="9">G31+G41+G45-G49</f>
        <v>100218.2</v>
      </c>
      <c r="H53" s="313">
        <f t="shared" si="9"/>
        <v>84218.2</v>
      </c>
      <c r="I53" s="313">
        <f t="shared" si="9"/>
        <v>25718.2</v>
      </c>
      <c r="J53" s="313">
        <f t="shared" si="9"/>
        <v>718.2</v>
      </c>
      <c r="K53" s="313">
        <f t="shared" si="9"/>
        <v>718.2</v>
      </c>
      <c r="L53" s="313">
        <f t="shared" si="9"/>
        <v>718.2</v>
      </c>
      <c r="M53" s="313">
        <f t="shared" si="9"/>
        <v>718.2</v>
      </c>
      <c r="N53" s="313">
        <f t="shared" si="9"/>
        <v>718.2</v>
      </c>
      <c r="O53" s="313">
        <f t="shared" si="9"/>
        <v>718.2</v>
      </c>
      <c r="P53" s="313">
        <f t="shared" si="9"/>
        <v>718.2</v>
      </c>
      <c r="Q53" s="313">
        <f t="shared" si="9"/>
        <v>718.2</v>
      </c>
      <c r="R53" s="313">
        <f t="shared" si="9"/>
        <v>718.2</v>
      </c>
      <c r="S53" s="313">
        <f t="shared" si="9"/>
        <v>718.2</v>
      </c>
      <c r="T53" s="313">
        <f t="shared" si="9"/>
        <v>718.2</v>
      </c>
      <c r="U53" s="313">
        <f t="shared" si="9"/>
        <v>718.2</v>
      </c>
      <c r="V53" s="313">
        <f t="shared" si="9"/>
        <v>718.2</v>
      </c>
      <c r="W53" s="313">
        <f t="shared" si="9"/>
        <v>718.2</v>
      </c>
      <c r="X53" s="313">
        <f t="shared" si="9"/>
        <v>718.2</v>
      </c>
      <c r="Y53" s="313">
        <f t="shared" si="9"/>
        <v>718.2</v>
      </c>
      <c r="Z53" s="313">
        <f t="shared" si="9"/>
        <v>718.2</v>
      </c>
      <c r="AA53" s="313">
        <f t="shared" si="9"/>
        <v>718.2</v>
      </c>
      <c r="AB53" s="313">
        <f t="shared" si="9"/>
        <v>718.2</v>
      </c>
      <c r="AC53" s="313">
        <f t="shared" si="9"/>
        <v>718.2</v>
      </c>
      <c r="AD53" s="313">
        <f t="shared" si="9"/>
        <v>718.2</v>
      </c>
      <c r="AE53" s="313">
        <f t="shared" si="9"/>
        <v>718.2</v>
      </c>
      <c r="AF53" s="311">
        <f t="shared" si="1"/>
        <v>225955.00000000026</v>
      </c>
    </row>
    <row r="54" spans="1:33" s="514" customFormat="1" ht="12.75" x14ac:dyDescent="0.2">
      <c r="A54" s="220"/>
      <c r="B54" s="221" t="s">
        <v>319</v>
      </c>
      <c r="C54" s="222" t="s">
        <v>89</v>
      </c>
      <c r="D54" s="222"/>
      <c r="E54" s="223"/>
      <c r="F54" s="224" t="s">
        <v>20</v>
      </c>
      <c r="G54" s="314">
        <f t="shared" ref="G54:AE54" si="10">G30-G53</f>
        <v>-80718.2</v>
      </c>
      <c r="H54" s="314">
        <f t="shared" si="10"/>
        <v>-63718.2</v>
      </c>
      <c r="I54" s="314">
        <f t="shared" si="10"/>
        <v>-8198.2000000000007</v>
      </c>
      <c r="J54" s="314">
        <f t="shared" si="10"/>
        <v>12799.8</v>
      </c>
      <c r="K54" s="314">
        <f t="shared" si="10"/>
        <v>12797.8</v>
      </c>
      <c r="L54" s="314">
        <f t="shared" si="10"/>
        <v>12795.8</v>
      </c>
      <c r="M54" s="314">
        <f t="shared" si="10"/>
        <v>12793.8</v>
      </c>
      <c r="N54" s="314">
        <f t="shared" si="10"/>
        <v>12791.8</v>
      </c>
      <c r="O54" s="314">
        <f t="shared" si="10"/>
        <v>12789.8</v>
      </c>
      <c r="P54" s="314">
        <f t="shared" si="10"/>
        <v>12787.8</v>
      </c>
      <c r="Q54" s="314">
        <f t="shared" si="10"/>
        <v>12785.8</v>
      </c>
      <c r="R54" s="314">
        <f t="shared" si="10"/>
        <v>12783.8</v>
      </c>
      <c r="S54" s="314">
        <f t="shared" si="10"/>
        <v>12781.8</v>
      </c>
      <c r="T54" s="314">
        <f t="shared" si="10"/>
        <v>12781.8</v>
      </c>
      <c r="U54" s="314">
        <f t="shared" si="10"/>
        <v>12781.8</v>
      </c>
      <c r="V54" s="314">
        <f t="shared" si="10"/>
        <v>12781.8</v>
      </c>
      <c r="W54" s="314">
        <f t="shared" si="10"/>
        <v>12781.8</v>
      </c>
      <c r="X54" s="314">
        <f t="shared" si="10"/>
        <v>12781.8</v>
      </c>
      <c r="Y54" s="314">
        <f t="shared" si="10"/>
        <v>12781.8</v>
      </c>
      <c r="Z54" s="314">
        <f t="shared" si="10"/>
        <v>12781.8</v>
      </c>
      <c r="AA54" s="314">
        <f t="shared" si="10"/>
        <v>12781.8</v>
      </c>
      <c r="AB54" s="314">
        <f t="shared" si="10"/>
        <v>12781.8</v>
      </c>
      <c r="AC54" s="314">
        <f t="shared" si="10"/>
        <v>12781.8</v>
      </c>
      <c r="AD54" s="314">
        <f t="shared" si="10"/>
        <v>12781.8</v>
      </c>
      <c r="AE54" s="314">
        <f t="shared" si="10"/>
        <v>12781.8</v>
      </c>
      <c r="AF54" s="315">
        <f t="shared" si="1"/>
        <v>128655.00000000001</v>
      </c>
    </row>
    <row r="55" spans="1:33" s="514" customFormat="1" ht="12.75" x14ac:dyDescent="0.2">
      <c r="A55" s="20">
        <v>2</v>
      </c>
      <c r="B55" s="21" t="s">
        <v>109</v>
      </c>
      <c r="C55" s="21"/>
      <c r="D55" s="21"/>
      <c r="E55" s="21"/>
      <c r="F55" s="28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6"/>
    </row>
    <row r="56" spans="1:33" s="514" customFormat="1" ht="13.5" thickBot="1" x14ac:dyDescent="0.25">
      <c r="A56" s="17"/>
      <c r="B56" s="17"/>
      <c r="C56" s="17"/>
      <c r="D56" s="17"/>
      <c r="E56" s="17"/>
      <c r="F56" s="18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17"/>
    </row>
    <row r="57" spans="1:33" s="514" customFormat="1" ht="12.75" x14ac:dyDescent="0.2">
      <c r="A57" s="20"/>
      <c r="B57" s="21"/>
      <c r="C57" s="21" t="s">
        <v>364</v>
      </c>
      <c r="D57" s="21"/>
      <c r="E57" s="21"/>
      <c r="F57" s="228" t="s">
        <v>21</v>
      </c>
      <c r="G57" s="270">
        <f>Titullapa!B25</f>
        <v>0.05</v>
      </c>
      <c r="H57" s="190"/>
      <c r="I57" s="9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9"/>
    </row>
    <row r="58" spans="1:33" s="514" customFormat="1" ht="12.75" x14ac:dyDescent="0.2">
      <c r="A58" s="229"/>
      <c r="B58" s="229"/>
      <c r="C58" s="230" t="s">
        <v>111</v>
      </c>
      <c r="D58" s="230"/>
      <c r="E58" s="230"/>
      <c r="F58" s="231" t="s">
        <v>112</v>
      </c>
      <c r="G58" s="104">
        <f t="shared" ref="G58:AE58" si="11">G3</f>
        <v>0</v>
      </c>
      <c r="H58" s="104">
        <f t="shared" si="11"/>
        <v>1</v>
      </c>
      <c r="I58" s="104">
        <f t="shared" si="11"/>
        <v>2</v>
      </c>
      <c r="J58" s="104">
        <f t="shared" si="11"/>
        <v>3</v>
      </c>
      <c r="K58" s="104">
        <f t="shared" si="11"/>
        <v>4</v>
      </c>
      <c r="L58" s="104">
        <f t="shared" si="11"/>
        <v>5</v>
      </c>
      <c r="M58" s="104">
        <f t="shared" si="11"/>
        <v>6</v>
      </c>
      <c r="N58" s="104">
        <f t="shared" si="11"/>
        <v>7</v>
      </c>
      <c r="O58" s="104">
        <f t="shared" si="11"/>
        <v>8</v>
      </c>
      <c r="P58" s="104">
        <f t="shared" si="11"/>
        <v>9</v>
      </c>
      <c r="Q58" s="104">
        <f t="shared" si="11"/>
        <v>10</v>
      </c>
      <c r="R58" s="104">
        <f t="shared" si="11"/>
        <v>11</v>
      </c>
      <c r="S58" s="104">
        <f t="shared" si="11"/>
        <v>12</v>
      </c>
      <c r="T58" s="104">
        <f t="shared" si="11"/>
        <v>13</v>
      </c>
      <c r="U58" s="104">
        <f t="shared" si="11"/>
        <v>14</v>
      </c>
      <c r="V58" s="104">
        <f t="shared" si="11"/>
        <v>15</v>
      </c>
      <c r="W58" s="104">
        <f t="shared" si="11"/>
        <v>16</v>
      </c>
      <c r="X58" s="104">
        <f t="shared" si="11"/>
        <v>17</v>
      </c>
      <c r="Y58" s="104">
        <f t="shared" si="11"/>
        <v>18</v>
      </c>
      <c r="Z58" s="104">
        <f t="shared" si="11"/>
        <v>19</v>
      </c>
      <c r="AA58" s="104">
        <f t="shared" si="11"/>
        <v>20</v>
      </c>
      <c r="AB58" s="104">
        <f t="shared" si="11"/>
        <v>21</v>
      </c>
      <c r="AC58" s="104">
        <f t="shared" si="11"/>
        <v>22</v>
      </c>
      <c r="AD58" s="104">
        <f t="shared" si="11"/>
        <v>23</v>
      </c>
      <c r="AE58" s="104">
        <f t="shared" si="11"/>
        <v>24</v>
      </c>
      <c r="AF58" s="17"/>
    </row>
    <row r="59" spans="1:33" s="514" customFormat="1" ht="12.75" x14ac:dyDescent="0.2">
      <c r="A59" s="229"/>
      <c r="B59" s="229"/>
      <c r="C59" s="230" t="s">
        <v>113</v>
      </c>
      <c r="D59" s="230"/>
      <c r="E59" s="230"/>
      <c r="F59" s="232" t="s">
        <v>114</v>
      </c>
      <c r="G59" s="108">
        <f t="shared" ref="G59:AE59" si="12">1/(1+$G$57)^G58</f>
        <v>1</v>
      </c>
      <c r="H59" s="108">
        <f t="shared" si="12"/>
        <v>0.95238095238095233</v>
      </c>
      <c r="I59" s="108">
        <f t="shared" si="12"/>
        <v>0.90702947845804982</v>
      </c>
      <c r="J59" s="108">
        <f t="shared" si="12"/>
        <v>0.86383759853147601</v>
      </c>
      <c r="K59" s="108">
        <f t="shared" si="12"/>
        <v>0.82270247479188197</v>
      </c>
      <c r="L59" s="108">
        <f t="shared" si="12"/>
        <v>0.78352616646845896</v>
      </c>
      <c r="M59" s="108">
        <f t="shared" si="12"/>
        <v>0.74621539663662761</v>
      </c>
      <c r="N59" s="108">
        <f t="shared" si="12"/>
        <v>0.71068133013012147</v>
      </c>
      <c r="O59" s="108">
        <f t="shared" si="12"/>
        <v>0.67683936202868722</v>
      </c>
      <c r="P59" s="108">
        <f t="shared" si="12"/>
        <v>0.64460891621779726</v>
      </c>
      <c r="Q59" s="108">
        <f t="shared" si="12"/>
        <v>0.61391325354075932</v>
      </c>
      <c r="R59" s="108">
        <f t="shared" si="12"/>
        <v>0.5846792890864374</v>
      </c>
      <c r="S59" s="108">
        <f t="shared" si="12"/>
        <v>0.5568374181775595</v>
      </c>
      <c r="T59" s="108">
        <f t="shared" si="12"/>
        <v>0.53032135064529462</v>
      </c>
      <c r="U59" s="108">
        <f t="shared" si="12"/>
        <v>0.50506795299551888</v>
      </c>
      <c r="V59" s="108">
        <f t="shared" si="12"/>
        <v>0.48101709809097021</v>
      </c>
      <c r="W59" s="108">
        <f t="shared" si="12"/>
        <v>0.45811152199140021</v>
      </c>
      <c r="X59" s="108">
        <f t="shared" si="12"/>
        <v>0.43629668761085727</v>
      </c>
      <c r="Y59" s="108">
        <f t="shared" si="12"/>
        <v>0.41552065486748313</v>
      </c>
      <c r="Z59" s="108">
        <f t="shared" si="12"/>
        <v>0.39573395701665059</v>
      </c>
      <c r="AA59" s="108">
        <f t="shared" si="12"/>
        <v>0.37688948287300061</v>
      </c>
      <c r="AB59" s="108">
        <f t="shared" si="12"/>
        <v>0.35894236464095297</v>
      </c>
      <c r="AC59" s="108">
        <f t="shared" si="12"/>
        <v>0.3418498710866219</v>
      </c>
      <c r="AD59" s="108">
        <f t="shared" si="12"/>
        <v>0.32557130579678267</v>
      </c>
      <c r="AE59" s="108">
        <f t="shared" si="12"/>
        <v>0.31006791028265024</v>
      </c>
      <c r="AF59" s="17"/>
    </row>
    <row r="60" spans="1:33" s="514" customFormat="1" ht="12.75" x14ac:dyDescent="0.2">
      <c r="A60" s="233"/>
      <c r="B60" s="234" t="s">
        <v>51</v>
      </c>
      <c r="C60" s="234" t="s">
        <v>320</v>
      </c>
      <c r="D60" s="234"/>
      <c r="E60" s="235"/>
      <c r="F60" s="236" t="s">
        <v>20</v>
      </c>
      <c r="G60" s="316">
        <f t="shared" ref="G60:AE60" si="13">G8*G59</f>
        <v>17500</v>
      </c>
      <c r="H60" s="317">
        <f t="shared" si="13"/>
        <v>16666.666666666664</v>
      </c>
      <c r="I60" s="317">
        <f t="shared" si="13"/>
        <v>11337.868480725623</v>
      </c>
      <c r="J60" s="317">
        <f t="shared" si="13"/>
        <v>10797.96998164345</v>
      </c>
      <c r="K60" s="317">
        <f t="shared" si="13"/>
        <v>10283.780934898525</v>
      </c>
      <c r="L60" s="317">
        <f t="shared" si="13"/>
        <v>9794.0770808557372</v>
      </c>
      <c r="M60" s="317">
        <f t="shared" si="13"/>
        <v>9327.6924579578445</v>
      </c>
      <c r="N60" s="317">
        <f t="shared" si="13"/>
        <v>8883.5166266265187</v>
      </c>
      <c r="O60" s="317">
        <f t="shared" si="13"/>
        <v>8460.4920253585897</v>
      </c>
      <c r="P60" s="317">
        <f t="shared" si="13"/>
        <v>8057.6114527224654</v>
      </c>
      <c r="Q60" s="317">
        <f t="shared" si="13"/>
        <v>7673.9156692594916</v>
      </c>
      <c r="R60" s="317">
        <f t="shared" si="13"/>
        <v>7308.4911135804678</v>
      </c>
      <c r="S60" s="317">
        <f t="shared" si="13"/>
        <v>6960.467727219494</v>
      </c>
      <c r="T60" s="317">
        <f t="shared" si="13"/>
        <v>6629.0168830661823</v>
      </c>
      <c r="U60" s="317">
        <f t="shared" si="13"/>
        <v>6313.3494124439858</v>
      </c>
      <c r="V60" s="317">
        <f t="shared" si="13"/>
        <v>6012.7137261371272</v>
      </c>
      <c r="W60" s="317">
        <f t="shared" si="13"/>
        <v>5726.3940248925028</v>
      </c>
      <c r="X60" s="317">
        <f t="shared" si="13"/>
        <v>5453.7085951357158</v>
      </c>
      <c r="Y60" s="317">
        <f t="shared" si="13"/>
        <v>5194.0081858435387</v>
      </c>
      <c r="Z60" s="317">
        <f t="shared" si="13"/>
        <v>4946.6744627081325</v>
      </c>
      <c r="AA60" s="317">
        <f t="shared" si="13"/>
        <v>4711.1185359125075</v>
      </c>
      <c r="AB60" s="317">
        <f t="shared" si="13"/>
        <v>4486.7795580119118</v>
      </c>
      <c r="AC60" s="317">
        <f t="shared" si="13"/>
        <v>4273.1233885827742</v>
      </c>
      <c r="AD60" s="317">
        <f t="shared" si="13"/>
        <v>4069.6413224597836</v>
      </c>
      <c r="AE60" s="317">
        <f t="shared" si="13"/>
        <v>3875.8488785331278</v>
      </c>
      <c r="AF60" s="318">
        <f t="shared" ref="AF60:AF69" si="14">SUM(G60:AE60)</f>
        <v>194744.92719124217</v>
      </c>
    </row>
    <row r="61" spans="1:33" s="514" customFormat="1" ht="12.75" x14ac:dyDescent="0.2">
      <c r="A61" s="209"/>
      <c r="B61" s="25" t="s">
        <v>52</v>
      </c>
      <c r="C61" s="25" t="s">
        <v>321</v>
      </c>
      <c r="D61" s="25"/>
      <c r="E61" s="237"/>
      <c r="F61" s="238" t="s">
        <v>20</v>
      </c>
      <c r="G61" s="319">
        <f t="shared" ref="G61:AE61" si="15">G18*G59</f>
        <v>2000</v>
      </c>
      <c r="H61" s="320">
        <f t="shared" si="15"/>
        <v>2857.1428571428569</v>
      </c>
      <c r="I61" s="320">
        <f t="shared" si="15"/>
        <v>4553.2879818594101</v>
      </c>
      <c r="J61" s="320">
        <f t="shared" si="15"/>
        <v>879.38667530504256</v>
      </c>
      <c r="K61" s="320">
        <f t="shared" si="15"/>
        <v>835.86571438855208</v>
      </c>
      <c r="L61" s="320">
        <f t="shared" si="15"/>
        <v>794.49553279901738</v>
      </c>
      <c r="M61" s="320">
        <f t="shared" si="15"/>
        <v>755.16998139626719</v>
      </c>
      <c r="N61" s="320">
        <f t="shared" si="15"/>
        <v>717.78814343142267</v>
      </c>
      <c r="O61" s="320">
        <f t="shared" si="15"/>
        <v>682.25407692491672</v>
      </c>
      <c r="P61" s="320">
        <f t="shared" si="15"/>
        <v>648.47656971510401</v>
      </c>
      <c r="Q61" s="320">
        <f t="shared" si="15"/>
        <v>616.36890655492232</v>
      </c>
      <c r="R61" s="320">
        <f t="shared" si="15"/>
        <v>585.84864766461033</v>
      </c>
      <c r="S61" s="320">
        <f t="shared" si="15"/>
        <v>556.83741817755947</v>
      </c>
      <c r="T61" s="320">
        <f t="shared" si="15"/>
        <v>530.32135064529461</v>
      </c>
      <c r="U61" s="320">
        <f t="shared" si="15"/>
        <v>505.06795299551885</v>
      </c>
      <c r="V61" s="320">
        <f t="shared" si="15"/>
        <v>481.01709809097019</v>
      </c>
      <c r="W61" s="320">
        <f t="shared" si="15"/>
        <v>458.1115219914002</v>
      </c>
      <c r="X61" s="320">
        <f t="shared" si="15"/>
        <v>436.29668761085725</v>
      </c>
      <c r="Y61" s="320">
        <f t="shared" si="15"/>
        <v>415.52065486748313</v>
      </c>
      <c r="Z61" s="320">
        <f t="shared" si="15"/>
        <v>395.73395701665061</v>
      </c>
      <c r="AA61" s="320">
        <f t="shared" si="15"/>
        <v>376.88948287300059</v>
      </c>
      <c r="AB61" s="320">
        <f t="shared" si="15"/>
        <v>358.94236464095297</v>
      </c>
      <c r="AC61" s="320">
        <f t="shared" si="15"/>
        <v>341.84987108662193</v>
      </c>
      <c r="AD61" s="320">
        <f t="shared" si="15"/>
        <v>325.57130579678267</v>
      </c>
      <c r="AE61" s="320">
        <f t="shared" si="15"/>
        <v>310.06791028265025</v>
      </c>
      <c r="AF61" s="321">
        <f t="shared" si="14"/>
        <v>21418.312663257871</v>
      </c>
    </row>
    <row r="62" spans="1:33" s="514" customFormat="1" ht="12.75" x14ac:dyDescent="0.2">
      <c r="A62" s="209"/>
      <c r="B62" s="25" t="s">
        <v>53</v>
      </c>
      <c r="C62" s="25" t="s">
        <v>119</v>
      </c>
      <c r="D62" s="25"/>
      <c r="E62" s="237"/>
      <c r="F62" s="238" t="s">
        <v>146</v>
      </c>
      <c r="G62" s="319">
        <f t="shared" ref="G62:AE62" si="16">G29*G59</f>
        <v>0</v>
      </c>
      <c r="H62" s="320">
        <f t="shared" si="16"/>
        <v>0</v>
      </c>
      <c r="I62" s="320">
        <f t="shared" si="16"/>
        <v>0</v>
      </c>
      <c r="J62" s="320">
        <f t="shared" si="16"/>
        <v>0</v>
      </c>
      <c r="K62" s="320">
        <f t="shared" si="16"/>
        <v>0</v>
      </c>
      <c r="L62" s="320">
        <f t="shared" si="16"/>
        <v>0</v>
      </c>
      <c r="M62" s="320">
        <f t="shared" si="16"/>
        <v>0</v>
      </c>
      <c r="N62" s="320">
        <f t="shared" si="16"/>
        <v>0</v>
      </c>
      <c r="O62" s="320">
        <f t="shared" si="16"/>
        <v>0</v>
      </c>
      <c r="P62" s="320">
        <f t="shared" si="16"/>
        <v>0</v>
      </c>
      <c r="Q62" s="320">
        <f t="shared" si="16"/>
        <v>0</v>
      </c>
      <c r="R62" s="320">
        <f t="shared" si="16"/>
        <v>0</v>
      </c>
      <c r="S62" s="320">
        <f t="shared" si="16"/>
        <v>0</v>
      </c>
      <c r="T62" s="320">
        <f t="shared" si="16"/>
        <v>0</v>
      </c>
      <c r="U62" s="320">
        <f t="shared" si="16"/>
        <v>0</v>
      </c>
      <c r="V62" s="320">
        <f t="shared" si="16"/>
        <v>0</v>
      </c>
      <c r="W62" s="320">
        <f t="shared" si="16"/>
        <v>0</v>
      </c>
      <c r="X62" s="320">
        <f t="shared" si="16"/>
        <v>0</v>
      </c>
      <c r="Y62" s="320">
        <f t="shared" si="16"/>
        <v>0</v>
      </c>
      <c r="Z62" s="320">
        <f t="shared" si="16"/>
        <v>0</v>
      </c>
      <c r="AA62" s="320">
        <f t="shared" si="16"/>
        <v>0</v>
      </c>
      <c r="AB62" s="320">
        <f t="shared" si="16"/>
        <v>0</v>
      </c>
      <c r="AC62" s="320">
        <f t="shared" si="16"/>
        <v>0</v>
      </c>
      <c r="AD62" s="320">
        <f t="shared" si="16"/>
        <v>0</v>
      </c>
      <c r="AE62" s="320">
        <f t="shared" si="16"/>
        <v>0</v>
      </c>
      <c r="AF62" s="321">
        <f t="shared" si="14"/>
        <v>0</v>
      </c>
    </row>
    <row r="63" spans="1:33" s="514" customFormat="1" ht="12.75" x14ac:dyDescent="0.2">
      <c r="A63" s="209"/>
      <c r="B63" s="25" t="s">
        <v>54</v>
      </c>
      <c r="C63" s="25" t="s">
        <v>322</v>
      </c>
      <c r="D63" s="25"/>
      <c r="E63" s="237"/>
      <c r="F63" s="238" t="s">
        <v>20</v>
      </c>
      <c r="G63" s="319">
        <f t="shared" ref="G63:AE63" si="17">G30*G59</f>
        <v>19500</v>
      </c>
      <c r="H63" s="320">
        <f t="shared" si="17"/>
        <v>19523.809523809523</v>
      </c>
      <c r="I63" s="320">
        <f t="shared" si="17"/>
        <v>15891.156462585033</v>
      </c>
      <c r="J63" s="320">
        <f t="shared" si="17"/>
        <v>11677.356656948492</v>
      </c>
      <c r="K63" s="320">
        <f t="shared" si="17"/>
        <v>11119.646649287077</v>
      </c>
      <c r="L63" s="320">
        <f t="shared" si="17"/>
        <v>10588.572613654755</v>
      </c>
      <c r="M63" s="320">
        <f t="shared" si="17"/>
        <v>10082.862439354112</v>
      </c>
      <c r="N63" s="320">
        <f t="shared" si="17"/>
        <v>9601.3047700579409</v>
      </c>
      <c r="O63" s="320">
        <f t="shared" si="17"/>
        <v>9142.7461022835068</v>
      </c>
      <c r="P63" s="320">
        <f t="shared" si="17"/>
        <v>8706.0880224375705</v>
      </c>
      <c r="Q63" s="320">
        <f t="shared" si="17"/>
        <v>8290.284575814414</v>
      </c>
      <c r="R63" s="320">
        <f t="shared" si="17"/>
        <v>7894.3397612450781</v>
      </c>
      <c r="S63" s="320">
        <f t="shared" si="17"/>
        <v>7517.3051453970529</v>
      </c>
      <c r="T63" s="320">
        <f t="shared" si="17"/>
        <v>7159.3382337114772</v>
      </c>
      <c r="U63" s="320">
        <f t="shared" si="17"/>
        <v>6818.4173654395045</v>
      </c>
      <c r="V63" s="320">
        <f t="shared" si="17"/>
        <v>6493.7308242280978</v>
      </c>
      <c r="W63" s="320">
        <f t="shared" si="17"/>
        <v>6184.5055468839028</v>
      </c>
      <c r="X63" s="320">
        <f t="shared" si="17"/>
        <v>5890.0052827465734</v>
      </c>
      <c r="Y63" s="320">
        <f t="shared" si="17"/>
        <v>5609.528840711022</v>
      </c>
      <c r="Z63" s="320">
        <f t="shared" si="17"/>
        <v>5342.408419724783</v>
      </c>
      <c r="AA63" s="320">
        <f t="shared" si="17"/>
        <v>5088.0080187855083</v>
      </c>
      <c r="AB63" s="320">
        <f t="shared" si="17"/>
        <v>4845.721922652865</v>
      </c>
      <c r="AC63" s="320">
        <f t="shared" si="17"/>
        <v>4614.9732596693957</v>
      </c>
      <c r="AD63" s="320">
        <f t="shared" si="17"/>
        <v>4395.2126282565659</v>
      </c>
      <c r="AE63" s="320">
        <f t="shared" si="17"/>
        <v>4185.9167888157781</v>
      </c>
      <c r="AF63" s="321">
        <f t="shared" si="14"/>
        <v>216163.23985450005</v>
      </c>
    </row>
    <row r="64" spans="1:33" s="514" customFormat="1" ht="12.75" x14ac:dyDescent="0.2">
      <c r="A64" s="209"/>
      <c r="B64" s="25" t="s">
        <v>55</v>
      </c>
      <c r="C64" s="25" t="s">
        <v>323</v>
      </c>
      <c r="D64" s="25"/>
      <c r="E64" s="237"/>
      <c r="F64" s="238" t="s">
        <v>20</v>
      </c>
      <c r="G64" s="319">
        <f t="shared" ref="G64:AE64" si="18">G31*G59</f>
        <v>1500</v>
      </c>
      <c r="H64" s="320">
        <f t="shared" si="18"/>
        <v>1428.5714285714284</v>
      </c>
      <c r="I64" s="320">
        <f t="shared" si="18"/>
        <v>1360.5442176870747</v>
      </c>
      <c r="J64" s="320">
        <f t="shared" si="18"/>
        <v>1295.756397797214</v>
      </c>
      <c r="K64" s="320">
        <f t="shared" si="18"/>
        <v>1234.0537121878228</v>
      </c>
      <c r="L64" s="320">
        <f t="shared" si="18"/>
        <v>1175.2892497026885</v>
      </c>
      <c r="M64" s="320">
        <f t="shared" si="18"/>
        <v>1119.3230949549413</v>
      </c>
      <c r="N64" s="320">
        <f t="shared" si="18"/>
        <v>1066.0219951951822</v>
      </c>
      <c r="O64" s="320">
        <f t="shared" si="18"/>
        <v>1015.2590430430308</v>
      </c>
      <c r="P64" s="320">
        <f t="shared" si="18"/>
        <v>966.91337432669593</v>
      </c>
      <c r="Q64" s="320">
        <f t="shared" si="18"/>
        <v>920.86988031113901</v>
      </c>
      <c r="R64" s="320">
        <f t="shared" si="18"/>
        <v>877.01893362965609</v>
      </c>
      <c r="S64" s="320">
        <f t="shared" si="18"/>
        <v>835.25612726633926</v>
      </c>
      <c r="T64" s="320">
        <f t="shared" si="18"/>
        <v>795.48202596794192</v>
      </c>
      <c r="U64" s="320">
        <f t="shared" si="18"/>
        <v>757.60192949327836</v>
      </c>
      <c r="V64" s="320">
        <f t="shared" si="18"/>
        <v>721.52564713645529</v>
      </c>
      <c r="W64" s="320">
        <f t="shared" si="18"/>
        <v>687.16728298710029</v>
      </c>
      <c r="X64" s="320">
        <f t="shared" si="18"/>
        <v>654.44503141628593</v>
      </c>
      <c r="Y64" s="320">
        <f t="shared" si="18"/>
        <v>623.28098230122464</v>
      </c>
      <c r="Z64" s="320">
        <f t="shared" si="18"/>
        <v>593.60093552497585</v>
      </c>
      <c r="AA64" s="320">
        <f t="shared" si="18"/>
        <v>565.33422430950088</v>
      </c>
      <c r="AB64" s="320">
        <f t="shared" si="18"/>
        <v>538.41354696142946</v>
      </c>
      <c r="AC64" s="320">
        <f t="shared" si="18"/>
        <v>512.77480662993287</v>
      </c>
      <c r="AD64" s="320">
        <f t="shared" si="18"/>
        <v>488.356958695174</v>
      </c>
      <c r="AE64" s="320">
        <f t="shared" si="18"/>
        <v>465.10186542397537</v>
      </c>
      <c r="AF64" s="321">
        <f t="shared" si="14"/>
        <v>22197.962691520479</v>
      </c>
    </row>
    <row r="65" spans="1:32" s="514" customFormat="1" ht="12.75" x14ac:dyDescent="0.2">
      <c r="A65" s="209"/>
      <c r="B65" s="25" t="s">
        <v>56</v>
      </c>
      <c r="C65" s="25" t="s">
        <v>324</v>
      </c>
      <c r="D65" s="25"/>
      <c r="E65" s="237"/>
      <c r="F65" s="238" t="s">
        <v>20</v>
      </c>
      <c r="G65" s="319">
        <f t="shared" ref="G65:AE65" si="19">G41*G59</f>
        <v>0</v>
      </c>
      <c r="H65" s="320">
        <f t="shared" si="19"/>
        <v>0</v>
      </c>
      <c r="I65" s="320">
        <f t="shared" si="19"/>
        <v>0</v>
      </c>
      <c r="J65" s="320">
        <f t="shared" si="19"/>
        <v>0</v>
      </c>
      <c r="K65" s="320">
        <f t="shared" si="19"/>
        <v>0</v>
      </c>
      <c r="L65" s="320">
        <f t="shared" si="19"/>
        <v>0</v>
      </c>
      <c r="M65" s="320">
        <f t="shared" si="19"/>
        <v>0</v>
      </c>
      <c r="N65" s="320">
        <f t="shared" si="19"/>
        <v>0</v>
      </c>
      <c r="O65" s="320">
        <f t="shared" si="19"/>
        <v>0</v>
      </c>
      <c r="P65" s="320">
        <f t="shared" si="19"/>
        <v>0</v>
      </c>
      <c r="Q65" s="320">
        <f t="shared" si="19"/>
        <v>0</v>
      </c>
      <c r="R65" s="320">
        <f t="shared" si="19"/>
        <v>0</v>
      </c>
      <c r="S65" s="320">
        <f t="shared" si="19"/>
        <v>0</v>
      </c>
      <c r="T65" s="320">
        <f t="shared" si="19"/>
        <v>0</v>
      </c>
      <c r="U65" s="320">
        <f t="shared" si="19"/>
        <v>0</v>
      </c>
      <c r="V65" s="320">
        <f t="shared" si="19"/>
        <v>0</v>
      </c>
      <c r="W65" s="320">
        <f t="shared" si="19"/>
        <v>0</v>
      </c>
      <c r="X65" s="320">
        <f t="shared" si="19"/>
        <v>0</v>
      </c>
      <c r="Y65" s="320">
        <f t="shared" si="19"/>
        <v>0</v>
      </c>
      <c r="Z65" s="320">
        <f t="shared" si="19"/>
        <v>0</v>
      </c>
      <c r="AA65" s="320">
        <f t="shared" si="19"/>
        <v>0</v>
      </c>
      <c r="AB65" s="320">
        <f t="shared" si="19"/>
        <v>0</v>
      </c>
      <c r="AC65" s="320">
        <f t="shared" si="19"/>
        <v>0</v>
      </c>
      <c r="AD65" s="320">
        <f t="shared" si="19"/>
        <v>0</v>
      </c>
      <c r="AE65" s="320">
        <f t="shared" si="19"/>
        <v>0</v>
      </c>
      <c r="AF65" s="321">
        <f t="shared" si="14"/>
        <v>0</v>
      </c>
    </row>
    <row r="66" spans="1:32" s="514" customFormat="1" ht="12.75" x14ac:dyDescent="0.2">
      <c r="A66" s="209"/>
      <c r="B66" s="25" t="s">
        <v>151</v>
      </c>
      <c r="C66" s="25" t="s">
        <v>325</v>
      </c>
      <c r="D66" s="25"/>
      <c r="E66" s="237"/>
      <c r="F66" s="238" t="s">
        <v>20</v>
      </c>
      <c r="G66" s="319">
        <f t="shared" ref="G66:AE66" si="20">G45*G59</f>
        <v>99500</v>
      </c>
      <c r="H66" s="320">
        <f t="shared" si="20"/>
        <v>79523.809523809527</v>
      </c>
      <c r="I66" s="320">
        <f t="shared" si="20"/>
        <v>22675.736961451246</v>
      </c>
      <c r="J66" s="320">
        <f t="shared" si="20"/>
        <v>0</v>
      </c>
      <c r="K66" s="320">
        <f t="shared" si="20"/>
        <v>0</v>
      </c>
      <c r="L66" s="320">
        <f t="shared" si="20"/>
        <v>0</v>
      </c>
      <c r="M66" s="320">
        <f t="shared" si="20"/>
        <v>0</v>
      </c>
      <c r="N66" s="320">
        <f t="shared" si="20"/>
        <v>0</v>
      </c>
      <c r="O66" s="320">
        <f t="shared" si="20"/>
        <v>0</v>
      </c>
      <c r="P66" s="320">
        <f t="shared" si="20"/>
        <v>0</v>
      </c>
      <c r="Q66" s="320">
        <f t="shared" si="20"/>
        <v>0</v>
      </c>
      <c r="R66" s="320">
        <f t="shared" si="20"/>
        <v>0</v>
      </c>
      <c r="S66" s="320">
        <f t="shared" si="20"/>
        <v>0</v>
      </c>
      <c r="T66" s="320">
        <f t="shared" si="20"/>
        <v>0</v>
      </c>
      <c r="U66" s="320">
        <f t="shared" si="20"/>
        <v>0</v>
      </c>
      <c r="V66" s="320">
        <f t="shared" si="20"/>
        <v>0</v>
      </c>
      <c r="W66" s="320">
        <f t="shared" si="20"/>
        <v>0</v>
      </c>
      <c r="X66" s="320">
        <f t="shared" si="20"/>
        <v>0</v>
      </c>
      <c r="Y66" s="320">
        <f t="shared" si="20"/>
        <v>0</v>
      </c>
      <c r="Z66" s="320">
        <f t="shared" si="20"/>
        <v>0</v>
      </c>
      <c r="AA66" s="320">
        <f t="shared" si="20"/>
        <v>0</v>
      </c>
      <c r="AB66" s="320">
        <f t="shared" si="20"/>
        <v>0</v>
      </c>
      <c r="AC66" s="320">
        <f t="shared" si="20"/>
        <v>0</v>
      </c>
      <c r="AD66" s="320">
        <f t="shared" si="20"/>
        <v>0</v>
      </c>
      <c r="AE66" s="320">
        <f t="shared" si="20"/>
        <v>0</v>
      </c>
      <c r="AF66" s="321">
        <f t="shared" si="14"/>
        <v>201699.54648526077</v>
      </c>
    </row>
    <row r="67" spans="1:32" s="514" customFormat="1" ht="12.75" x14ac:dyDescent="0.2">
      <c r="A67" s="209"/>
      <c r="B67" s="25" t="s">
        <v>278</v>
      </c>
      <c r="C67" s="25" t="s">
        <v>326</v>
      </c>
      <c r="D67" s="25"/>
      <c r="E67" s="237"/>
      <c r="F67" s="238" t="s">
        <v>20</v>
      </c>
      <c r="G67" s="319">
        <f t="shared" ref="G67:AE67" si="21">G49*G59</f>
        <v>781.8</v>
      </c>
      <c r="H67" s="320">
        <f t="shared" si="21"/>
        <v>744.57142857142844</v>
      </c>
      <c r="I67" s="320">
        <f t="shared" si="21"/>
        <v>709.11564625850326</v>
      </c>
      <c r="J67" s="320">
        <f t="shared" si="21"/>
        <v>675.34823453190791</v>
      </c>
      <c r="K67" s="320">
        <f t="shared" si="21"/>
        <v>643.18879479229327</v>
      </c>
      <c r="L67" s="320">
        <f t="shared" si="21"/>
        <v>612.56075694504113</v>
      </c>
      <c r="M67" s="320">
        <f t="shared" si="21"/>
        <v>583.39119709051545</v>
      </c>
      <c r="N67" s="320">
        <f t="shared" si="21"/>
        <v>555.61066389572898</v>
      </c>
      <c r="O67" s="320">
        <f t="shared" si="21"/>
        <v>529.15301323402764</v>
      </c>
      <c r="P67" s="320">
        <f t="shared" si="21"/>
        <v>503.95525069907387</v>
      </c>
      <c r="Q67" s="320">
        <f t="shared" si="21"/>
        <v>479.95738161816558</v>
      </c>
      <c r="R67" s="320">
        <f t="shared" si="21"/>
        <v>457.10226820777672</v>
      </c>
      <c r="S67" s="320">
        <f t="shared" si="21"/>
        <v>435.335493531216</v>
      </c>
      <c r="T67" s="320">
        <f t="shared" si="21"/>
        <v>414.60523193449131</v>
      </c>
      <c r="U67" s="320">
        <f t="shared" si="21"/>
        <v>394.86212565189663</v>
      </c>
      <c r="V67" s="320">
        <f t="shared" si="21"/>
        <v>376.05916728752049</v>
      </c>
      <c r="W67" s="320">
        <f t="shared" si="21"/>
        <v>358.15158789287665</v>
      </c>
      <c r="X67" s="320">
        <f t="shared" si="21"/>
        <v>341.09675037416821</v>
      </c>
      <c r="Y67" s="320">
        <f t="shared" si="21"/>
        <v>324.85404797539832</v>
      </c>
      <c r="Z67" s="320">
        <f t="shared" si="21"/>
        <v>309.38480759561742</v>
      </c>
      <c r="AA67" s="320">
        <f t="shared" si="21"/>
        <v>294.65219771011186</v>
      </c>
      <c r="AB67" s="320">
        <f t="shared" si="21"/>
        <v>280.62114067629699</v>
      </c>
      <c r="AC67" s="320">
        <f t="shared" si="21"/>
        <v>267.258229215521</v>
      </c>
      <c r="AD67" s="320">
        <f t="shared" si="21"/>
        <v>254.53164687192469</v>
      </c>
      <c r="AE67" s="320">
        <f t="shared" si="21"/>
        <v>242.41109225897594</v>
      </c>
      <c r="AF67" s="321">
        <f t="shared" si="14"/>
        <v>11569.578154820476</v>
      </c>
    </row>
    <row r="68" spans="1:32" s="514" customFormat="1" ht="12.75" x14ac:dyDescent="0.2">
      <c r="A68" s="209"/>
      <c r="B68" s="25" t="s">
        <v>279</v>
      </c>
      <c r="C68" s="25" t="s">
        <v>327</v>
      </c>
      <c r="D68" s="25"/>
      <c r="E68" s="237"/>
      <c r="F68" s="238" t="s">
        <v>20</v>
      </c>
      <c r="G68" s="319">
        <f t="shared" ref="G68:AE68" si="22">G53*G59</f>
        <v>100218.2</v>
      </c>
      <c r="H68" s="320">
        <f t="shared" si="22"/>
        <v>80207.809523809512</v>
      </c>
      <c r="I68" s="320">
        <f t="shared" si="22"/>
        <v>23327.165532879819</v>
      </c>
      <c r="J68" s="320">
        <f t="shared" si="22"/>
        <v>620.40816326530614</v>
      </c>
      <c r="K68" s="320">
        <f t="shared" si="22"/>
        <v>590.86491739552969</v>
      </c>
      <c r="L68" s="320">
        <f t="shared" si="22"/>
        <v>562.72849275764725</v>
      </c>
      <c r="M68" s="320">
        <f t="shared" si="22"/>
        <v>535.93189786442599</v>
      </c>
      <c r="N68" s="320">
        <f t="shared" si="22"/>
        <v>510.41133129945325</v>
      </c>
      <c r="O68" s="320">
        <f t="shared" si="22"/>
        <v>486.10602980900319</v>
      </c>
      <c r="P68" s="320">
        <f t="shared" si="22"/>
        <v>462.958123627622</v>
      </c>
      <c r="Q68" s="320">
        <f t="shared" si="22"/>
        <v>440.91249869297337</v>
      </c>
      <c r="R68" s="320">
        <f t="shared" si="22"/>
        <v>419.91666542187937</v>
      </c>
      <c r="S68" s="320">
        <f t="shared" si="22"/>
        <v>399.92063373512326</v>
      </c>
      <c r="T68" s="320">
        <f t="shared" si="22"/>
        <v>380.87679403345061</v>
      </c>
      <c r="U68" s="320">
        <f t="shared" si="22"/>
        <v>362.73980384138167</v>
      </c>
      <c r="V68" s="320">
        <f t="shared" si="22"/>
        <v>345.46647984893485</v>
      </c>
      <c r="W68" s="320">
        <f t="shared" si="22"/>
        <v>329.01569509422364</v>
      </c>
      <c r="X68" s="320">
        <f t="shared" si="22"/>
        <v>313.34828104211772</v>
      </c>
      <c r="Y68" s="320">
        <f t="shared" si="22"/>
        <v>298.42693432582638</v>
      </c>
      <c r="Z68" s="320">
        <f t="shared" si="22"/>
        <v>284.21612792935849</v>
      </c>
      <c r="AA68" s="320">
        <f t="shared" si="22"/>
        <v>270.68202659938908</v>
      </c>
      <c r="AB68" s="320">
        <f t="shared" si="22"/>
        <v>257.79240628513242</v>
      </c>
      <c r="AC68" s="320">
        <f t="shared" si="22"/>
        <v>245.51657741441187</v>
      </c>
      <c r="AD68" s="320">
        <f t="shared" si="22"/>
        <v>233.82531182324934</v>
      </c>
      <c r="AE68" s="320">
        <f t="shared" si="22"/>
        <v>222.69077316499943</v>
      </c>
      <c r="AF68" s="321">
        <f t="shared" si="14"/>
        <v>212327.9310219608</v>
      </c>
    </row>
    <row r="69" spans="1:32" s="514" customFormat="1" ht="12.75" x14ac:dyDescent="0.2">
      <c r="A69" s="239"/>
      <c r="B69" s="240" t="s">
        <v>328</v>
      </c>
      <c r="C69" s="240" t="s">
        <v>329</v>
      </c>
      <c r="D69" s="240"/>
      <c r="E69" s="241"/>
      <c r="F69" s="242" t="s">
        <v>20</v>
      </c>
      <c r="G69" s="322">
        <f t="shared" ref="G69:AE69" si="23">G54*G59</f>
        <v>-80718.2</v>
      </c>
      <c r="H69" s="323">
        <f t="shared" si="23"/>
        <v>-60683.999999999993</v>
      </c>
      <c r="I69" s="323">
        <f t="shared" si="23"/>
        <v>-7436.0090702947846</v>
      </c>
      <c r="J69" s="323">
        <f t="shared" si="23"/>
        <v>11056.948493683187</v>
      </c>
      <c r="K69" s="323">
        <f t="shared" si="23"/>
        <v>10528.781731891546</v>
      </c>
      <c r="L69" s="323">
        <f t="shared" si="23"/>
        <v>10025.844120897107</v>
      </c>
      <c r="M69" s="323">
        <f t="shared" si="23"/>
        <v>9546.9305414896862</v>
      </c>
      <c r="N69" s="323">
        <f t="shared" si="23"/>
        <v>9090.8934387584868</v>
      </c>
      <c r="O69" s="323">
        <f t="shared" si="23"/>
        <v>8656.6400724745035</v>
      </c>
      <c r="P69" s="323">
        <f t="shared" si="23"/>
        <v>8243.1298988099479</v>
      </c>
      <c r="Q69" s="323">
        <f t="shared" si="23"/>
        <v>7849.3720771214403</v>
      </c>
      <c r="R69" s="323">
        <f t="shared" si="23"/>
        <v>7474.4230958231983</v>
      </c>
      <c r="S69" s="323">
        <f t="shared" si="23"/>
        <v>7117.3845116619295</v>
      </c>
      <c r="T69" s="323">
        <f t="shared" si="23"/>
        <v>6778.4614396780262</v>
      </c>
      <c r="U69" s="323">
        <f t="shared" si="23"/>
        <v>6455.6775615981232</v>
      </c>
      <c r="V69" s="323">
        <f t="shared" si="23"/>
        <v>6148.264344379163</v>
      </c>
      <c r="W69" s="323">
        <f t="shared" si="23"/>
        <v>5855.4898517896791</v>
      </c>
      <c r="X69" s="323">
        <f t="shared" si="23"/>
        <v>5576.6570017044551</v>
      </c>
      <c r="Y69" s="323">
        <f t="shared" si="23"/>
        <v>5311.1019063851954</v>
      </c>
      <c r="Z69" s="323">
        <f t="shared" si="23"/>
        <v>5058.1922917954244</v>
      </c>
      <c r="AA69" s="323">
        <f t="shared" si="23"/>
        <v>4817.325992186119</v>
      </c>
      <c r="AB69" s="323">
        <f t="shared" si="23"/>
        <v>4587.9295163677325</v>
      </c>
      <c r="AC69" s="323">
        <f t="shared" si="23"/>
        <v>4369.4566822549832</v>
      </c>
      <c r="AD69" s="323">
        <f t="shared" si="23"/>
        <v>4161.3873164333163</v>
      </c>
      <c r="AE69" s="323">
        <f t="shared" si="23"/>
        <v>3963.2260156507787</v>
      </c>
      <c r="AF69" s="324">
        <f t="shared" si="14"/>
        <v>3835.3088325392378</v>
      </c>
    </row>
    <row r="70" spans="1:32" s="514" customFormat="1" ht="12.75" x14ac:dyDescent="0.2">
      <c r="A70" s="17"/>
      <c r="B70" s="17"/>
      <c r="C70" s="17"/>
      <c r="D70" s="17"/>
      <c r="E70" s="241"/>
      <c r="F70" s="18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514" customFormat="1" ht="12.75" x14ac:dyDescent="0.2">
      <c r="A71" s="20">
        <v>3</v>
      </c>
      <c r="B71" s="21" t="s">
        <v>121</v>
      </c>
      <c r="C71" s="21"/>
      <c r="D71" s="21"/>
      <c r="E71" s="21"/>
      <c r="F71" s="21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3"/>
    </row>
    <row r="72" spans="1:32" s="514" customFormat="1" ht="12.75" x14ac:dyDescent="0.2">
      <c r="A72" s="240"/>
      <c r="B72" s="240"/>
      <c r="C72" s="240"/>
      <c r="D72" s="240"/>
      <c r="E72" s="240"/>
      <c r="F72" s="113" t="s">
        <v>122</v>
      </c>
      <c r="G72" s="114"/>
      <c r="H72" s="115" t="s">
        <v>123</v>
      </c>
      <c r="I72" s="196"/>
      <c r="J72" s="196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514" customFormat="1" ht="12.75" x14ac:dyDescent="0.2">
      <c r="A73" s="233"/>
      <c r="B73" s="234" t="s">
        <v>31</v>
      </c>
      <c r="C73" s="234" t="s">
        <v>284</v>
      </c>
      <c r="D73" s="234"/>
      <c r="E73" s="235"/>
      <c r="F73" s="325">
        <f>AF8</f>
        <v>322500</v>
      </c>
      <c r="G73" s="326"/>
      <c r="H73" s="327">
        <f>AF60</f>
        <v>194744.92719124217</v>
      </c>
      <c r="I73" s="196"/>
      <c r="J73" s="196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514" customFormat="1" ht="12.75" x14ac:dyDescent="0.2">
      <c r="A74" s="209"/>
      <c r="B74" s="25" t="s">
        <v>32</v>
      </c>
      <c r="C74" s="25" t="s">
        <v>78</v>
      </c>
      <c r="D74" s="25"/>
      <c r="E74" s="237"/>
      <c r="F74" s="328">
        <f>AF18</f>
        <v>32110</v>
      </c>
      <c r="G74" s="329"/>
      <c r="H74" s="330">
        <f>AF61</f>
        <v>21418.312663257871</v>
      </c>
      <c r="I74" s="196"/>
      <c r="J74" s="196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514" customFormat="1" ht="12.75" x14ac:dyDescent="0.2">
      <c r="A75" s="209"/>
      <c r="B75" s="25" t="s">
        <v>124</v>
      </c>
      <c r="C75" s="25" t="s">
        <v>75</v>
      </c>
      <c r="D75" s="25"/>
      <c r="E75" s="237"/>
      <c r="F75" s="328">
        <f>AF29</f>
        <v>0</v>
      </c>
      <c r="G75" s="329"/>
      <c r="H75" s="330">
        <f>AF62</f>
        <v>0</v>
      </c>
      <c r="I75" s="196"/>
      <c r="J75" s="196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514" customFormat="1" ht="12.75" x14ac:dyDescent="0.2">
      <c r="A76" s="209"/>
      <c r="B76" s="25" t="s">
        <v>125</v>
      </c>
      <c r="C76" s="25" t="s">
        <v>330</v>
      </c>
      <c r="D76" s="25"/>
      <c r="E76" s="237"/>
      <c r="F76" s="328">
        <f>AF30</f>
        <v>354610</v>
      </c>
      <c r="G76" s="329"/>
      <c r="H76" s="330">
        <f t="shared" ref="H76:H81" si="24">AF63</f>
        <v>216163.23985450005</v>
      </c>
      <c r="I76" s="196"/>
      <c r="J76" s="196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514" customFormat="1" ht="12.75" x14ac:dyDescent="0.2">
      <c r="A77" s="209"/>
      <c r="B77" s="25" t="s">
        <v>126</v>
      </c>
      <c r="C77" s="25" t="s">
        <v>297</v>
      </c>
      <c r="D77" s="25"/>
      <c r="E77" s="237"/>
      <c r="F77" s="328">
        <f>AF31</f>
        <v>37500</v>
      </c>
      <c r="G77" s="329"/>
      <c r="H77" s="330">
        <f t="shared" si="24"/>
        <v>22197.962691520479</v>
      </c>
      <c r="I77" s="196"/>
      <c r="J77" s="196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514" customFormat="1" ht="12.75" x14ac:dyDescent="0.2">
      <c r="A78" s="209"/>
      <c r="B78" s="25" t="s">
        <v>153</v>
      </c>
      <c r="C78" s="25" t="s">
        <v>108</v>
      </c>
      <c r="D78" s="25"/>
      <c r="E78" s="237"/>
      <c r="F78" s="328">
        <f>AF41</f>
        <v>0</v>
      </c>
      <c r="G78" s="329"/>
      <c r="H78" s="330">
        <f t="shared" si="24"/>
        <v>0</v>
      </c>
      <c r="I78" s="196"/>
      <c r="J78" s="196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514" customFormat="1" ht="12.75" x14ac:dyDescent="0.2">
      <c r="A79" s="209"/>
      <c r="B79" s="25" t="s">
        <v>154</v>
      </c>
      <c r="C79" s="25" t="s">
        <v>85</v>
      </c>
      <c r="D79" s="25"/>
      <c r="E79" s="237"/>
      <c r="F79" s="328">
        <f>AF45</f>
        <v>208000</v>
      </c>
      <c r="G79" s="329"/>
      <c r="H79" s="330">
        <f t="shared" si="24"/>
        <v>201699.54648526077</v>
      </c>
      <c r="I79" s="196"/>
      <c r="J79" s="196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514" customFormat="1" ht="12.75" x14ac:dyDescent="0.2">
      <c r="A80" s="209"/>
      <c r="B80" s="25" t="s">
        <v>331</v>
      </c>
      <c r="C80" s="25" t="s">
        <v>313</v>
      </c>
      <c r="D80" s="25"/>
      <c r="E80" s="237"/>
      <c r="F80" s="328">
        <f>AF49</f>
        <v>19544.999999999993</v>
      </c>
      <c r="G80" s="329"/>
      <c r="H80" s="330">
        <f t="shared" si="24"/>
        <v>11569.578154820476</v>
      </c>
      <c r="I80" s="196"/>
      <c r="J80" s="196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514" customFormat="1" ht="12.75" x14ac:dyDescent="0.2">
      <c r="A81" s="209"/>
      <c r="B81" s="25" t="s">
        <v>332</v>
      </c>
      <c r="C81" s="25" t="s">
        <v>318</v>
      </c>
      <c r="D81" s="25"/>
      <c r="E81" s="237"/>
      <c r="F81" s="328">
        <f>AF53</f>
        <v>225955.00000000026</v>
      </c>
      <c r="G81" s="329"/>
      <c r="H81" s="330">
        <f t="shared" si="24"/>
        <v>212327.9310219608</v>
      </c>
      <c r="I81" s="196"/>
      <c r="J81" s="196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514" customFormat="1" ht="12.75" x14ac:dyDescent="0.2">
      <c r="A82" s="239"/>
      <c r="B82" s="240" t="s">
        <v>333</v>
      </c>
      <c r="C82" s="240" t="s">
        <v>334</v>
      </c>
      <c r="D82" s="240"/>
      <c r="E82" s="241"/>
      <c r="F82" s="331">
        <f>AF54</f>
        <v>128655.00000000001</v>
      </c>
      <c r="G82" s="332"/>
      <c r="H82" s="333">
        <f>AF69</f>
        <v>3835.3088325392378</v>
      </c>
      <c r="I82" s="196"/>
      <c r="J82" s="196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514" customFormat="1" ht="12.75" x14ac:dyDescent="0.2">
      <c r="A83" s="47">
        <v>4</v>
      </c>
      <c r="B83" s="48" t="s">
        <v>127</v>
      </c>
      <c r="C83" s="48"/>
      <c r="D83" s="48"/>
      <c r="E83" s="48"/>
      <c r="F83" s="48"/>
      <c r="G83" s="4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"/>
      <c r="AA83" s="22"/>
      <c r="AB83" s="22"/>
      <c r="AC83" s="22"/>
      <c r="AD83" s="22"/>
      <c r="AE83" s="22"/>
      <c r="AF83" s="23"/>
    </row>
    <row r="84" spans="1:32" s="514" customFormat="1" ht="21.75" customHeight="1" x14ac:dyDescent="0.2">
      <c r="A84" s="234"/>
      <c r="B84" s="91"/>
      <c r="C84" s="91"/>
      <c r="D84" s="91"/>
      <c r="E84" s="91"/>
      <c r="F84" s="1001" t="s">
        <v>128</v>
      </c>
      <c r="G84" s="984"/>
      <c r="H84" s="984" t="s">
        <v>129</v>
      </c>
      <c r="I84" s="984"/>
      <c r="J84" s="984" t="s">
        <v>130</v>
      </c>
      <c r="K84" s="985"/>
      <c r="L84" s="708"/>
      <c r="M84" s="708"/>
      <c r="N84" s="708"/>
      <c r="O84" s="708"/>
      <c r="P84" s="708"/>
      <c r="Q84" s="708"/>
      <c r="R84" s="708"/>
      <c r="S84" s="708"/>
      <c r="T84" s="708"/>
      <c r="U84" s="708"/>
      <c r="V84" s="91"/>
      <c r="W84" s="91"/>
      <c r="X84" s="234"/>
      <c r="Y84" s="234"/>
      <c r="Z84" s="17"/>
      <c r="AA84" s="17"/>
      <c r="AB84" s="17"/>
      <c r="AC84" s="17"/>
      <c r="AD84" s="17"/>
      <c r="AE84" s="17"/>
      <c r="AF84" s="17"/>
    </row>
    <row r="85" spans="1:32" s="514" customFormat="1" ht="12.75" x14ac:dyDescent="0.2">
      <c r="A85" s="25"/>
      <c r="B85" s="32" t="s">
        <v>74</v>
      </c>
      <c r="C85" s="32" t="s">
        <v>335</v>
      </c>
      <c r="D85" s="32"/>
      <c r="E85" s="32"/>
      <c r="F85" s="979">
        <f>'15.RL Sociālekonomiskā analīze'!G58</f>
        <v>3835.3088325392378</v>
      </c>
      <c r="G85" s="980"/>
      <c r="H85" s="980">
        <f>H82</f>
        <v>3835.3088325392378</v>
      </c>
      <c r="I85" s="980"/>
      <c r="J85" s="981">
        <f>H85/F85-1</f>
        <v>0</v>
      </c>
      <c r="K85" s="982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32"/>
      <c r="W85" s="32"/>
      <c r="X85" s="25"/>
      <c r="Y85" s="25"/>
      <c r="Z85" s="17"/>
      <c r="AA85" s="17"/>
      <c r="AB85" s="17"/>
      <c r="AC85" s="17"/>
      <c r="AD85" s="17"/>
      <c r="AE85" s="17"/>
      <c r="AF85" s="17"/>
    </row>
    <row r="86" spans="1:32" s="514" customFormat="1" ht="14.25" customHeight="1" x14ac:dyDescent="0.2">
      <c r="A86" s="244"/>
      <c r="B86" s="244"/>
      <c r="C86" s="994"/>
      <c r="D86" s="994"/>
      <c r="E86" s="994"/>
      <c r="F86" s="994"/>
      <c r="G86" s="994"/>
      <c r="H86" s="994"/>
      <c r="I86" s="994"/>
      <c r="J86" s="412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4"/>
      <c r="W86" s="244"/>
      <c r="X86" s="244"/>
      <c r="Y86" s="244"/>
      <c r="Z86" s="196"/>
      <c r="AA86" s="196"/>
      <c r="AB86" s="196"/>
      <c r="AC86" s="196"/>
      <c r="AD86" s="196"/>
      <c r="AE86" s="196"/>
      <c r="AF86" s="196"/>
    </row>
    <row r="87" spans="1:32" s="428" customFormat="1" x14ac:dyDescent="0.25">
      <c r="A87" s="20"/>
      <c r="B87" s="21"/>
      <c r="C87" s="21"/>
      <c r="D87" s="21"/>
      <c r="E87" s="21"/>
      <c r="F87" s="21"/>
      <c r="G87" s="21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3"/>
    </row>
    <row r="88" spans="1:32" s="428" customFormat="1" x14ac:dyDescent="0.25"/>
  </sheetData>
  <sheetProtection algorithmName="SHA-512" hashValue="MFjVyxKMGlVknu8vC5PM2VYuNrMQTb2dFhoQOB+FhHvqao2SeXv4102XhMdLdFtE0bRz5eTf7oQ3xVjd4AL3Vw==" saltValue="j+ldVrJ1JjpHe1mnu7VAZg==" spinCount="100000" sheet="1" objects="1" scenarios="1" formatCells="0" formatColumns="0" formatRows="0"/>
  <mergeCells count="45">
    <mergeCell ref="C21:D21"/>
    <mergeCell ref="C22:D22"/>
    <mergeCell ref="C86:I86"/>
    <mergeCell ref="C42:D42"/>
    <mergeCell ref="C43:D43"/>
    <mergeCell ref="C44:D44"/>
    <mergeCell ref="C47:D47"/>
    <mergeCell ref="C50:D50"/>
    <mergeCell ref="C51:D51"/>
    <mergeCell ref="C52:D52"/>
    <mergeCell ref="F84:G84"/>
    <mergeCell ref="H84:I84"/>
    <mergeCell ref="C23:D23"/>
    <mergeCell ref="A1:F1"/>
    <mergeCell ref="C35:D35"/>
    <mergeCell ref="C36:D36"/>
    <mergeCell ref="C37:D37"/>
    <mergeCell ref="C38:D38"/>
    <mergeCell ref="C16:D16"/>
    <mergeCell ref="C17:D17"/>
    <mergeCell ref="C19:D19"/>
    <mergeCell ref="C24:D24"/>
    <mergeCell ref="C25:D25"/>
    <mergeCell ref="C9:D9"/>
    <mergeCell ref="C3:D4"/>
    <mergeCell ref="C15:D15"/>
    <mergeCell ref="C10:D10"/>
    <mergeCell ref="C11:D11"/>
    <mergeCell ref="C12:D12"/>
    <mergeCell ref="C13:D13"/>
    <mergeCell ref="C14:D14"/>
    <mergeCell ref="J84:K84"/>
    <mergeCell ref="F85:G85"/>
    <mergeCell ref="H85:I85"/>
    <mergeCell ref="J85:K85"/>
    <mergeCell ref="C34:D34"/>
    <mergeCell ref="C39:D39"/>
    <mergeCell ref="C40:D40"/>
    <mergeCell ref="C26:D26"/>
    <mergeCell ref="C27:D27"/>
    <mergeCell ref="C28:D28"/>
    <mergeCell ref="C29:D29"/>
    <mergeCell ref="C32:D32"/>
    <mergeCell ref="C33:D33"/>
    <mergeCell ref="C20:D20"/>
  </mergeCells>
  <dataValidations count="1">
    <dataValidation type="decimal" allowBlank="1" showInputMessage="1" showErrorMessage="1" sqref="G57" xr:uid="{00000000-0002-0000-0900-000000000000}">
      <formula1>0</formula1>
      <formula2>100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G44"/>
  <sheetViews>
    <sheetView workbookViewId="0">
      <selection activeCell="J45" sqref="J45"/>
    </sheetView>
  </sheetViews>
  <sheetFormatPr defaultColWidth="9.140625" defaultRowHeight="15" x14ac:dyDescent="0.25"/>
  <cols>
    <col min="1" max="2" width="9.140625" style="423"/>
    <col min="3" max="3" width="30.42578125" style="423" customWidth="1"/>
    <col min="4" max="6" width="9.140625" style="423"/>
    <col min="7" max="7" width="12.42578125" style="423" bestFit="1" customWidth="1"/>
    <col min="8" max="8" width="13.5703125" style="423" bestFit="1" customWidth="1"/>
    <col min="9" max="9" width="11" style="423" bestFit="1" customWidth="1"/>
    <col min="10" max="10" width="13.5703125" style="423" bestFit="1" customWidth="1"/>
    <col min="11" max="11" width="11.28515625" style="423" customWidth="1"/>
    <col min="12" max="12" width="10.85546875" style="423" customWidth="1"/>
    <col min="13" max="13" width="11.7109375" style="423" customWidth="1"/>
    <col min="14" max="14" width="11.5703125" style="423" customWidth="1"/>
    <col min="15" max="15" width="11" style="423" customWidth="1"/>
    <col min="16" max="16" width="11.28515625" style="423" customWidth="1"/>
    <col min="17" max="17" width="10.28515625" style="423" customWidth="1"/>
    <col min="18" max="18" width="10.5703125" style="423" customWidth="1"/>
    <col min="19" max="31" width="9.140625" style="423"/>
    <col min="32" max="32" width="13.140625" style="423" customWidth="1"/>
    <col min="33" max="16384" width="9.140625" style="423"/>
  </cols>
  <sheetData>
    <row r="1" spans="1:32" s="428" customFormat="1" ht="26.25" x14ac:dyDescent="0.25">
      <c r="A1" s="990" t="s">
        <v>342</v>
      </c>
      <c r="B1" s="990"/>
      <c r="C1" s="990"/>
      <c r="D1" s="990"/>
      <c r="E1" s="990"/>
      <c r="F1" s="990"/>
      <c r="G1" s="990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2" s="428" customFormat="1" ht="21" x14ac:dyDescent="0.35">
      <c r="A2" s="197" t="s">
        <v>411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</row>
    <row r="3" spans="1:32" s="514" customFormat="1" ht="15" customHeight="1" x14ac:dyDescent="0.2">
      <c r="A3" s="125"/>
      <c r="B3" s="11"/>
      <c r="C3" s="992" t="s">
        <v>133</v>
      </c>
      <c r="D3" s="992"/>
      <c r="E3" s="709"/>
      <c r="F3" s="13"/>
      <c r="G3" s="200">
        <f>'7.DL Jutīguma analīze_Invest'!G4</f>
        <v>0</v>
      </c>
      <c r="H3" s="200">
        <f>'7.DL Jutīguma analīze_Invest'!H4</f>
        <v>1</v>
      </c>
      <c r="I3" s="200">
        <f>'7.DL Jutīguma analīze_Invest'!I4</f>
        <v>2</v>
      </c>
      <c r="J3" s="200">
        <f>'7.DL Jutīguma analīze_Invest'!J4</f>
        <v>3</v>
      </c>
      <c r="K3" s="200">
        <f>'7.DL Jutīguma analīze_Invest'!K4</f>
        <v>4</v>
      </c>
      <c r="L3" s="200">
        <f>'7.DL Jutīguma analīze_Invest'!L4</f>
        <v>5</v>
      </c>
      <c r="M3" s="200">
        <f>'7.DL Jutīguma analīze_Invest'!M4</f>
        <v>6</v>
      </c>
      <c r="N3" s="200">
        <f>'7.DL Jutīguma analīze_Invest'!N4</f>
        <v>7</v>
      </c>
      <c r="O3" s="200">
        <f>'7.DL Jutīguma analīze_Invest'!O4</f>
        <v>8</v>
      </c>
      <c r="P3" s="200">
        <f>'7.DL Jutīguma analīze_Invest'!P4</f>
        <v>9</v>
      </c>
      <c r="Q3" s="200">
        <f>'7.DL Jutīguma analīze_Invest'!Q4</f>
        <v>10</v>
      </c>
      <c r="R3" s="200">
        <f>'7.DL Jutīguma analīze_Invest'!R4</f>
        <v>11</v>
      </c>
      <c r="S3" s="200">
        <f>'7.DL Jutīguma analīze_Invest'!S4</f>
        <v>12</v>
      </c>
      <c r="T3" s="200">
        <f>'7.DL Jutīguma analīze_Invest'!T4</f>
        <v>13</v>
      </c>
      <c r="U3" s="200">
        <f>'7.DL Jutīguma analīze_Invest'!U4</f>
        <v>14</v>
      </c>
      <c r="V3" s="200">
        <f>'7.DL Jutīguma analīze_Invest'!V4</f>
        <v>15</v>
      </c>
      <c r="W3" s="200">
        <f>'7.DL Jutīguma analīze_Invest'!W4</f>
        <v>16</v>
      </c>
      <c r="X3" s="200">
        <f>'7.DL Jutīguma analīze_Invest'!X4</f>
        <v>17</v>
      </c>
      <c r="Y3" s="200">
        <f>'7.DL Jutīguma analīze_Invest'!Y4</f>
        <v>18</v>
      </c>
      <c r="Z3" s="200">
        <f>'7.DL Jutīguma analīze_Invest'!Z4</f>
        <v>19</v>
      </c>
      <c r="AA3" s="200">
        <f>'7.DL Jutīguma analīze_Invest'!AA4</f>
        <v>20</v>
      </c>
      <c r="AB3" s="200">
        <f>'7.DL Jutīguma analīze_Invest'!AB4</f>
        <v>21</v>
      </c>
      <c r="AC3" s="200">
        <f>'7.DL Jutīguma analīze_Invest'!AC4</f>
        <v>22</v>
      </c>
      <c r="AD3" s="200">
        <f>'7.DL Jutīguma analīze_Invest'!AD4</f>
        <v>23</v>
      </c>
      <c r="AE3" s="200">
        <f>'7.DL Jutīguma analīze_Invest'!AE4</f>
        <v>24</v>
      </c>
      <c r="AF3" s="126"/>
    </row>
    <row r="4" spans="1:32" s="514" customFormat="1" ht="24.75" customHeight="1" x14ac:dyDescent="0.2">
      <c r="A4" s="14"/>
      <c r="B4" s="15"/>
      <c r="C4" s="993"/>
      <c r="D4" s="993"/>
      <c r="E4" s="710"/>
      <c r="F4" s="202" t="s">
        <v>39</v>
      </c>
      <c r="G4" s="706">
        <f>'7.DL Jutīguma analīze_Invest'!G5</f>
        <v>2021</v>
      </c>
      <c r="H4" s="706">
        <f>'7.DL Jutīguma analīze_Invest'!H5</f>
        <v>2022</v>
      </c>
      <c r="I4" s="706">
        <f>'7.DL Jutīguma analīze_Invest'!I5</f>
        <v>2023</v>
      </c>
      <c r="J4" s="706">
        <f>'7.DL Jutīguma analīze_Invest'!J5</f>
        <v>2024</v>
      </c>
      <c r="K4" s="706">
        <f>'7.DL Jutīguma analīze_Invest'!K5</f>
        <v>2025</v>
      </c>
      <c r="L4" s="706">
        <f>'7.DL Jutīguma analīze_Invest'!L5</f>
        <v>2026</v>
      </c>
      <c r="M4" s="706">
        <f>'7.DL Jutīguma analīze_Invest'!M5</f>
        <v>2027</v>
      </c>
      <c r="N4" s="706">
        <f>'7.DL Jutīguma analīze_Invest'!N5</f>
        <v>2028</v>
      </c>
      <c r="O4" s="706">
        <f>'7.DL Jutīguma analīze_Invest'!O5</f>
        <v>2029</v>
      </c>
      <c r="P4" s="706">
        <f>'7.DL Jutīguma analīze_Invest'!P5</f>
        <v>2030</v>
      </c>
      <c r="Q4" s="706">
        <f>'7.DL Jutīguma analīze_Invest'!Q5</f>
        <v>2031</v>
      </c>
      <c r="R4" s="706">
        <f>'7.DL Jutīguma analīze_Invest'!R5</f>
        <v>2032</v>
      </c>
      <c r="S4" s="706">
        <f>'7.DL Jutīguma analīze_Invest'!S5</f>
        <v>2033</v>
      </c>
      <c r="T4" s="706">
        <f>'7.DL Jutīguma analīze_Invest'!T5</f>
        <v>2034</v>
      </c>
      <c r="U4" s="706">
        <f>'7.DL Jutīguma analīze_Invest'!U5</f>
        <v>2035</v>
      </c>
      <c r="V4" s="706">
        <f>'7.DL Jutīguma analīze_Invest'!V5</f>
        <v>2036</v>
      </c>
      <c r="W4" s="706">
        <f>'7.DL Jutīguma analīze_Invest'!W5</f>
        <v>2037</v>
      </c>
      <c r="X4" s="706">
        <f>'7.DL Jutīguma analīze_Invest'!X5</f>
        <v>2038</v>
      </c>
      <c r="Y4" s="706">
        <f>'7.DL Jutīguma analīze_Invest'!Y5</f>
        <v>2039</v>
      </c>
      <c r="Z4" s="706">
        <f>'7.DL Jutīguma analīze_Invest'!Z5</f>
        <v>2040</v>
      </c>
      <c r="AA4" s="706">
        <f>'7.DL Jutīguma analīze_Invest'!AA5</f>
        <v>2041</v>
      </c>
      <c r="AB4" s="706">
        <f>'7.DL Jutīguma analīze_Invest'!AB5</f>
        <v>2042</v>
      </c>
      <c r="AC4" s="706">
        <f>'7.DL Jutīguma analīze_Invest'!AC5</f>
        <v>2043</v>
      </c>
      <c r="AD4" s="706">
        <f>'7.DL Jutīguma analīze_Invest'!AD5</f>
        <v>2044</v>
      </c>
      <c r="AE4" s="706">
        <f>'7.DL Jutīguma analīze_Invest'!AE5</f>
        <v>2045</v>
      </c>
      <c r="AF4" s="203" t="s">
        <v>40</v>
      </c>
    </row>
    <row r="5" spans="1:32" s="514" customFormat="1" ht="12.75" x14ac:dyDescent="0.2">
      <c r="A5" s="17"/>
      <c r="B5" s="17"/>
      <c r="C5" s="17"/>
      <c r="D5" s="17"/>
      <c r="E5" s="17"/>
      <c r="F5" s="17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32" s="514" customFormat="1" ht="12.75" x14ac:dyDescent="0.2">
      <c r="A6" s="20">
        <v>1</v>
      </c>
      <c r="B6" s="21" t="s">
        <v>41</v>
      </c>
      <c r="C6" s="21"/>
      <c r="D6" s="21"/>
      <c r="E6" s="21"/>
      <c r="F6" s="21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s="428" customFormat="1" x14ac:dyDescent="0.25"/>
    <row r="8" spans="1:32" s="609" customFormat="1" ht="12.75" x14ac:dyDescent="0.2">
      <c r="A8" s="90"/>
      <c r="B8" s="91" t="s">
        <v>27</v>
      </c>
      <c r="C8" s="91" t="s">
        <v>141</v>
      </c>
      <c r="D8" s="91"/>
      <c r="E8" s="210">
        <v>0</v>
      </c>
      <c r="F8" s="124" t="s">
        <v>20</v>
      </c>
      <c r="G8" s="358">
        <f>'4.DL Projekta_finansiala_ilgtsp'!F9*(1+E$8)</f>
        <v>2000</v>
      </c>
      <c r="H8" s="359">
        <f>'4.DL Projekta_finansiala_ilgtsp'!G9*(1+$E8)</f>
        <v>3000</v>
      </c>
      <c r="I8" s="359">
        <f>'4.DL Projekta_finansiala_ilgtsp'!H9*(1+$E8)</f>
        <v>5020</v>
      </c>
      <c r="J8" s="359">
        <f>'4.DL Projekta_finansiala_ilgtsp'!I9*(1+$E8)</f>
        <v>1018</v>
      </c>
      <c r="K8" s="359">
        <f>'4.DL Projekta_finansiala_ilgtsp'!J9*(1+$E8)</f>
        <v>1016</v>
      </c>
      <c r="L8" s="359">
        <f>'4.DL Projekta_finansiala_ilgtsp'!K9*(1+$E8)</f>
        <v>1014</v>
      </c>
      <c r="M8" s="359">
        <f>'4.DL Projekta_finansiala_ilgtsp'!L9*(1+$E8)</f>
        <v>1012</v>
      </c>
      <c r="N8" s="359">
        <f>'4.DL Projekta_finansiala_ilgtsp'!M9*(1+$E8)</f>
        <v>1010</v>
      </c>
      <c r="O8" s="359">
        <f>'4.DL Projekta_finansiala_ilgtsp'!N9*(1+$E8)</f>
        <v>1008</v>
      </c>
      <c r="P8" s="359">
        <f>'4.DL Projekta_finansiala_ilgtsp'!O9*(1+$E8)</f>
        <v>1006</v>
      </c>
      <c r="Q8" s="359">
        <f>'4.DL Projekta_finansiala_ilgtsp'!P9*(1+$E8)</f>
        <v>1004</v>
      </c>
      <c r="R8" s="359">
        <f>'4.DL Projekta_finansiala_ilgtsp'!Q9*(1+$E8)</f>
        <v>1002</v>
      </c>
      <c r="S8" s="359">
        <f>'4.DL Projekta_finansiala_ilgtsp'!R9*(1+$E8)</f>
        <v>1000</v>
      </c>
      <c r="T8" s="359">
        <f>'4.DL Projekta_finansiala_ilgtsp'!S9*(1+$E8)</f>
        <v>1000</v>
      </c>
      <c r="U8" s="359">
        <f>'4.DL Projekta_finansiala_ilgtsp'!T9*(1+$E8)</f>
        <v>1000</v>
      </c>
      <c r="V8" s="359">
        <f>'4.DL Projekta_finansiala_ilgtsp'!U9*(1+$E8)</f>
        <v>1000</v>
      </c>
      <c r="W8" s="359">
        <f>'4.DL Projekta_finansiala_ilgtsp'!V9*(1+$E8)</f>
        <v>1000</v>
      </c>
      <c r="X8" s="359">
        <f>'4.DL Projekta_finansiala_ilgtsp'!W9*(1+$E8)</f>
        <v>1000</v>
      </c>
      <c r="Y8" s="359">
        <f>'4.DL Projekta_finansiala_ilgtsp'!X9*(1+$E8)</f>
        <v>1000</v>
      </c>
      <c r="Z8" s="359">
        <f>'4.DL Projekta_finansiala_ilgtsp'!Y9*(1+$E8)</f>
        <v>1000</v>
      </c>
      <c r="AA8" s="359">
        <f>'4.DL Projekta_finansiala_ilgtsp'!Z9*(1+$E8)</f>
        <v>1000</v>
      </c>
      <c r="AB8" s="359">
        <f>'4.DL Projekta_finansiala_ilgtsp'!AA9*(1+$E8)</f>
        <v>1000</v>
      </c>
      <c r="AC8" s="359">
        <f>'4.DL Projekta_finansiala_ilgtsp'!AB9*(1+$E8)</f>
        <v>1000</v>
      </c>
      <c r="AD8" s="359">
        <f>'4.DL Projekta_finansiala_ilgtsp'!AC9*(1+$E8)</f>
        <v>1000</v>
      </c>
      <c r="AE8" s="360">
        <f>'4.DL Projekta_finansiala_ilgtsp'!AD9*(1+$E8)</f>
        <v>1000</v>
      </c>
      <c r="AF8" s="477">
        <f t="shared" ref="AF8:AF14" si="0">SUM(G8:AE8)</f>
        <v>32110</v>
      </c>
    </row>
    <row r="9" spans="1:32" s="609" customFormat="1" ht="12.75" x14ac:dyDescent="0.2">
      <c r="A9" s="93"/>
      <c r="B9" s="32" t="s">
        <v>28</v>
      </c>
      <c r="C9" s="32" t="s">
        <v>75</v>
      </c>
      <c r="D9" s="32"/>
      <c r="E9" s="210">
        <v>0</v>
      </c>
      <c r="F9" s="94" t="s">
        <v>20</v>
      </c>
      <c r="G9" s="413">
        <f>'13.RL Kapitāla naudas plūsma'!F7*(1+$E9)</f>
        <v>0</v>
      </c>
      <c r="H9" s="414">
        <f>'13.RL Kapitāla naudas plūsma'!G7*(1+$E9)</f>
        <v>0</v>
      </c>
      <c r="I9" s="414">
        <f>'13.RL Kapitāla naudas plūsma'!H7*(1+$E9)</f>
        <v>0</v>
      </c>
      <c r="J9" s="414">
        <f>'13.RL Kapitāla naudas plūsma'!I7*(1+$E9)</f>
        <v>0</v>
      </c>
      <c r="K9" s="414">
        <f>'13.RL Kapitāla naudas plūsma'!J7*(1+$E9)</f>
        <v>0</v>
      </c>
      <c r="L9" s="414">
        <f>'13.RL Kapitāla naudas plūsma'!K7*(1+$E9)</f>
        <v>0</v>
      </c>
      <c r="M9" s="414">
        <f>'13.RL Kapitāla naudas plūsma'!L7*(1+$E9)</f>
        <v>0</v>
      </c>
      <c r="N9" s="414">
        <f>'13.RL Kapitāla naudas plūsma'!M7*(1+$E9)</f>
        <v>0</v>
      </c>
      <c r="O9" s="414">
        <f>'13.RL Kapitāla naudas plūsma'!N7*(1+$E9)</f>
        <v>0</v>
      </c>
      <c r="P9" s="414">
        <f>'13.RL Kapitāla naudas plūsma'!O7*(1+$E9)</f>
        <v>0</v>
      </c>
      <c r="Q9" s="414">
        <f>'13.RL Kapitāla naudas plūsma'!P7*(1+$E9)</f>
        <v>0</v>
      </c>
      <c r="R9" s="414">
        <f>'13.RL Kapitāla naudas plūsma'!Q7*(1+$E9)</f>
        <v>0</v>
      </c>
      <c r="S9" s="414">
        <f>'13.RL Kapitāla naudas plūsma'!R7*(1+$E9)</f>
        <v>0</v>
      </c>
      <c r="T9" s="414">
        <f>'13.RL Kapitāla naudas plūsma'!S7*(1+$E9)</f>
        <v>0</v>
      </c>
      <c r="U9" s="414">
        <f>'13.RL Kapitāla naudas plūsma'!T7*(1+$E9)</f>
        <v>0</v>
      </c>
      <c r="V9" s="414">
        <f>'13.RL Kapitāla naudas plūsma'!U7*(1+$E9)</f>
        <v>0</v>
      </c>
      <c r="W9" s="414">
        <f>'13.RL Kapitāla naudas plūsma'!V7*(1+$E9)</f>
        <v>0</v>
      </c>
      <c r="X9" s="414">
        <f>'13.RL Kapitāla naudas plūsma'!W7*(1+$E9)</f>
        <v>0</v>
      </c>
      <c r="Y9" s="414">
        <f>'13.RL Kapitāla naudas plūsma'!X7*(1+$E9)</f>
        <v>0</v>
      </c>
      <c r="Z9" s="414">
        <f>'13.RL Kapitāla naudas plūsma'!Y7*(1+$E9)</f>
        <v>0</v>
      </c>
      <c r="AA9" s="414">
        <f>'13.RL Kapitāla naudas plūsma'!Z7*(1+$E9)</f>
        <v>0</v>
      </c>
      <c r="AB9" s="414">
        <f>'13.RL Kapitāla naudas plūsma'!AA7*(1+$E9)</f>
        <v>0</v>
      </c>
      <c r="AC9" s="414">
        <f>'13.RL Kapitāla naudas plūsma'!AB7*(1+$E9)</f>
        <v>0</v>
      </c>
      <c r="AD9" s="414">
        <f>'13.RL Kapitāla naudas plūsma'!AC7*(1+$E9)</f>
        <v>0</v>
      </c>
      <c r="AE9" s="415">
        <f>'13.RL Kapitāla naudas plūsma'!AD7*(1+$E9)</f>
        <v>0</v>
      </c>
      <c r="AF9" s="476">
        <f t="shared" si="0"/>
        <v>0</v>
      </c>
    </row>
    <row r="10" spans="1:32" s="609" customFormat="1" ht="12.75" x14ac:dyDescent="0.2">
      <c r="A10" s="93"/>
      <c r="B10" s="32" t="s">
        <v>80</v>
      </c>
      <c r="C10" s="32" t="s">
        <v>108</v>
      </c>
      <c r="D10" s="32"/>
      <c r="E10" s="210">
        <v>0</v>
      </c>
      <c r="F10" s="94" t="s">
        <v>20</v>
      </c>
      <c r="G10" s="413">
        <f>'13.RL Kapitāla naudas plūsma'!F8*(1+$E10)</f>
        <v>0</v>
      </c>
      <c r="H10" s="414">
        <f>'13.RL Kapitāla naudas plūsma'!G8*(1+$E10)</f>
        <v>0</v>
      </c>
      <c r="I10" s="414">
        <f>'13.RL Kapitāla naudas plūsma'!H8*(1+$E10)</f>
        <v>0</v>
      </c>
      <c r="J10" s="414">
        <f>'13.RL Kapitāla naudas plūsma'!I8*(1+$E10)</f>
        <v>0</v>
      </c>
      <c r="K10" s="414">
        <f>'13.RL Kapitāla naudas plūsma'!J8*(1+$E10)</f>
        <v>0</v>
      </c>
      <c r="L10" s="414">
        <f>'13.RL Kapitāla naudas plūsma'!K8*(1+$E10)</f>
        <v>0</v>
      </c>
      <c r="M10" s="414">
        <f>'13.RL Kapitāla naudas plūsma'!L8*(1+$E10)</f>
        <v>0</v>
      </c>
      <c r="N10" s="414">
        <f>'13.RL Kapitāla naudas plūsma'!M8*(1+$E10)</f>
        <v>0</v>
      </c>
      <c r="O10" s="414">
        <f>'13.RL Kapitāla naudas plūsma'!N8*(1+$E10)</f>
        <v>0</v>
      </c>
      <c r="P10" s="414">
        <f>'13.RL Kapitāla naudas plūsma'!O8*(1+$E10)</f>
        <v>0</v>
      </c>
      <c r="Q10" s="414">
        <f>'13.RL Kapitāla naudas plūsma'!P8*(1+$E10)</f>
        <v>0</v>
      </c>
      <c r="R10" s="414">
        <f>'13.RL Kapitāla naudas plūsma'!Q8*(1+$E10)</f>
        <v>0</v>
      </c>
      <c r="S10" s="414">
        <f>'13.RL Kapitāla naudas plūsma'!R8*(1+$E10)</f>
        <v>0</v>
      </c>
      <c r="T10" s="414">
        <f>'13.RL Kapitāla naudas plūsma'!S8*(1+$E10)</f>
        <v>0</v>
      </c>
      <c r="U10" s="414">
        <f>'13.RL Kapitāla naudas plūsma'!T8*(1+$E10)</f>
        <v>0</v>
      </c>
      <c r="V10" s="414">
        <f>'13.RL Kapitāla naudas plūsma'!U8*(1+$E10)</f>
        <v>0</v>
      </c>
      <c r="W10" s="414">
        <f>'13.RL Kapitāla naudas plūsma'!V8*(1+$E10)</f>
        <v>0</v>
      </c>
      <c r="X10" s="414">
        <f>'13.RL Kapitāla naudas plūsma'!W8*(1+$E10)</f>
        <v>0</v>
      </c>
      <c r="Y10" s="414">
        <f>'13.RL Kapitāla naudas plūsma'!X8*(1+$E10)</f>
        <v>0</v>
      </c>
      <c r="Z10" s="414">
        <f>'13.RL Kapitāla naudas plūsma'!Y8*(1+$E10)</f>
        <v>0</v>
      </c>
      <c r="AA10" s="414">
        <f>'13.RL Kapitāla naudas plūsma'!Z8*(1+$E10)</f>
        <v>0</v>
      </c>
      <c r="AB10" s="414">
        <f>'13.RL Kapitāla naudas plūsma'!AA8*(1+$E10)</f>
        <v>0</v>
      </c>
      <c r="AC10" s="414">
        <f>'13.RL Kapitāla naudas plūsma'!AB8*(1+$E10)</f>
        <v>0</v>
      </c>
      <c r="AD10" s="414">
        <f>'13.RL Kapitāla naudas plūsma'!AC8*(1+$E10)</f>
        <v>0</v>
      </c>
      <c r="AE10" s="415">
        <f>'13.RL Kapitāla naudas plūsma'!AD8*(1+$E10)</f>
        <v>0</v>
      </c>
      <c r="AF10" s="476">
        <f t="shared" si="0"/>
        <v>0</v>
      </c>
    </row>
    <row r="11" spans="1:32" s="609" customFormat="1" ht="12.75" x14ac:dyDescent="0.2">
      <c r="A11" s="93"/>
      <c r="B11" s="32" t="s">
        <v>142</v>
      </c>
      <c r="C11" s="32" t="s">
        <v>86</v>
      </c>
      <c r="D11" s="32"/>
      <c r="E11" s="210">
        <v>0</v>
      </c>
      <c r="F11" s="94" t="s">
        <v>20</v>
      </c>
      <c r="G11" s="413">
        <f>'13.RL Kapitāla naudas plūsma'!F9*(1+$E11)</f>
        <v>0</v>
      </c>
      <c r="H11" s="414">
        <f>'13.RL Kapitāla naudas plūsma'!G9*(1+$E11)</f>
        <v>0</v>
      </c>
      <c r="I11" s="414">
        <f>'13.RL Kapitāla naudas plūsma'!H9*(1+$E11)</f>
        <v>0</v>
      </c>
      <c r="J11" s="414">
        <f>'13.RL Kapitāla naudas plūsma'!I9*(1+$E11)</f>
        <v>0</v>
      </c>
      <c r="K11" s="414">
        <f>'13.RL Kapitāla naudas plūsma'!J9*(1+$E11)</f>
        <v>0</v>
      </c>
      <c r="L11" s="414">
        <f>'13.RL Kapitāla naudas plūsma'!K9*(1+$E11)</f>
        <v>0</v>
      </c>
      <c r="M11" s="414">
        <f>'13.RL Kapitāla naudas plūsma'!L9*(1+$E11)</f>
        <v>0</v>
      </c>
      <c r="N11" s="414">
        <f>'13.RL Kapitāla naudas plūsma'!M9*(1+$E11)</f>
        <v>0</v>
      </c>
      <c r="O11" s="414">
        <f>'13.RL Kapitāla naudas plūsma'!N9*(1+$E11)</f>
        <v>0</v>
      </c>
      <c r="P11" s="414">
        <f>'13.RL Kapitāla naudas plūsma'!O9*(1+$E11)</f>
        <v>0</v>
      </c>
      <c r="Q11" s="414">
        <f>'13.RL Kapitāla naudas plūsma'!P9*(1+$E11)</f>
        <v>0</v>
      </c>
      <c r="R11" s="414">
        <f>'13.RL Kapitāla naudas plūsma'!Q9*(1+$E11)</f>
        <v>0</v>
      </c>
      <c r="S11" s="414">
        <f>'13.RL Kapitāla naudas plūsma'!R9*(1+$E11)</f>
        <v>0</v>
      </c>
      <c r="T11" s="414">
        <f>'13.RL Kapitāla naudas plūsma'!S9*(1+$E11)</f>
        <v>0</v>
      </c>
      <c r="U11" s="414">
        <f>'13.RL Kapitāla naudas plūsma'!T9*(1+$E11)</f>
        <v>0</v>
      </c>
      <c r="V11" s="414">
        <f>'13.RL Kapitāla naudas plūsma'!U9*(1+$E11)</f>
        <v>0</v>
      </c>
      <c r="W11" s="414">
        <f>'13.RL Kapitāla naudas plūsma'!V9*(1+$E11)</f>
        <v>0</v>
      </c>
      <c r="X11" s="414">
        <f>'13.RL Kapitāla naudas plūsma'!W9*(1+$E11)</f>
        <v>0</v>
      </c>
      <c r="Y11" s="414">
        <f>'13.RL Kapitāla naudas plūsma'!X9*(1+$E11)</f>
        <v>0</v>
      </c>
      <c r="Z11" s="414">
        <f>'13.RL Kapitāla naudas plūsma'!Y9*(1+$E11)</f>
        <v>0</v>
      </c>
      <c r="AA11" s="414">
        <f>'13.RL Kapitāla naudas plūsma'!Z9*(1+$E11)</f>
        <v>0</v>
      </c>
      <c r="AB11" s="414">
        <f>'13.RL Kapitāla naudas plūsma'!AA9*(1+$E11)</f>
        <v>0</v>
      </c>
      <c r="AC11" s="414">
        <f>'13.RL Kapitāla naudas plūsma'!AB9*(1+$E11)</f>
        <v>0</v>
      </c>
      <c r="AD11" s="414">
        <f>'13.RL Kapitāla naudas plūsma'!AC9*(1+$E11)</f>
        <v>0</v>
      </c>
      <c r="AE11" s="415">
        <f>'13.RL Kapitāla naudas plūsma'!AD9*(1+$E11)</f>
        <v>0</v>
      </c>
      <c r="AF11" s="476">
        <f t="shared" si="0"/>
        <v>0</v>
      </c>
    </row>
    <row r="12" spans="1:32" s="609" customFormat="1" ht="12.75" x14ac:dyDescent="0.2">
      <c r="A12" s="93"/>
      <c r="B12" s="32" t="s">
        <v>81</v>
      </c>
      <c r="C12" s="32" t="s">
        <v>143</v>
      </c>
      <c r="D12" s="32"/>
      <c r="E12" s="210">
        <v>0</v>
      </c>
      <c r="F12" s="94" t="s">
        <v>20</v>
      </c>
      <c r="G12" s="413">
        <f>'13.RL Kapitāla naudas plūsma'!F10*(1+$E12)</f>
        <v>0</v>
      </c>
      <c r="H12" s="414">
        <f>'13.RL Kapitāla naudas plūsma'!G10*(1+$E12)</f>
        <v>0</v>
      </c>
      <c r="I12" s="414">
        <f>'13.RL Kapitāla naudas plūsma'!H10*(1+$E12)</f>
        <v>120</v>
      </c>
      <c r="J12" s="414">
        <f>'13.RL Kapitāla naudas plūsma'!I10*(1+$E12)</f>
        <v>118</v>
      </c>
      <c r="K12" s="414">
        <f>'13.RL Kapitāla naudas plūsma'!J10*(1+$E12)</f>
        <v>116</v>
      </c>
      <c r="L12" s="414">
        <f>'13.RL Kapitāla naudas plūsma'!K10*(1+$E12)</f>
        <v>114</v>
      </c>
      <c r="M12" s="414">
        <f>'13.RL Kapitāla naudas plūsma'!L10*(1+$E12)</f>
        <v>112</v>
      </c>
      <c r="N12" s="414">
        <f>'13.RL Kapitāla naudas plūsma'!M10*(1+$E12)</f>
        <v>110</v>
      </c>
      <c r="O12" s="414">
        <f>'13.RL Kapitāla naudas plūsma'!N10*(1+$E12)</f>
        <v>108</v>
      </c>
      <c r="P12" s="414">
        <f>'13.RL Kapitāla naudas plūsma'!O10*(1+$E12)</f>
        <v>106</v>
      </c>
      <c r="Q12" s="414">
        <f>'13.RL Kapitāla naudas plūsma'!P10*(1+$E12)</f>
        <v>104</v>
      </c>
      <c r="R12" s="414">
        <f>'13.RL Kapitāla naudas plūsma'!Q10*(1+$E12)</f>
        <v>102</v>
      </c>
      <c r="S12" s="414">
        <f>'13.RL Kapitāla naudas plūsma'!R10*(1+$E12)</f>
        <v>0</v>
      </c>
      <c r="T12" s="414">
        <f>'13.RL Kapitāla naudas plūsma'!S10*(1+$E12)</f>
        <v>0</v>
      </c>
      <c r="U12" s="414">
        <f>'13.RL Kapitāla naudas plūsma'!T10*(1+$E12)</f>
        <v>0</v>
      </c>
      <c r="V12" s="414">
        <f>'13.RL Kapitāla naudas plūsma'!U10*(1+$E12)</f>
        <v>0</v>
      </c>
      <c r="W12" s="414">
        <f>'13.RL Kapitāla naudas plūsma'!V10*(1+$E12)</f>
        <v>0</v>
      </c>
      <c r="X12" s="414">
        <f>'13.RL Kapitāla naudas plūsma'!W10*(1+$E12)</f>
        <v>0</v>
      </c>
      <c r="Y12" s="414">
        <f>'13.RL Kapitāla naudas plūsma'!X10*(1+$E12)</f>
        <v>0</v>
      </c>
      <c r="Z12" s="414">
        <f>'13.RL Kapitāla naudas plūsma'!Y10*(1+$E12)</f>
        <v>0</v>
      </c>
      <c r="AA12" s="414">
        <f>'13.RL Kapitāla naudas plūsma'!Z10*(1+$E12)</f>
        <v>0</v>
      </c>
      <c r="AB12" s="414">
        <f>'13.RL Kapitāla naudas plūsma'!AA10*(1+$E12)</f>
        <v>0</v>
      </c>
      <c r="AC12" s="414">
        <f>'13.RL Kapitāla naudas plūsma'!AB10*(1+$E12)</f>
        <v>0</v>
      </c>
      <c r="AD12" s="414">
        <f>'13.RL Kapitāla naudas plūsma'!AC10*(1+$E12)</f>
        <v>0</v>
      </c>
      <c r="AE12" s="415">
        <f>'13.RL Kapitāla naudas plūsma'!AD10*(1+$E12)</f>
        <v>0</v>
      </c>
      <c r="AF12" s="476">
        <f t="shared" si="0"/>
        <v>1110</v>
      </c>
    </row>
    <row r="13" spans="1:32" s="609" customFormat="1" ht="12.75" x14ac:dyDescent="0.2">
      <c r="A13" s="93"/>
      <c r="B13" s="32" t="s">
        <v>82</v>
      </c>
      <c r="C13" s="32" t="s">
        <v>144</v>
      </c>
      <c r="D13" s="32"/>
      <c r="E13" s="210">
        <v>0</v>
      </c>
      <c r="F13" s="71" t="s">
        <v>20</v>
      </c>
      <c r="G13" s="416">
        <f>'13.RL Kapitāla naudas plūsma'!F11*(1+$E13)</f>
        <v>29141.25</v>
      </c>
      <c r="H13" s="417">
        <f>'13.RL Kapitāla naudas plūsma'!G11*(1+$E13)</f>
        <v>25877.75</v>
      </c>
      <c r="I13" s="417">
        <f>'13.RL Kapitāla naudas plūsma'!H11*(1+$E13)</f>
        <v>62787.5</v>
      </c>
      <c r="J13" s="417">
        <f>'13.RL Kapitāla naudas plūsma'!I11*(1+$E13)</f>
        <v>0</v>
      </c>
      <c r="K13" s="417">
        <f>'13.RL Kapitāla naudas plūsma'!J11*(1+$E13)</f>
        <v>0</v>
      </c>
      <c r="L13" s="417">
        <f>'13.RL Kapitāla naudas plūsma'!K11*(1+$E13)</f>
        <v>0</v>
      </c>
      <c r="M13" s="417">
        <f>'13.RL Kapitāla naudas plūsma'!L11*(1+$E13)</f>
        <v>0</v>
      </c>
      <c r="N13" s="417">
        <f>'13.RL Kapitāla naudas plūsma'!M11*(1+$E13)</f>
        <v>0</v>
      </c>
      <c r="O13" s="417">
        <f>'13.RL Kapitāla naudas plūsma'!N11*(1+$E13)</f>
        <v>0</v>
      </c>
      <c r="P13" s="417">
        <f>'13.RL Kapitāla naudas plūsma'!O11*(1+$E13)</f>
        <v>0</v>
      </c>
      <c r="Q13" s="417">
        <f>'13.RL Kapitāla naudas plūsma'!P11*(1+$E13)</f>
        <v>0</v>
      </c>
      <c r="R13" s="417">
        <f>'13.RL Kapitāla naudas plūsma'!Q11*(1+$E13)</f>
        <v>0</v>
      </c>
      <c r="S13" s="417">
        <f>'13.RL Kapitāla naudas plūsma'!R11*(1+$E13)</f>
        <v>0</v>
      </c>
      <c r="T13" s="417">
        <f>'13.RL Kapitāla naudas plūsma'!S11*(1+$E13)</f>
        <v>0</v>
      </c>
      <c r="U13" s="417">
        <f>'13.RL Kapitāla naudas plūsma'!T11*(1+$E13)</f>
        <v>0</v>
      </c>
      <c r="V13" s="417">
        <f>'13.RL Kapitāla naudas plūsma'!U11*(1+$E13)</f>
        <v>0</v>
      </c>
      <c r="W13" s="417">
        <f>'13.RL Kapitāla naudas plūsma'!V11*(1+$E13)</f>
        <v>0</v>
      </c>
      <c r="X13" s="417">
        <f>'13.RL Kapitāla naudas plūsma'!W11*(1+$E13)</f>
        <v>0</v>
      </c>
      <c r="Y13" s="417">
        <f>'13.RL Kapitāla naudas plūsma'!X11*(1+$E13)</f>
        <v>0</v>
      </c>
      <c r="Z13" s="417">
        <f>'13.RL Kapitāla naudas plūsma'!Y11*(1+$E13)</f>
        <v>0</v>
      </c>
      <c r="AA13" s="417">
        <f>'13.RL Kapitāla naudas plūsma'!Z11*(1+$E13)</f>
        <v>0</v>
      </c>
      <c r="AB13" s="417">
        <f>'13.RL Kapitāla naudas plūsma'!AA11*(1+$E13)</f>
        <v>0</v>
      </c>
      <c r="AC13" s="417">
        <f>'13.RL Kapitāla naudas plūsma'!AB11*(1+$E13)</f>
        <v>0</v>
      </c>
      <c r="AD13" s="417">
        <f>'13.RL Kapitāla naudas plūsma'!AC11*(1+$E13)</f>
        <v>0</v>
      </c>
      <c r="AE13" s="418">
        <f>'13.RL Kapitāla naudas plūsma'!AD11*(1+$E13)</f>
        <v>0</v>
      </c>
      <c r="AF13" s="476">
        <f t="shared" si="0"/>
        <v>117806.5</v>
      </c>
    </row>
    <row r="14" spans="1:32" s="609" customFormat="1" ht="12.75" x14ac:dyDescent="0.2">
      <c r="A14" s="93"/>
      <c r="B14" s="32" t="s">
        <v>145</v>
      </c>
      <c r="C14" s="26" t="s">
        <v>89</v>
      </c>
      <c r="D14" s="26"/>
      <c r="E14" s="210">
        <v>0</v>
      </c>
      <c r="F14" s="71" t="s">
        <v>20</v>
      </c>
      <c r="G14" s="363">
        <f>SUM(G8,G9)-SUM(G10:G13)</f>
        <v>-27141.25</v>
      </c>
      <c r="H14" s="307">
        <f t="shared" ref="H14:AE14" si="1">SUM(H8,H9)-SUM(H10:H13)</f>
        <v>-22877.75</v>
      </c>
      <c r="I14" s="307">
        <f t="shared" si="1"/>
        <v>-57887.5</v>
      </c>
      <c r="J14" s="307">
        <f t="shared" si="1"/>
        <v>900</v>
      </c>
      <c r="K14" s="307">
        <f t="shared" si="1"/>
        <v>900</v>
      </c>
      <c r="L14" s="307">
        <f t="shared" si="1"/>
        <v>900</v>
      </c>
      <c r="M14" s="307">
        <f t="shared" si="1"/>
        <v>900</v>
      </c>
      <c r="N14" s="307">
        <f t="shared" si="1"/>
        <v>900</v>
      </c>
      <c r="O14" s="307">
        <f t="shared" si="1"/>
        <v>900</v>
      </c>
      <c r="P14" s="307">
        <f t="shared" si="1"/>
        <v>900</v>
      </c>
      <c r="Q14" s="307">
        <f t="shared" si="1"/>
        <v>900</v>
      </c>
      <c r="R14" s="307">
        <f t="shared" si="1"/>
        <v>900</v>
      </c>
      <c r="S14" s="307">
        <f t="shared" si="1"/>
        <v>1000</v>
      </c>
      <c r="T14" s="307">
        <f t="shared" si="1"/>
        <v>1000</v>
      </c>
      <c r="U14" s="307">
        <f t="shared" si="1"/>
        <v>1000</v>
      </c>
      <c r="V14" s="307">
        <f t="shared" si="1"/>
        <v>1000</v>
      </c>
      <c r="W14" s="307">
        <f t="shared" si="1"/>
        <v>1000</v>
      </c>
      <c r="X14" s="307">
        <f t="shared" si="1"/>
        <v>1000</v>
      </c>
      <c r="Y14" s="307">
        <f t="shared" si="1"/>
        <v>1000</v>
      </c>
      <c r="Z14" s="307">
        <f t="shared" si="1"/>
        <v>1000</v>
      </c>
      <c r="AA14" s="307">
        <f t="shared" si="1"/>
        <v>1000</v>
      </c>
      <c r="AB14" s="307">
        <f t="shared" si="1"/>
        <v>1000</v>
      </c>
      <c r="AC14" s="307">
        <f t="shared" si="1"/>
        <v>1000</v>
      </c>
      <c r="AD14" s="307">
        <f t="shared" si="1"/>
        <v>1000</v>
      </c>
      <c r="AE14" s="419">
        <f t="shared" si="1"/>
        <v>1000</v>
      </c>
      <c r="AF14" s="342">
        <f t="shared" si="0"/>
        <v>-86806.5</v>
      </c>
    </row>
    <row r="15" spans="1:32" s="32" customFormat="1" ht="12.75" x14ac:dyDescent="0.2">
      <c r="F15" s="71"/>
      <c r="G15" s="4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45"/>
      <c r="AF15" s="192"/>
    </row>
    <row r="16" spans="1:32" s="35" customFormat="1" ht="12.75" x14ac:dyDescent="0.2">
      <c r="A16" s="20">
        <v>2</v>
      </c>
      <c r="B16" s="21" t="s">
        <v>109</v>
      </c>
      <c r="C16" s="21"/>
      <c r="D16" s="21"/>
      <c r="E16" s="21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/>
    </row>
    <row r="17" spans="1:33" s="32" customFormat="1" x14ac:dyDescent="0.25">
      <c r="A17" s="90"/>
      <c r="B17" s="97"/>
      <c r="C17" s="11" t="s">
        <v>110</v>
      </c>
      <c r="D17" s="11"/>
      <c r="E17" s="11"/>
      <c r="F17" s="98" t="s">
        <v>21</v>
      </c>
      <c r="G17" s="99">
        <f>Titullapa!B24</f>
        <v>0.04</v>
      </c>
      <c r="I17" s="9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9"/>
    </row>
    <row r="18" spans="1:33" s="32" customFormat="1" ht="12.75" x14ac:dyDescent="0.2">
      <c r="A18" s="93"/>
      <c r="B18" s="101"/>
      <c r="C18" s="24" t="s">
        <v>111</v>
      </c>
      <c r="D18" s="24"/>
      <c r="E18" s="24"/>
      <c r="F18" s="102" t="s">
        <v>112</v>
      </c>
      <c r="G18" s="103">
        <v>0</v>
      </c>
      <c r="H18" s="104">
        <v>1</v>
      </c>
      <c r="I18" s="104">
        <f t="shared" ref="I18:AE18" si="2">H18+1</f>
        <v>2</v>
      </c>
      <c r="J18" s="104">
        <f t="shared" si="2"/>
        <v>3</v>
      </c>
      <c r="K18" s="104">
        <f t="shared" si="2"/>
        <v>4</v>
      </c>
      <c r="L18" s="104">
        <f t="shared" si="2"/>
        <v>5</v>
      </c>
      <c r="M18" s="104">
        <f t="shared" si="2"/>
        <v>6</v>
      </c>
      <c r="N18" s="104">
        <f t="shared" si="2"/>
        <v>7</v>
      </c>
      <c r="O18" s="104">
        <f t="shared" si="2"/>
        <v>8</v>
      </c>
      <c r="P18" s="104">
        <f t="shared" si="2"/>
        <v>9</v>
      </c>
      <c r="Q18" s="104">
        <f t="shared" si="2"/>
        <v>10</v>
      </c>
      <c r="R18" s="104">
        <f t="shared" si="2"/>
        <v>11</v>
      </c>
      <c r="S18" s="104">
        <f t="shared" si="2"/>
        <v>12</v>
      </c>
      <c r="T18" s="104">
        <f t="shared" si="2"/>
        <v>13</v>
      </c>
      <c r="U18" s="104">
        <f t="shared" si="2"/>
        <v>14</v>
      </c>
      <c r="V18" s="104">
        <f t="shared" si="2"/>
        <v>15</v>
      </c>
      <c r="W18" s="104">
        <f t="shared" si="2"/>
        <v>16</v>
      </c>
      <c r="X18" s="104">
        <f t="shared" si="2"/>
        <v>17</v>
      </c>
      <c r="Y18" s="104">
        <f t="shared" si="2"/>
        <v>18</v>
      </c>
      <c r="Z18" s="104">
        <f t="shared" si="2"/>
        <v>19</v>
      </c>
      <c r="AA18" s="104">
        <f t="shared" si="2"/>
        <v>20</v>
      </c>
      <c r="AB18" s="104">
        <f t="shared" si="2"/>
        <v>21</v>
      </c>
      <c r="AC18" s="104">
        <f t="shared" si="2"/>
        <v>22</v>
      </c>
      <c r="AD18" s="104">
        <f t="shared" si="2"/>
        <v>23</v>
      </c>
      <c r="AE18" s="104">
        <f t="shared" si="2"/>
        <v>24</v>
      </c>
      <c r="AF18" s="85" t="s">
        <v>40</v>
      </c>
    </row>
    <row r="19" spans="1:33" s="32" customFormat="1" ht="12.75" x14ac:dyDescent="0.2">
      <c r="A19" s="105"/>
      <c r="B19" s="15"/>
      <c r="C19" s="16" t="s">
        <v>113</v>
      </c>
      <c r="D19" s="16"/>
      <c r="E19" s="16"/>
      <c r="F19" s="106" t="s">
        <v>114</v>
      </c>
      <c r="G19" s="107">
        <f>1/(1+$G$17)^G18</f>
        <v>1</v>
      </c>
      <c r="H19" s="108">
        <f>1/(1+$G$17)^H18</f>
        <v>0.96153846153846145</v>
      </c>
      <c r="I19" s="108">
        <f t="shared" ref="I19:AE19" si="3">1/(1+$G$17)^I18</f>
        <v>0.92455621301775137</v>
      </c>
      <c r="J19" s="108">
        <f t="shared" si="3"/>
        <v>0.88899635867091487</v>
      </c>
      <c r="K19" s="108">
        <f t="shared" si="3"/>
        <v>0.85480419102972571</v>
      </c>
      <c r="L19" s="108">
        <f t="shared" si="3"/>
        <v>0.82192710675935154</v>
      </c>
      <c r="M19" s="108">
        <f t="shared" si="3"/>
        <v>0.79031452573014571</v>
      </c>
      <c r="N19" s="108">
        <f t="shared" si="3"/>
        <v>0.75991781320206331</v>
      </c>
      <c r="O19" s="108">
        <f t="shared" si="3"/>
        <v>0.73069020500198378</v>
      </c>
      <c r="P19" s="108">
        <f t="shared" si="3"/>
        <v>0.70258673557883045</v>
      </c>
      <c r="Q19" s="108">
        <f t="shared" si="3"/>
        <v>0.67556416882579851</v>
      </c>
      <c r="R19" s="108">
        <f t="shared" si="3"/>
        <v>0.6495809315632679</v>
      </c>
      <c r="S19" s="108">
        <f t="shared" si="3"/>
        <v>0.62459704958006512</v>
      </c>
      <c r="T19" s="108">
        <f t="shared" si="3"/>
        <v>0.600574086134678</v>
      </c>
      <c r="U19" s="108">
        <f t="shared" si="3"/>
        <v>0.57747508282180582</v>
      </c>
      <c r="V19" s="108">
        <f t="shared" si="3"/>
        <v>0.55526450271327477</v>
      </c>
      <c r="W19" s="108">
        <f t="shared" si="3"/>
        <v>0.53390817568584104</v>
      </c>
      <c r="X19" s="108">
        <f t="shared" si="3"/>
        <v>0.51337324585177024</v>
      </c>
      <c r="Y19" s="108">
        <f t="shared" si="3"/>
        <v>0.49362812101131748</v>
      </c>
      <c r="Z19" s="108">
        <f t="shared" si="3"/>
        <v>0.47464242404934376</v>
      </c>
      <c r="AA19" s="108">
        <f t="shared" si="3"/>
        <v>0.45638694620129205</v>
      </c>
      <c r="AB19" s="108">
        <f t="shared" si="3"/>
        <v>0.43883360211662686</v>
      </c>
      <c r="AC19" s="108">
        <f t="shared" si="3"/>
        <v>0.42195538665060278</v>
      </c>
      <c r="AD19" s="108">
        <f t="shared" si="3"/>
        <v>0.40572633331788732</v>
      </c>
      <c r="AE19" s="108">
        <f t="shared" si="3"/>
        <v>0.39012147434412242</v>
      </c>
      <c r="AF19" s="29"/>
    </row>
    <row r="20" spans="1:33" s="32" customFormat="1" ht="12.75" x14ac:dyDescent="0.2">
      <c r="A20" s="90"/>
      <c r="B20" s="91" t="s">
        <v>51</v>
      </c>
      <c r="C20" s="91" t="s">
        <v>115</v>
      </c>
      <c r="D20" s="91"/>
      <c r="E20" s="91"/>
      <c r="F20" s="92" t="s">
        <v>20</v>
      </c>
      <c r="G20" s="367">
        <f>G8*G$19</f>
        <v>2000</v>
      </c>
      <c r="H20" s="368">
        <f>H8*H19</f>
        <v>2884.6153846153843</v>
      </c>
      <c r="I20" s="368">
        <f t="shared" ref="I20:AE20" si="4">I8*I19</f>
        <v>4641.2721893491116</v>
      </c>
      <c r="J20" s="368">
        <f t="shared" si="4"/>
        <v>904.99829312699137</v>
      </c>
      <c r="K20" s="368">
        <f t="shared" si="4"/>
        <v>868.4810580862013</v>
      </c>
      <c r="L20" s="368">
        <f t="shared" si="4"/>
        <v>833.43408625398251</v>
      </c>
      <c r="M20" s="368">
        <f t="shared" si="4"/>
        <v>799.79830003890743</v>
      </c>
      <c r="N20" s="368">
        <f t="shared" si="4"/>
        <v>767.51699133408397</v>
      </c>
      <c r="O20" s="368">
        <f t="shared" si="4"/>
        <v>736.53572664199964</v>
      </c>
      <c r="P20" s="368">
        <f t="shared" si="4"/>
        <v>706.80225599230346</v>
      </c>
      <c r="Q20" s="368">
        <f t="shared" si="4"/>
        <v>678.26642550110171</v>
      </c>
      <c r="R20" s="368">
        <f t="shared" si="4"/>
        <v>650.88009342639441</v>
      </c>
      <c r="S20" s="368">
        <f t="shared" si="4"/>
        <v>624.59704958006512</v>
      </c>
      <c r="T20" s="368">
        <f t="shared" si="4"/>
        <v>600.57408613467805</v>
      </c>
      <c r="U20" s="368">
        <f t="shared" si="4"/>
        <v>577.47508282180581</v>
      </c>
      <c r="V20" s="368">
        <f t="shared" si="4"/>
        <v>555.26450271327474</v>
      </c>
      <c r="W20" s="368">
        <f t="shared" si="4"/>
        <v>533.908175685841</v>
      </c>
      <c r="X20" s="368">
        <f t="shared" si="4"/>
        <v>513.37324585177021</v>
      </c>
      <c r="Y20" s="368">
        <f t="shared" si="4"/>
        <v>493.62812101131749</v>
      </c>
      <c r="Z20" s="368">
        <f t="shared" si="4"/>
        <v>474.64242404934373</v>
      </c>
      <c r="AA20" s="368">
        <f t="shared" si="4"/>
        <v>456.38694620129206</v>
      </c>
      <c r="AB20" s="368">
        <f t="shared" si="4"/>
        <v>438.83360211662688</v>
      </c>
      <c r="AC20" s="368">
        <f t="shared" si="4"/>
        <v>421.9553866506028</v>
      </c>
      <c r="AD20" s="368">
        <f t="shared" si="4"/>
        <v>405.72633331788734</v>
      </c>
      <c r="AE20" s="368">
        <f t="shared" si="4"/>
        <v>390.12147434412242</v>
      </c>
      <c r="AF20" s="477">
        <f t="shared" ref="AF20:AF27" si="5">SUM(G20:AE20)</f>
        <v>22959.087234845087</v>
      </c>
    </row>
    <row r="21" spans="1:33" s="32" customFormat="1" ht="12.75" hidden="1" x14ac:dyDescent="0.2">
      <c r="A21" s="93"/>
      <c r="B21" s="32" t="s">
        <v>55</v>
      </c>
      <c r="C21" s="32" t="s">
        <v>116</v>
      </c>
      <c r="F21" s="94" t="s">
        <v>146</v>
      </c>
      <c r="G21" s="363" t="e">
        <f>#REF!*G$17</f>
        <v>#REF!</v>
      </c>
      <c r="H21" s="307" t="e">
        <f>#REF!*H$17</f>
        <v>#REF!</v>
      </c>
      <c r="I21" s="307" t="e">
        <f>#REF!*I$17</f>
        <v>#REF!</v>
      </c>
      <c r="J21" s="307" t="e">
        <f>#REF!*J$17</f>
        <v>#REF!</v>
      </c>
      <c r="K21" s="307" t="e">
        <f>#REF!*K$17</f>
        <v>#REF!</v>
      </c>
      <c r="L21" s="307" t="e">
        <f>#REF!*L$17</f>
        <v>#REF!</v>
      </c>
      <c r="M21" s="307" t="e">
        <f>#REF!*M$17</f>
        <v>#REF!</v>
      </c>
      <c r="N21" s="307" t="e">
        <f>#REF!*N$17</f>
        <v>#REF!</v>
      </c>
      <c r="O21" s="307" t="e">
        <f>#REF!*O$17</f>
        <v>#REF!</v>
      </c>
      <c r="P21" s="307" t="e">
        <f>#REF!*P$17</f>
        <v>#REF!</v>
      </c>
      <c r="Q21" s="307" t="e">
        <f>#REF!*Q$17</f>
        <v>#REF!</v>
      </c>
      <c r="R21" s="307" t="e">
        <f>#REF!*R$17</f>
        <v>#REF!</v>
      </c>
      <c r="S21" s="307" t="e">
        <f>#REF!*S$17</f>
        <v>#REF!</v>
      </c>
      <c r="T21" s="307" t="e">
        <f>#REF!*T$17</f>
        <v>#REF!</v>
      </c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 t="e">
        <f>#REF!*AE$17</f>
        <v>#REF!</v>
      </c>
      <c r="AF21" s="476" t="e">
        <f t="shared" si="5"/>
        <v>#REF!</v>
      </c>
    </row>
    <row r="22" spans="1:33" s="32" customFormat="1" ht="12.75" x14ac:dyDescent="0.2">
      <c r="A22" s="93"/>
      <c r="B22" s="32" t="s">
        <v>52</v>
      </c>
      <c r="C22" s="32" t="s">
        <v>147</v>
      </c>
      <c r="F22" s="94" t="s">
        <v>20</v>
      </c>
      <c r="G22" s="363">
        <f t="shared" ref="G22:H27" si="6">G9*G$19</f>
        <v>0</v>
      </c>
      <c r="H22" s="307">
        <f t="shared" si="6"/>
        <v>0</v>
      </c>
      <c r="I22" s="307">
        <f t="shared" ref="I22:AE22" si="7">I9*I$19</f>
        <v>0</v>
      </c>
      <c r="J22" s="307">
        <f t="shared" si="7"/>
        <v>0</v>
      </c>
      <c r="K22" s="307">
        <f t="shared" si="7"/>
        <v>0</v>
      </c>
      <c r="L22" s="307">
        <f t="shared" si="7"/>
        <v>0</v>
      </c>
      <c r="M22" s="307">
        <f t="shared" si="7"/>
        <v>0</v>
      </c>
      <c r="N22" s="307">
        <f t="shared" si="7"/>
        <v>0</v>
      </c>
      <c r="O22" s="307">
        <f t="shared" si="7"/>
        <v>0</v>
      </c>
      <c r="P22" s="307">
        <f t="shared" si="7"/>
        <v>0</v>
      </c>
      <c r="Q22" s="307">
        <f t="shared" si="7"/>
        <v>0</v>
      </c>
      <c r="R22" s="307">
        <f t="shared" si="7"/>
        <v>0</v>
      </c>
      <c r="S22" s="307">
        <f t="shared" si="7"/>
        <v>0</v>
      </c>
      <c r="T22" s="307">
        <f t="shared" si="7"/>
        <v>0</v>
      </c>
      <c r="U22" s="307">
        <f t="shared" si="7"/>
        <v>0</v>
      </c>
      <c r="V22" s="307">
        <f t="shared" si="7"/>
        <v>0</v>
      </c>
      <c r="W22" s="307">
        <f t="shared" si="7"/>
        <v>0</v>
      </c>
      <c r="X22" s="307">
        <f t="shared" si="7"/>
        <v>0</v>
      </c>
      <c r="Y22" s="307">
        <f t="shared" si="7"/>
        <v>0</v>
      </c>
      <c r="Z22" s="307">
        <f t="shared" si="7"/>
        <v>0</v>
      </c>
      <c r="AA22" s="307">
        <f t="shared" si="7"/>
        <v>0</v>
      </c>
      <c r="AB22" s="307">
        <f t="shared" si="7"/>
        <v>0</v>
      </c>
      <c r="AC22" s="307">
        <f t="shared" si="7"/>
        <v>0</v>
      </c>
      <c r="AD22" s="307">
        <f t="shared" si="7"/>
        <v>0</v>
      </c>
      <c r="AE22" s="307">
        <f t="shared" si="7"/>
        <v>0</v>
      </c>
      <c r="AF22" s="476">
        <f t="shared" si="5"/>
        <v>0</v>
      </c>
    </row>
    <row r="23" spans="1:33" s="32" customFormat="1" ht="12.75" x14ac:dyDescent="0.2">
      <c r="A23" s="93"/>
      <c r="B23" s="32" t="s">
        <v>53</v>
      </c>
      <c r="C23" s="32" t="s">
        <v>117</v>
      </c>
      <c r="F23" s="94" t="s">
        <v>20</v>
      </c>
      <c r="G23" s="363">
        <f t="shared" si="6"/>
        <v>0</v>
      </c>
      <c r="H23" s="307">
        <f t="shared" si="6"/>
        <v>0</v>
      </c>
      <c r="I23" s="307">
        <f t="shared" ref="I23:AE23" si="8">I10*I$19</f>
        <v>0</v>
      </c>
      <c r="J23" s="307">
        <f t="shared" si="8"/>
        <v>0</v>
      </c>
      <c r="K23" s="307">
        <f t="shared" si="8"/>
        <v>0</v>
      </c>
      <c r="L23" s="307">
        <f t="shared" si="8"/>
        <v>0</v>
      </c>
      <c r="M23" s="307">
        <f t="shared" si="8"/>
        <v>0</v>
      </c>
      <c r="N23" s="307">
        <f t="shared" si="8"/>
        <v>0</v>
      </c>
      <c r="O23" s="307">
        <f t="shared" si="8"/>
        <v>0</v>
      </c>
      <c r="P23" s="307">
        <f t="shared" si="8"/>
        <v>0</v>
      </c>
      <c r="Q23" s="307">
        <f t="shared" si="8"/>
        <v>0</v>
      </c>
      <c r="R23" s="307">
        <f t="shared" si="8"/>
        <v>0</v>
      </c>
      <c r="S23" s="307">
        <f t="shared" si="8"/>
        <v>0</v>
      </c>
      <c r="T23" s="307">
        <f t="shared" si="8"/>
        <v>0</v>
      </c>
      <c r="U23" s="307">
        <f t="shared" si="8"/>
        <v>0</v>
      </c>
      <c r="V23" s="307">
        <f t="shared" si="8"/>
        <v>0</v>
      </c>
      <c r="W23" s="307">
        <f t="shared" si="8"/>
        <v>0</v>
      </c>
      <c r="X23" s="307">
        <f t="shared" si="8"/>
        <v>0</v>
      </c>
      <c r="Y23" s="307">
        <f t="shared" si="8"/>
        <v>0</v>
      </c>
      <c r="Z23" s="307">
        <f t="shared" si="8"/>
        <v>0</v>
      </c>
      <c r="AA23" s="307">
        <f t="shared" si="8"/>
        <v>0</v>
      </c>
      <c r="AB23" s="307">
        <f t="shared" si="8"/>
        <v>0</v>
      </c>
      <c r="AC23" s="307">
        <f t="shared" si="8"/>
        <v>0</v>
      </c>
      <c r="AD23" s="307">
        <f t="shared" si="8"/>
        <v>0</v>
      </c>
      <c r="AE23" s="307">
        <f t="shared" si="8"/>
        <v>0</v>
      </c>
      <c r="AF23" s="476">
        <f t="shared" si="5"/>
        <v>0</v>
      </c>
    </row>
    <row r="24" spans="1:33" s="32" customFormat="1" ht="12.75" x14ac:dyDescent="0.2">
      <c r="A24" s="93"/>
      <c r="B24" s="32" t="s">
        <v>54</v>
      </c>
      <c r="C24" s="32" t="s">
        <v>148</v>
      </c>
      <c r="F24" s="94" t="s">
        <v>20</v>
      </c>
      <c r="G24" s="363">
        <f t="shared" si="6"/>
        <v>0</v>
      </c>
      <c r="H24" s="307">
        <f t="shared" si="6"/>
        <v>0</v>
      </c>
      <c r="I24" s="307">
        <f t="shared" ref="I24:AE24" si="9">I11*I$19</f>
        <v>0</v>
      </c>
      <c r="J24" s="307">
        <f t="shared" si="9"/>
        <v>0</v>
      </c>
      <c r="K24" s="307">
        <f t="shared" si="9"/>
        <v>0</v>
      </c>
      <c r="L24" s="307">
        <f t="shared" si="9"/>
        <v>0</v>
      </c>
      <c r="M24" s="307">
        <f t="shared" si="9"/>
        <v>0</v>
      </c>
      <c r="N24" s="307">
        <f t="shared" si="9"/>
        <v>0</v>
      </c>
      <c r="O24" s="307">
        <f t="shared" si="9"/>
        <v>0</v>
      </c>
      <c r="P24" s="307">
        <f t="shared" si="9"/>
        <v>0</v>
      </c>
      <c r="Q24" s="307">
        <f t="shared" si="9"/>
        <v>0</v>
      </c>
      <c r="R24" s="307">
        <f t="shared" si="9"/>
        <v>0</v>
      </c>
      <c r="S24" s="307">
        <f t="shared" si="9"/>
        <v>0</v>
      </c>
      <c r="T24" s="307">
        <f t="shared" si="9"/>
        <v>0</v>
      </c>
      <c r="U24" s="307">
        <f t="shared" si="9"/>
        <v>0</v>
      </c>
      <c r="V24" s="307">
        <f t="shared" si="9"/>
        <v>0</v>
      </c>
      <c r="W24" s="307">
        <f t="shared" si="9"/>
        <v>0</v>
      </c>
      <c r="X24" s="307">
        <f t="shared" si="9"/>
        <v>0</v>
      </c>
      <c r="Y24" s="307">
        <f t="shared" si="9"/>
        <v>0</v>
      </c>
      <c r="Z24" s="307">
        <f t="shared" si="9"/>
        <v>0</v>
      </c>
      <c r="AA24" s="307">
        <f t="shared" si="9"/>
        <v>0</v>
      </c>
      <c r="AB24" s="307">
        <f t="shared" si="9"/>
        <v>0</v>
      </c>
      <c r="AC24" s="307">
        <f t="shared" si="9"/>
        <v>0</v>
      </c>
      <c r="AD24" s="307">
        <f t="shared" si="9"/>
        <v>0</v>
      </c>
      <c r="AE24" s="307">
        <f t="shared" si="9"/>
        <v>0</v>
      </c>
      <c r="AF24" s="476">
        <f t="shared" si="5"/>
        <v>0</v>
      </c>
    </row>
    <row r="25" spans="1:33" s="32" customFormat="1" ht="13.5" customHeight="1" x14ac:dyDescent="0.2">
      <c r="A25" s="93"/>
      <c r="B25" s="32" t="s">
        <v>55</v>
      </c>
      <c r="C25" s="32" t="s">
        <v>149</v>
      </c>
      <c r="F25" s="94" t="s">
        <v>20</v>
      </c>
      <c r="G25" s="363">
        <f t="shared" si="6"/>
        <v>0</v>
      </c>
      <c r="H25" s="307">
        <f t="shared" si="6"/>
        <v>0</v>
      </c>
      <c r="I25" s="307">
        <f t="shared" ref="I25:AE25" si="10">I12*I$19</f>
        <v>110.94674556213016</v>
      </c>
      <c r="J25" s="307">
        <f t="shared" si="10"/>
        <v>104.90157032316796</v>
      </c>
      <c r="K25" s="307">
        <f t="shared" si="10"/>
        <v>99.157286159448176</v>
      </c>
      <c r="L25" s="307">
        <f t="shared" si="10"/>
        <v>93.699690170566072</v>
      </c>
      <c r="M25" s="307">
        <f t="shared" si="10"/>
        <v>88.515226881776314</v>
      </c>
      <c r="N25" s="307">
        <f t="shared" si="10"/>
        <v>83.590959452226969</v>
      </c>
      <c r="O25" s="307">
        <f t="shared" si="10"/>
        <v>78.914542140214252</v>
      </c>
      <c r="P25" s="307">
        <f t="shared" si="10"/>
        <v>74.47419397135603</v>
      </c>
      <c r="Q25" s="307">
        <f t="shared" si="10"/>
        <v>70.258673557883043</v>
      </c>
      <c r="R25" s="307">
        <f t="shared" si="10"/>
        <v>66.257255019453325</v>
      </c>
      <c r="S25" s="307">
        <f t="shared" si="10"/>
        <v>0</v>
      </c>
      <c r="T25" s="307">
        <f t="shared" si="10"/>
        <v>0</v>
      </c>
      <c r="U25" s="307">
        <f t="shared" si="10"/>
        <v>0</v>
      </c>
      <c r="V25" s="307">
        <f t="shared" si="10"/>
        <v>0</v>
      </c>
      <c r="W25" s="307">
        <f t="shared" si="10"/>
        <v>0</v>
      </c>
      <c r="X25" s="307">
        <f t="shared" si="10"/>
        <v>0</v>
      </c>
      <c r="Y25" s="307">
        <f t="shared" si="10"/>
        <v>0</v>
      </c>
      <c r="Z25" s="307">
        <f t="shared" si="10"/>
        <v>0</v>
      </c>
      <c r="AA25" s="307">
        <f t="shared" si="10"/>
        <v>0</v>
      </c>
      <c r="AB25" s="307">
        <f t="shared" si="10"/>
        <v>0</v>
      </c>
      <c r="AC25" s="307">
        <f t="shared" si="10"/>
        <v>0</v>
      </c>
      <c r="AD25" s="307">
        <f t="shared" si="10"/>
        <v>0</v>
      </c>
      <c r="AE25" s="307">
        <f t="shared" si="10"/>
        <v>0</v>
      </c>
      <c r="AF25" s="476">
        <f t="shared" si="5"/>
        <v>870.71614323822234</v>
      </c>
    </row>
    <row r="26" spans="1:33" s="32" customFormat="1" ht="12.75" x14ac:dyDescent="0.2">
      <c r="A26" s="93"/>
      <c r="B26" s="32" t="s">
        <v>56</v>
      </c>
      <c r="C26" s="26" t="s">
        <v>150</v>
      </c>
      <c r="D26" s="26"/>
      <c r="E26" s="26"/>
      <c r="F26" s="94" t="s">
        <v>20</v>
      </c>
      <c r="G26" s="363">
        <f t="shared" si="6"/>
        <v>29141.25</v>
      </c>
      <c r="H26" s="307">
        <f t="shared" si="6"/>
        <v>24882.451923076922</v>
      </c>
      <c r="I26" s="307">
        <f t="shared" ref="I26:AE26" si="11">I13*I$19</f>
        <v>58050.573224852065</v>
      </c>
      <c r="J26" s="307">
        <f t="shared" si="11"/>
        <v>0</v>
      </c>
      <c r="K26" s="307">
        <f t="shared" si="11"/>
        <v>0</v>
      </c>
      <c r="L26" s="307">
        <f t="shared" si="11"/>
        <v>0</v>
      </c>
      <c r="M26" s="307">
        <f t="shared" si="11"/>
        <v>0</v>
      </c>
      <c r="N26" s="307">
        <f t="shared" si="11"/>
        <v>0</v>
      </c>
      <c r="O26" s="307">
        <f t="shared" si="11"/>
        <v>0</v>
      </c>
      <c r="P26" s="307">
        <f t="shared" si="11"/>
        <v>0</v>
      </c>
      <c r="Q26" s="307">
        <f t="shared" si="11"/>
        <v>0</v>
      </c>
      <c r="R26" s="307">
        <f t="shared" si="11"/>
        <v>0</v>
      </c>
      <c r="S26" s="307">
        <f t="shared" si="11"/>
        <v>0</v>
      </c>
      <c r="T26" s="307">
        <f t="shared" si="11"/>
        <v>0</v>
      </c>
      <c r="U26" s="307">
        <f t="shared" si="11"/>
        <v>0</v>
      </c>
      <c r="V26" s="307">
        <f t="shared" si="11"/>
        <v>0</v>
      </c>
      <c r="W26" s="307">
        <f t="shared" si="11"/>
        <v>0</v>
      </c>
      <c r="X26" s="307">
        <f t="shared" si="11"/>
        <v>0</v>
      </c>
      <c r="Y26" s="307">
        <f t="shared" si="11"/>
        <v>0</v>
      </c>
      <c r="Z26" s="307">
        <f t="shared" si="11"/>
        <v>0</v>
      </c>
      <c r="AA26" s="307">
        <f t="shared" si="11"/>
        <v>0</v>
      </c>
      <c r="AB26" s="307">
        <f t="shared" si="11"/>
        <v>0</v>
      </c>
      <c r="AC26" s="307">
        <f t="shared" si="11"/>
        <v>0</v>
      </c>
      <c r="AD26" s="307">
        <f t="shared" si="11"/>
        <v>0</v>
      </c>
      <c r="AE26" s="307">
        <f t="shared" si="11"/>
        <v>0</v>
      </c>
      <c r="AF26" s="476">
        <f t="shared" si="5"/>
        <v>112074.27514792899</v>
      </c>
    </row>
    <row r="27" spans="1:33" s="32" customFormat="1" ht="12.75" x14ac:dyDescent="0.2">
      <c r="A27" s="105"/>
      <c r="B27" s="59" t="s">
        <v>151</v>
      </c>
      <c r="C27" s="59" t="s">
        <v>120</v>
      </c>
      <c r="D27" s="59"/>
      <c r="E27" s="59"/>
      <c r="F27" s="109" t="s">
        <v>20</v>
      </c>
      <c r="G27" s="369">
        <f t="shared" si="6"/>
        <v>-27141.25</v>
      </c>
      <c r="H27" s="370">
        <f t="shared" si="6"/>
        <v>-21997.836538461535</v>
      </c>
      <c r="I27" s="370">
        <f t="shared" ref="I27:AE27" si="12">I14*I$19</f>
        <v>-53520.247781065082</v>
      </c>
      <c r="J27" s="370">
        <f t="shared" si="12"/>
        <v>800.09672280382335</v>
      </c>
      <c r="K27" s="370">
        <f t="shared" si="12"/>
        <v>769.32377192675312</v>
      </c>
      <c r="L27" s="370">
        <f t="shared" si="12"/>
        <v>739.73439608341641</v>
      </c>
      <c r="M27" s="370">
        <f t="shared" si="12"/>
        <v>711.28307315713118</v>
      </c>
      <c r="N27" s="370">
        <f t="shared" si="12"/>
        <v>683.92603188185694</v>
      </c>
      <c r="O27" s="370">
        <f t="shared" si="12"/>
        <v>657.62118450178536</v>
      </c>
      <c r="P27" s="370">
        <f t="shared" si="12"/>
        <v>632.32806202094741</v>
      </c>
      <c r="Q27" s="370">
        <f t="shared" si="12"/>
        <v>608.00775194321864</v>
      </c>
      <c r="R27" s="370">
        <f t="shared" si="12"/>
        <v>584.62283840694113</v>
      </c>
      <c r="S27" s="370">
        <f t="shared" si="12"/>
        <v>624.59704958006512</v>
      </c>
      <c r="T27" s="370">
        <f t="shared" si="12"/>
        <v>600.57408613467805</v>
      </c>
      <c r="U27" s="370">
        <f t="shared" si="12"/>
        <v>577.47508282180581</v>
      </c>
      <c r="V27" s="370">
        <f t="shared" si="12"/>
        <v>555.26450271327474</v>
      </c>
      <c r="W27" s="370">
        <f t="shared" si="12"/>
        <v>533.908175685841</v>
      </c>
      <c r="X27" s="370">
        <f t="shared" si="12"/>
        <v>513.37324585177021</v>
      </c>
      <c r="Y27" s="370">
        <f t="shared" si="12"/>
        <v>493.62812101131749</v>
      </c>
      <c r="Z27" s="370">
        <f t="shared" si="12"/>
        <v>474.64242404934373</v>
      </c>
      <c r="AA27" s="370">
        <f t="shared" si="12"/>
        <v>456.38694620129206</v>
      </c>
      <c r="AB27" s="370">
        <f t="shared" si="12"/>
        <v>438.83360211662688</v>
      </c>
      <c r="AC27" s="370">
        <f t="shared" si="12"/>
        <v>421.9553866506028</v>
      </c>
      <c r="AD27" s="370">
        <f t="shared" si="12"/>
        <v>405.72633331788734</v>
      </c>
      <c r="AE27" s="370">
        <f t="shared" si="12"/>
        <v>390.12147434412242</v>
      </c>
      <c r="AF27" s="478">
        <f t="shared" si="5"/>
        <v>-89985.904056322121</v>
      </c>
    </row>
    <row r="28" spans="1:33" s="32" customFormat="1" ht="12.75" x14ac:dyDescent="0.2">
      <c r="A28" s="105"/>
      <c r="B28" s="59"/>
      <c r="C28" s="59"/>
      <c r="D28" s="59"/>
      <c r="E28" s="59"/>
      <c r="F28" s="110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479"/>
    </row>
    <row r="29" spans="1:33" s="35" customFormat="1" ht="12.75" x14ac:dyDescent="0.2">
      <c r="A29" s="20">
        <v>3</v>
      </c>
      <c r="B29" s="21" t="s">
        <v>121</v>
      </c>
      <c r="C29" s="21"/>
      <c r="D29" s="21"/>
      <c r="E29" s="21"/>
      <c r="F29" s="21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3"/>
      <c r="AG29" s="112"/>
    </row>
    <row r="30" spans="1:33" s="34" customFormat="1" ht="12.75" x14ac:dyDescent="0.2">
      <c r="A30" s="54"/>
      <c r="B30" s="55"/>
      <c r="C30" s="55"/>
      <c r="D30" s="55"/>
      <c r="H30" s="113" t="s">
        <v>122</v>
      </c>
      <c r="I30" s="114"/>
      <c r="J30" s="115" t="s">
        <v>123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9"/>
    </row>
    <row r="31" spans="1:33" s="32" customFormat="1" ht="12.75" x14ac:dyDescent="0.2">
      <c r="A31" s="90"/>
      <c r="B31" s="91" t="s">
        <v>31</v>
      </c>
      <c r="C31" s="91" t="s">
        <v>78</v>
      </c>
      <c r="D31" s="116"/>
      <c r="F31" s="117"/>
      <c r="G31" s="118"/>
      <c r="H31" s="480">
        <f>AF8</f>
        <v>32110</v>
      </c>
      <c r="I31" s="336"/>
      <c r="J31" s="480">
        <f t="shared" ref="J31:J37" si="13">AF20</f>
        <v>22959.087234845087</v>
      </c>
      <c r="K31" s="67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s="32" customFormat="1" ht="12.75" hidden="1" x14ac:dyDescent="0.2">
      <c r="A32" s="93"/>
      <c r="B32" s="32" t="s">
        <v>32</v>
      </c>
      <c r="C32" s="32" t="s">
        <v>152</v>
      </c>
      <c r="D32" s="119"/>
      <c r="F32" s="117"/>
      <c r="G32" s="118"/>
      <c r="H32" s="481" t="e">
        <f>#REF!</f>
        <v>#REF!</v>
      </c>
      <c r="I32" s="336"/>
      <c r="J32" s="481" t="e">
        <f t="shared" si="13"/>
        <v>#REF!</v>
      </c>
      <c r="K32" s="6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s="32" customFormat="1" ht="12.75" x14ac:dyDescent="0.2">
      <c r="A33" s="93"/>
      <c r="B33" s="32" t="s">
        <v>32</v>
      </c>
      <c r="C33" s="32" t="s">
        <v>75</v>
      </c>
      <c r="D33" s="119"/>
      <c r="F33" s="117"/>
      <c r="G33" s="118"/>
      <c r="H33" s="481">
        <f t="shared" ref="H33:H38" si="14">AF9</f>
        <v>0</v>
      </c>
      <c r="I33" s="336"/>
      <c r="J33" s="481">
        <f t="shared" si="13"/>
        <v>0</v>
      </c>
      <c r="K33" s="6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s="32" customFormat="1" ht="12.75" x14ac:dyDescent="0.2">
      <c r="A34" s="93"/>
      <c r="B34" s="32" t="s">
        <v>124</v>
      </c>
      <c r="C34" s="32" t="s">
        <v>108</v>
      </c>
      <c r="D34" s="119"/>
      <c r="F34" s="117"/>
      <c r="G34" s="118"/>
      <c r="H34" s="481">
        <f t="shared" si="14"/>
        <v>0</v>
      </c>
      <c r="I34" s="336"/>
      <c r="J34" s="481">
        <f t="shared" si="13"/>
        <v>0</v>
      </c>
      <c r="K34" s="6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32" customFormat="1" ht="12.75" x14ac:dyDescent="0.2">
      <c r="A35" s="93"/>
      <c r="B35" s="32" t="s">
        <v>125</v>
      </c>
      <c r="C35" s="32" t="s">
        <v>86</v>
      </c>
      <c r="D35" s="119"/>
      <c r="F35" s="120"/>
      <c r="G35" s="71"/>
      <c r="H35" s="481">
        <f t="shared" si="14"/>
        <v>0</v>
      </c>
      <c r="I35" s="336"/>
      <c r="J35" s="481">
        <f t="shared" si="13"/>
        <v>0</v>
      </c>
      <c r="K35" s="6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s="32" customFormat="1" ht="12.75" x14ac:dyDescent="0.2">
      <c r="A36" s="93"/>
      <c r="B36" s="32" t="s">
        <v>126</v>
      </c>
      <c r="C36" s="32" t="s">
        <v>143</v>
      </c>
      <c r="D36" s="119"/>
      <c r="F36" s="120"/>
      <c r="G36" s="71"/>
      <c r="H36" s="481">
        <f t="shared" si="14"/>
        <v>1110</v>
      </c>
      <c r="I36" s="336"/>
      <c r="J36" s="481">
        <f t="shared" si="13"/>
        <v>870.71614323822234</v>
      </c>
      <c r="K36" s="6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32" customFormat="1" ht="12.75" x14ac:dyDescent="0.2">
      <c r="A37" s="93"/>
      <c r="B37" s="32" t="s">
        <v>153</v>
      </c>
      <c r="C37" s="32" t="str">
        <f>C13</f>
        <v xml:space="preserve">Projektā ieguldītais kapitāls </v>
      </c>
      <c r="D37" s="119"/>
      <c r="F37" s="120"/>
      <c r="G37" s="71"/>
      <c r="H37" s="481">
        <f t="shared" si="14"/>
        <v>117806.5</v>
      </c>
      <c r="I37" s="336"/>
      <c r="J37" s="481">
        <f t="shared" si="13"/>
        <v>112074.27514792899</v>
      </c>
      <c r="K37" s="6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s="32" customFormat="1" ht="12.75" x14ac:dyDescent="0.2">
      <c r="A38" s="105"/>
      <c r="B38" s="59" t="s">
        <v>154</v>
      </c>
      <c r="C38" s="59" t="s">
        <v>89</v>
      </c>
      <c r="D38" s="121"/>
      <c r="F38" s="120"/>
      <c r="G38" s="71"/>
      <c r="H38" s="482">
        <f t="shared" si="14"/>
        <v>-86806.5</v>
      </c>
      <c r="I38" s="336"/>
      <c r="J38" s="482">
        <f>AF27</f>
        <v>-89985.904056322121</v>
      </c>
      <c r="K38" s="6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s="32" customFormat="1" ht="12.75" x14ac:dyDescent="0.2">
      <c r="A39" s="9"/>
      <c r="B39" s="9"/>
      <c r="C39" s="9"/>
      <c r="D39" s="9"/>
      <c r="E39" s="9"/>
      <c r="F39" s="71"/>
      <c r="G39" s="71"/>
      <c r="H39" s="483"/>
      <c r="I39" s="46"/>
      <c r="J39" s="483"/>
      <c r="K39" s="6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s="35" customFormat="1" ht="12.75" x14ac:dyDescent="0.2">
      <c r="A40" s="20">
        <v>4</v>
      </c>
      <c r="B40" s="21" t="s">
        <v>127</v>
      </c>
      <c r="C40" s="21"/>
      <c r="D40" s="21"/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3"/>
      <c r="AG40" s="112"/>
    </row>
    <row r="41" spans="1:33" s="514" customFormat="1" ht="21.75" customHeight="1" x14ac:dyDescent="0.2">
      <c r="A41" s="234"/>
      <c r="B41" s="91"/>
      <c r="C41" s="91"/>
      <c r="D41" s="91"/>
      <c r="E41" s="91"/>
      <c r="F41" s="1001" t="s">
        <v>128</v>
      </c>
      <c r="G41" s="984"/>
      <c r="H41" s="984" t="s">
        <v>129</v>
      </c>
      <c r="I41" s="984"/>
      <c r="J41" s="984" t="s">
        <v>130</v>
      </c>
      <c r="K41" s="985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91"/>
      <c r="W41" s="91"/>
      <c r="X41" s="234"/>
      <c r="Y41" s="234"/>
      <c r="Z41" s="17"/>
      <c r="AA41" s="17"/>
      <c r="AB41" s="17"/>
      <c r="AC41" s="17"/>
      <c r="AD41" s="17"/>
      <c r="AE41" s="17"/>
      <c r="AF41" s="17"/>
    </row>
    <row r="42" spans="1:33" s="514" customFormat="1" ht="12.75" x14ac:dyDescent="0.2">
      <c r="A42" s="25"/>
      <c r="B42" s="32" t="s">
        <v>74</v>
      </c>
      <c r="C42" s="32" t="s">
        <v>155</v>
      </c>
      <c r="D42" s="32"/>
      <c r="E42" s="32"/>
      <c r="F42" s="979">
        <f>'13.RL Kapitāla naudas plūsma'!G39</f>
        <v>-89985.904056322121</v>
      </c>
      <c r="G42" s="980"/>
      <c r="H42" s="980">
        <f>J38</f>
        <v>-89985.904056322121</v>
      </c>
      <c r="I42" s="980"/>
      <c r="J42" s="981">
        <f>H42/F42-1</f>
        <v>0</v>
      </c>
      <c r="K42" s="982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32"/>
      <c r="W42" s="32"/>
      <c r="X42" s="25"/>
      <c r="Y42" s="25"/>
      <c r="Z42" s="17"/>
      <c r="AA42" s="17"/>
      <c r="AB42" s="17"/>
      <c r="AC42" s="17"/>
      <c r="AD42" s="17"/>
      <c r="AE42" s="17"/>
      <c r="AF42" s="17"/>
    </row>
    <row r="43" spans="1:33" s="428" customFormat="1" x14ac:dyDescent="0.25"/>
    <row r="44" spans="1:33" s="428" customFormat="1" x14ac:dyDescent="0.25">
      <c r="A44" s="20"/>
      <c r="B44" s="21"/>
      <c r="C44" s="21"/>
      <c r="D44" s="21"/>
      <c r="E44" s="21"/>
      <c r="F44" s="21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3"/>
    </row>
  </sheetData>
  <sheetProtection algorithmName="SHA-512" hashValue="X++vFT5daatgC0QH0XK8HovOh3khakhVGI594APpHd51CWfloLqyrkdslwkmRzJokwQKzb/d+GlmQogL9cT0QA==" saltValue="Xfrn30wK2IrNQPp7z8u21A==" spinCount="100000" sheet="1" objects="1" scenarios="1" formatCells="0" formatColumns="0" formatRows="0"/>
  <mergeCells count="8">
    <mergeCell ref="F42:G42"/>
    <mergeCell ref="H42:I42"/>
    <mergeCell ref="J42:K42"/>
    <mergeCell ref="A1:G1"/>
    <mergeCell ref="C3:D4"/>
    <mergeCell ref="F41:G41"/>
    <mergeCell ref="H41:I41"/>
    <mergeCell ref="J41:K41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W38"/>
  <sheetViews>
    <sheetView zoomScale="77" zoomScaleNormal="77" workbookViewId="0">
      <selection activeCell="G10" sqref="G10"/>
    </sheetView>
  </sheetViews>
  <sheetFormatPr defaultRowHeight="15" x14ac:dyDescent="0.25"/>
  <cols>
    <col min="2" max="2" width="12.28515625" customWidth="1"/>
    <col min="3" max="3" width="63.7109375" customWidth="1"/>
    <col min="5" max="5" width="15.28515625" bestFit="1" customWidth="1"/>
    <col min="7" max="7" width="15" style="2" customWidth="1"/>
    <col min="8" max="8" width="14" style="2" customWidth="1"/>
    <col min="9" max="13" width="12.42578125" style="2" customWidth="1"/>
    <col min="14" max="14" width="13.85546875" style="2" customWidth="1"/>
    <col min="15" max="19" width="12.42578125" style="2" customWidth="1"/>
    <col min="20" max="23" width="12.42578125" style="2" hidden="1" customWidth="1"/>
  </cols>
  <sheetData>
    <row r="1" spans="1:23" ht="26.25" x14ac:dyDescent="0.25">
      <c r="A1" s="1013" t="s">
        <v>343</v>
      </c>
      <c r="B1" s="1013"/>
      <c r="C1" s="1013"/>
      <c r="D1" s="1013"/>
    </row>
    <row r="2" spans="1:23" ht="21" x14ac:dyDescent="0.35">
      <c r="A2" s="1014" t="s">
        <v>551</v>
      </c>
      <c r="B2" s="1014"/>
      <c r="C2" s="1014"/>
      <c r="D2" s="1014"/>
    </row>
    <row r="5" spans="1:23" ht="38.25" customHeight="1" x14ac:dyDescent="0.25">
      <c r="A5" s="1006" t="s">
        <v>15</v>
      </c>
      <c r="B5" s="1007" t="s">
        <v>33</v>
      </c>
      <c r="C5" s="1009" t="s">
        <v>16</v>
      </c>
      <c r="D5" s="1002" t="s">
        <v>597</v>
      </c>
      <c r="E5" s="1010" t="s">
        <v>17</v>
      </c>
      <c r="F5" s="1010"/>
      <c r="G5" s="1002" t="s">
        <v>18</v>
      </c>
      <c r="H5" s="1002"/>
      <c r="I5" s="645"/>
      <c r="J5" s="1011" t="str">
        <f>'1.DL Projekta budžets'!J4:K4</f>
        <v>Izmaksas periodā no 01.02.2020.  līdz pirmajam projekta īstenošanas gadam</v>
      </c>
      <c r="K5" s="1012"/>
      <c r="L5" s="1002">
        <f>Titullapa!D10</f>
        <v>2021</v>
      </c>
      <c r="M5" s="1002"/>
      <c r="N5" s="1003">
        <f>1+L5</f>
        <v>2022</v>
      </c>
      <c r="O5" s="1003"/>
      <c r="P5" s="1004">
        <f>1+N5</f>
        <v>2023</v>
      </c>
      <c r="Q5" s="1005"/>
      <c r="R5" s="1002">
        <f>P5+1</f>
        <v>2024</v>
      </c>
      <c r="S5" s="1002"/>
      <c r="T5" s="1003">
        <f>1+R5</f>
        <v>2025</v>
      </c>
      <c r="U5" s="1003"/>
      <c r="V5" s="1004">
        <f>1+T5</f>
        <v>2026</v>
      </c>
      <c r="W5" s="1005"/>
    </row>
    <row r="6" spans="1:23" ht="38.25" x14ac:dyDescent="0.25">
      <c r="A6" s="1006"/>
      <c r="B6" s="1008"/>
      <c r="C6" s="1009" t="s">
        <v>19</v>
      </c>
      <c r="D6" s="1002"/>
      <c r="E6" s="646" t="s">
        <v>20</v>
      </c>
      <c r="F6" s="646" t="s">
        <v>21</v>
      </c>
      <c r="G6" s="645" t="s">
        <v>22</v>
      </c>
      <c r="H6" s="645" t="s">
        <v>23</v>
      </c>
      <c r="I6" s="645" t="s">
        <v>598</v>
      </c>
      <c r="J6" s="1" t="s">
        <v>24</v>
      </c>
      <c r="K6" s="1" t="s">
        <v>25</v>
      </c>
      <c r="L6" s="1" t="s">
        <v>24</v>
      </c>
      <c r="M6" s="1" t="s">
        <v>25</v>
      </c>
      <c r="N6" s="1" t="s">
        <v>24</v>
      </c>
      <c r="O6" s="1" t="s">
        <v>25</v>
      </c>
      <c r="P6" s="1" t="s">
        <v>24</v>
      </c>
      <c r="Q6" s="1" t="s">
        <v>25</v>
      </c>
      <c r="R6" s="1" t="s">
        <v>24</v>
      </c>
      <c r="S6" s="1" t="s">
        <v>25</v>
      </c>
      <c r="T6" s="1" t="s">
        <v>24</v>
      </c>
      <c r="U6" s="1" t="s">
        <v>25</v>
      </c>
      <c r="V6" s="1" t="s">
        <v>24</v>
      </c>
      <c r="W6" s="1" t="s">
        <v>25</v>
      </c>
    </row>
    <row r="7" spans="1:23" x14ac:dyDescent="0.25">
      <c r="A7" s="6" t="str">
        <f>'1.DL Projekta budžets'!A6</f>
        <v>1.</v>
      </c>
      <c r="B7" s="6" t="str">
        <f>'1.DL Projekta budžets'!B6</f>
        <v>27.1.</v>
      </c>
      <c r="C7" s="6" t="str">
        <f>'1.DL Projekta budžets'!C6</f>
        <v>Būvprojekta izstrādes izmaksas, būvuzraudzības un autoruzraudzības izmaksas</v>
      </c>
      <c r="D7" s="422">
        <f>'1.DL Projekta budžets'!D6</f>
        <v>0.85</v>
      </c>
      <c r="E7" s="640">
        <f>'1.DL Projekta budžets'!E6</f>
        <v>0</v>
      </c>
      <c r="F7" s="422">
        <f>'1.DL Projekta budžets'!F6</f>
        <v>0</v>
      </c>
      <c r="G7" s="640">
        <f>'1.DL Projekta budžets'!G6</f>
        <v>0</v>
      </c>
      <c r="H7" s="640">
        <f>'1.DL Projekta budžets'!H6</f>
        <v>0</v>
      </c>
      <c r="I7" s="640">
        <f>'1.DL Projekta budžets'!I6</f>
        <v>0</v>
      </c>
      <c r="J7" s="640">
        <f>'1.DL Projekta budžets'!J6</f>
        <v>0</v>
      </c>
      <c r="K7" s="640">
        <f>'1.DL Projekta budžets'!K6</f>
        <v>0</v>
      </c>
      <c r="L7" s="640">
        <f>'1.DL Projekta budžets'!L6</f>
        <v>0</v>
      </c>
      <c r="M7" s="640">
        <f>'1.DL Projekta budžets'!M6</f>
        <v>0</v>
      </c>
      <c r="N7" s="640">
        <f>'1.DL Projekta budžets'!N6</f>
        <v>0</v>
      </c>
      <c r="O7" s="640">
        <f>'1.DL Projekta budžets'!O6</f>
        <v>0</v>
      </c>
      <c r="P7" s="640">
        <f>'1.DL Projekta budžets'!P6</f>
        <v>0</v>
      </c>
      <c r="Q7" s="640">
        <f>'1.DL Projekta budžets'!Q6</f>
        <v>0</v>
      </c>
      <c r="R7" s="640">
        <f>'1.DL Projekta budžets'!R6</f>
        <v>0</v>
      </c>
      <c r="S7" s="640">
        <f>'1.DL Projekta budžets'!S6</f>
        <v>0</v>
      </c>
      <c r="T7" s="640">
        <f>'1.DL Projekta budžets'!T6</f>
        <v>0</v>
      </c>
      <c r="U7" s="640">
        <f>'1.DL Projekta budžets'!U6</f>
        <v>0</v>
      </c>
      <c r="V7" s="640">
        <f>'1.DL Projekta budžets'!V6</f>
        <v>0</v>
      </c>
      <c r="W7" s="640">
        <f>'1.DL Projekta budžets'!W6</f>
        <v>0</v>
      </c>
    </row>
    <row r="8" spans="1:23" s="7" customFormat="1" x14ac:dyDescent="0.25">
      <c r="A8" s="6" t="str">
        <f>'1.DL Projekta budžets'!A7</f>
        <v>2.</v>
      </c>
      <c r="B8" s="6" t="str">
        <f>'1.DL Projekta budžets'!B7</f>
        <v>27.2.</v>
      </c>
      <c r="C8" s="6" t="str">
        <f>'1.DL Projekta budžets'!C7</f>
        <v>Būvdarbu izmaksas</v>
      </c>
      <c r="D8" s="422">
        <f>'1.DL Projekta budžets'!D7</f>
        <v>0.85</v>
      </c>
      <c r="E8" s="640">
        <f>'1.DL Projekta budžets'!E7</f>
        <v>10000</v>
      </c>
      <c r="F8" s="422">
        <f>'1.DL Projekta budžets'!F7</f>
        <v>4.807692307692308E-2</v>
      </c>
      <c r="G8" s="640">
        <f>'1.DL Projekta budžets'!G7</f>
        <v>0</v>
      </c>
      <c r="H8" s="640">
        <f>'1.DL Projekta budžets'!H7</f>
        <v>10000</v>
      </c>
      <c r="I8" s="640">
        <f>'1.DL Projekta budžets'!I7</f>
        <v>0</v>
      </c>
      <c r="J8" s="640">
        <f>'1.DL Projekta budžets'!J7</f>
        <v>0</v>
      </c>
      <c r="K8" s="640">
        <f>'1.DL Projekta budžets'!K7</f>
        <v>0</v>
      </c>
      <c r="L8" s="640">
        <f>'1.DL Projekta budžets'!L7</f>
        <v>0</v>
      </c>
      <c r="M8" s="640">
        <f>'1.DL Projekta budžets'!M7</f>
        <v>10000</v>
      </c>
      <c r="N8" s="640">
        <f>'1.DL Projekta budžets'!N7</f>
        <v>0</v>
      </c>
      <c r="O8" s="640">
        <f>'1.DL Projekta budžets'!O7</f>
        <v>0</v>
      </c>
      <c r="P8" s="640">
        <f>'1.DL Projekta budžets'!P7</f>
        <v>0</v>
      </c>
      <c r="Q8" s="640">
        <f>'1.DL Projekta budžets'!Q7</f>
        <v>0</v>
      </c>
      <c r="R8" s="640">
        <f>'1.DL Projekta budžets'!R7</f>
        <v>0</v>
      </c>
      <c r="S8" s="640">
        <f>'1.DL Projekta budžets'!S7</f>
        <v>0</v>
      </c>
      <c r="T8" s="640">
        <f>'1.DL Projekta budžets'!T7</f>
        <v>0</v>
      </c>
      <c r="U8" s="640">
        <f>'1.DL Projekta budžets'!U7</f>
        <v>0</v>
      </c>
      <c r="V8" s="640">
        <f>'1.DL Projekta budžets'!V7</f>
        <v>0</v>
      </c>
      <c r="W8" s="640">
        <f>'1.DL Projekta budžets'!W7</f>
        <v>0</v>
      </c>
    </row>
    <row r="9" spans="1:23" s="7" customFormat="1" x14ac:dyDescent="0.25">
      <c r="A9" s="6" t="str">
        <f>'1.DL Projekta budžets'!A8</f>
        <v>3.</v>
      </c>
      <c r="B9" s="6" t="str">
        <f>'1.DL Projekta budžets'!B8</f>
        <v>27.3.</v>
      </c>
      <c r="C9" s="6" t="str">
        <f>'1.DL Projekta budžets'!C8</f>
        <v>Tehnoloģisko iekārtu iegādes, uzstādīšanas un ieregulēšanas izmaksas</v>
      </c>
      <c r="D9" s="422">
        <f>'1.DL Projekta budžets'!D8</f>
        <v>0.85</v>
      </c>
      <c r="E9" s="640">
        <f>'1.DL Projekta budžets'!E8</f>
        <v>75000</v>
      </c>
      <c r="F9" s="422">
        <f>'1.DL Projekta budžets'!F8</f>
        <v>0.36057692307692307</v>
      </c>
      <c r="G9" s="640">
        <f>'1.DL Projekta budžets'!G8</f>
        <v>75000</v>
      </c>
      <c r="H9" s="640">
        <f>'1.DL Projekta budžets'!H8</f>
        <v>0</v>
      </c>
      <c r="I9" s="640">
        <f>'1.DL Projekta budžets'!I8</f>
        <v>51637.5</v>
      </c>
      <c r="J9" s="640">
        <f>'1.DL Projekta budžets'!J8</f>
        <v>0</v>
      </c>
      <c r="K9" s="640">
        <f>'1.DL Projekta budžets'!K8</f>
        <v>0</v>
      </c>
      <c r="L9" s="640">
        <f>'1.DL Projekta budžets'!L8</f>
        <v>25000</v>
      </c>
      <c r="M9" s="640">
        <f>'1.DL Projekta budžets'!M8</f>
        <v>0</v>
      </c>
      <c r="N9" s="640">
        <f>'1.DL Projekta budžets'!N8</f>
        <v>25000</v>
      </c>
      <c r="O9" s="640">
        <f>'1.DL Projekta budžets'!O8</f>
        <v>0</v>
      </c>
      <c r="P9" s="640">
        <f>'1.DL Projekta budžets'!P8</f>
        <v>25000</v>
      </c>
      <c r="Q9" s="640">
        <f>'1.DL Projekta budžets'!Q8</f>
        <v>0</v>
      </c>
      <c r="R9" s="640">
        <f>'1.DL Projekta budžets'!R8</f>
        <v>0</v>
      </c>
      <c r="S9" s="640">
        <f>'1.DL Projekta budžets'!S8</f>
        <v>0</v>
      </c>
      <c r="T9" s="640">
        <f>'1.DL Projekta budžets'!T8</f>
        <v>0</v>
      </c>
      <c r="U9" s="640">
        <f>'1.DL Projekta budžets'!U8</f>
        <v>0</v>
      </c>
      <c r="V9" s="640">
        <f>'1.DL Projekta budžets'!V8</f>
        <v>0</v>
      </c>
      <c r="W9" s="640">
        <f>'1.DL Projekta budžets'!W8</f>
        <v>0</v>
      </c>
    </row>
    <row r="10" spans="1:23" s="7" customFormat="1" x14ac:dyDescent="0.25">
      <c r="A10" s="6" t="str">
        <f>'1.DL Projekta budžets'!A9</f>
        <v>4.</v>
      </c>
      <c r="B10" s="6" t="str">
        <f>'1.DL Projekta budžets'!B9</f>
        <v>27.4.; 29.1.</v>
      </c>
      <c r="C10" s="6" t="str">
        <f>'1.DL Projekta budžets'!C9</f>
        <v>Traktortehnikas iegādes izmaksas</v>
      </c>
      <c r="D10" s="422">
        <f>'1.DL Projekta budžets'!D9</f>
        <v>0.85</v>
      </c>
      <c r="E10" s="640">
        <f>'1.DL Projekta budžets'!E9</f>
        <v>50000</v>
      </c>
      <c r="F10" s="422">
        <f>'1.DL Projekta budžets'!F9</f>
        <v>0.24038461538461539</v>
      </c>
      <c r="G10" s="640">
        <f>'1.DL Projekta budžets'!G9</f>
        <v>0</v>
      </c>
      <c r="H10" s="640">
        <f>'1.DL Projekta budžets'!H9</f>
        <v>50000</v>
      </c>
      <c r="I10" s="640">
        <f>'1.DL Projekta budžets'!I9</f>
        <v>0</v>
      </c>
      <c r="J10" s="640">
        <f>'1.DL Projekta budžets'!J9</f>
        <v>0</v>
      </c>
      <c r="K10" s="640">
        <f>'1.DL Projekta budžets'!K9</f>
        <v>0</v>
      </c>
      <c r="L10" s="640">
        <f>'1.DL Projekta budžets'!L9</f>
        <v>0</v>
      </c>
      <c r="M10" s="640">
        <f>'1.DL Projekta budžets'!M9</f>
        <v>0</v>
      </c>
      <c r="N10" s="640">
        <f>'1.DL Projekta budžets'!N9</f>
        <v>0</v>
      </c>
      <c r="O10" s="640">
        <f>'1.DL Projekta budžets'!O9</f>
        <v>50000</v>
      </c>
      <c r="P10" s="640">
        <f>'1.DL Projekta budžets'!P9</f>
        <v>0</v>
      </c>
      <c r="Q10" s="640">
        <f>'1.DL Projekta budžets'!Q9</f>
        <v>0</v>
      </c>
      <c r="R10" s="640">
        <f>'1.DL Projekta budžets'!R9</f>
        <v>0</v>
      </c>
      <c r="S10" s="640">
        <f>'1.DL Projekta budžets'!S9</f>
        <v>0</v>
      </c>
      <c r="T10" s="640">
        <f>'1.DL Projekta budžets'!T9</f>
        <v>0</v>
      </c>
      <c r="U10" s="640">
        <f>'1.DL Projekta budžets'!U9</f>
        <v>0</v>
      </c>
      <c r="V10" s="640">
        <f>'1.DL Projekta budžets'!V9</f>
        <v>0</v>
      </c>
      <c r="W10" s="640">
        <f>'1.DL Projekta budžets'!W9</f>
        <v>0</v>
      </c>
    </row>
    <row r="11" spans="1:23" s="4" customFormat="1" x14ac:dyDescent="0.25">
      <c r="A11" s="6" t="str">
        <f>'1.DL Projekta budžets'!A10</f>
        <v>5.</v>
      </c>
      <c r="B11" s="6" t="str">
        <f>'1.DL Projekta budžets'!B10</f>
        <v>29.1.</v>
      </c>
      <c r="C11" s="6" t="str">
        <f>'1.DL Projekta budžets'!C10</f>
        <v>Izmaksas, kas šo noteikumu 27.punktā nav noteiktas kā attiecināmas</v>
      </c>
      <c r="D11" s="422">
        <f>'1.DL Projekta budžets'!D10</f>
        <v>0</v>
      </c>
      <c r="E11" s="640">
        <f>'1.DL Projekta budžets'!E10</f>
        <v>15000</v>
      </c>
      <c r="F11" s="422">
        <f>'1.DL Projekta budžets'!F10</f>
        <v>7.2115384615384609E-2</v>
      </c>
      <c r="G11" s="640">
        <f>'1.DL Projekta budžets'!G10</f>
        <v>0</v>
      </c>
      <c r="H11" s="640">
        <f>'1.DL Projekta budžets'!H10</f>
        <v>15000</v>
      </c>
      <c r="I11" s="640">
        <f>'1.DL Projekta budžets'!I10</f>
        <v>0</v>
      </c>
      <c r="J11" s="640">
        <f>'1.DL Projekta budžets'!J10</f>
        <v>0</v>
      </c>
      <c r="K11" s="640">
        <f>'1.DL Projekta budžets'!K10</f>
        <v>5000</v>
      </c>
      <c r="L11" s="640">
        <f>'1.DL Projekta budžets'!L10</f>
        <v>0</v>
      </c>
      <c r="M11" s="640">
        <f>'1.DL Projekta budžets'!M10</f>
        <v>5000</v>
      </c>
      <c r="N11" s="640">
        <f>'1.DL Projekta budžets'!N10</f>
        <v>0</v>
      </c>
      <c r="O11" s="640">
        <f>'1.DL Projekta budžets'!O10</f>
        <v>5000</v>
      </c>
      <c r="P11" s="640">
        <f>'1.DL Projekta budžets'!P10</f>
        <v>0</v>
      </c>
      <c r="Q11" s="640">
        <f>'1.DL Projekta budžets'!Q10</f>
        <v>0</v>
      </c>
      <c r="R11" s="640">
        <f>'1.DL Projekta budžets'!R10</f>
        <v>0</v>
      </c>
      <c r="S11" s="640">
        <f>'1.DL Projekta budžets'!S10</f>
        <v>0</v>
      </c>
      <c r="T11" s="640">
        <f>'1.DL Projekta budžets'!T10</f>
        <v>0</v>
      </c>
      <c r="U11" s="640">
        <f>'1.DL Projekta budžets'!U10</f>
        <v>0</v>
      </c>
      <c r="V11" s="640">
        <f>'1.DL Projekta budžets'!V10</f>
        <v>0</v>
      </c>
      <c r="W11" s="640">
        <f>'1.DL Projekta budžets'!W10</f>
        <v>0</v>
      </c>
    </row>
    <row r="12" spans="1:23" s="7" customFormat="1" x14ac:dyDescent="0.25">
      <c r="A12" s="6" t="str">
        <f>'1.DL Projekta budžets'!A11</f>
        <v>6.</v>
      </c>
      <c r="B12" s="6" t="str">
        <f>'1.DL Projekta budžets'!B11</f>
        <v>29.2.</v>
      </c>
      <c r="C12" s="6" t="str">
        <f>'1.DL Projekta budžets'!C11</f>
        <v>Projekta iesnieguma sagatavošanas izmaksas</v>
      </c>
      <c r="D12" s="422">
        <f>'1.DL Projekta budžets'!D11</f>
        <v>0</v>
      </c>
      <c r="E12" s="640">
        <f>'1.DL Projekta budžets'!E11</f>
        <v>1000</v>
      </c>
      <c r="F12" s="422">
        <f>'1.DL Projekta budžets'!F11</f>
        <v>4.807692307692308E-3</v>
      </c>
      <c r="G12" s="640">
        <f>'1.DL Projekta budžets'!G11</f>
        <v>0</v>
      </c>
      <c r="H12" s="640">
        <f>'1.DL Projekta budžets'!H11</f>
        <v>1000</v>
      </c>
      <c r="I12" s="640">
        <f>'1.DL Projekta budžets'!I11</f>
        <v>0</v>
      </c>
      <c r="J12" s="640">
        <f>'1.DL Projekta budžets'!J11</f>
        <v>0</v>
      </c>
      <c r="K12" s="640">
        <f>'1.DL Projekta budžets'!K11</f>
        <v>0</v>
      </c>
      <c r="L12" s="640">
        <f>'1.DL Projekta budžets'!L11</f>
        <v>0</v>
      </c>
      <c r="M12" s="640">
        <f>'1.DL Projekta budžets'!M11</f>
        <v>1000</v>
      </c>
      <c r="N12" s="640">
        <f>'1.DL Projekta budžets'!N11</f>
        <v>0</v>
      </c>
      <c r="O12" s="640">
        <f>'1.DL Projekta budžets'!O11</f>
        <v>0</v>
      </c>
      <c r="P12" s="640">
        <f>'1.DL Projekta budžets'!P11</f>
        <v>0</v>
      </c>
      <c r="Q12" s="640">
        <f>'1.DL Projekta budžets'!Q11</f>
        <v>0</v>
      </c>
      <c r="R12" s="640">
        <f>'1.DL Projekta budžets'!R11</f>
        <v>0</v>
      </c>
      <c r="S12" s="640">
        <f>'1.DL Projekta budžets'!S11</f>
        <v>0</v>
      </c>
      <c r="T12" s="640">
        <f>'1.DL Projekta budžets'!T11</f>
        <v>0</v>
      </c>
      <c r="U12" s="640">
        <f>'1.DL Projekta budžets'!U11</f>
        <v>0</v>
      </c>
      <c r="V12" s="640">
        <f>'1.DL Projekta budžets'!V11</f>
        <v>0</v>
      </c>
      <c r="W12" s="640">
        <f>'1.DL Projekta budžets'!W11</f>
        <v>0</v>
      </c>
    </row>
    <row r="13" spans="1:23" s="7" customFormat="1" x14ac:dyDescent="0.25">
      <c r="A13" s="6" t="str">
        <f>'1.DL Projekta budžets'!A12</f>
        <v>7.</v>
      </c>
      <c r="B13" s="6" t="str">
        <f>'1.DL Projekta budžets'!B12</f>
        <v>29.3.</v>
      </c>
      <c r="C13" s="6" t="str">
        <f>'1.DL Projekta budžets'!C12</f>
        <v>Izmaksas, kas radušās uz darba līguma pamata</v>
      </c>
      <c r="D13" s="422">
        <f>'1.DL Projekta budžets'!D12</f>
        <v>0</v>
      </c>
      <c r="E13" s="640">
        <f>'1.DL Projekta budžets'!E12</f>
        <v>0</v>
      </c>
      <c r="F13" s="422">
        <f>'1.DL Projekta budžets'!F12</f>
        <v>0</v>
      </c>
      <c r="G13" s="640">
        <f>'1.DL Projekta budžets'!G12</f>
        <v>0</v>
      </c>
      <c r="H13" s="640">
        <f>'1.DL Projekta budžets'!H12</f>
        <v>0</v>
      </c>
      <c r="I13" s="640">
        <f>'1.DL Projekta budžets'!I12</f>
        <v>0</v>
      </c>
      <c r="J13" s="640">
        <f>'1.DL Projekta budžets'!J12</f>
        <v>0</v>
      </c>
      <c r="K13" s="640">
        <f>'1.DL Projekta budžets'!K12</f>
        <v>0</v>
      </c>
      <c r="L13" s="640">
        <f>'1.DL Projekta budžets'!L12</f>
        <v>0</v>
      </c>
      <c r="M13" s="640">
        <f>'1.DL Projekta budžets'!M12</f>
        <v>0</v>
      </c>
      <c r="N13" s="640">
        <f>'1.DL Projekta budžets'!N12</f>
        <v>0</v>
      </c>
      <c r="O13" s="640">
        <f>'1.DL Projekta budžets'!O12</f>
        <v>0</v>
      </c>
      <c r="P13" s="640">
        <f>'1.DL Projekta budžets'!P12</f>
        <v>0</v>
      </c>
      <c r="Q13" s="640">
        <f>'1.DL Projekta budžets'!Q12</f>
        <v>0</v>
      </c>
      <c r="R13" s="640">
        <f>'1.DL Projekta budžets'!R12</f>
        <v>0</v>
      </c>
      <c r="S13" s="640">
        <f>'1.DL Projekta budžets'!S12</f>
        <v>0</v>
      </c>
      <c r="T13" s="640">
        <f>'1.DL Projekta budžets'!T12</f>
        <v>0</v>
      </c>
      <c r="U13" s="640">
        <f>'1.DL Projekta budžets'!U12</f>
        <v>0</v>
      </c>
      <c r="V13" s="640">
        <f>'1.DL Projekta budžets'!V12</f>
        <v>0</v>
      </c>
      <c r="W13" s="640">
        <f>'1.DL Projekta budžets'!W12</f>
        <v>0</v>
      </c>
    </row>
    <row r="14" spans="1:23" s="7" customFormat="1" x14ac:dyDescent="0.25">
      <c r="A14" s="6" t="str">
        <f>'1.DL Projekta budžets'!A13</f>
        <v>8.</v>
      </c>
      <c r="B14" s="6" t="str">
        <f>'1.DL Projekta budžets'!B13</f>
        <v>29.6.</v>
      </c>
      <c r="C14" s="6" t="str">
        <f>'1.DL Projekta budžets'!C13</f>
        <v>Iekārtu iegādes, kas atkritumu pārstrādes procesā radīto gāzi pārveido siltumenerģijā un elektroenerģijā, izmaksas</v>
      </c>
      <c r="D14" s="422">
        <f>'1.DL Projekta budžets'!D13</f>
        <v>0</v>
      </c>
      <c r="E14" s="640">
        <f>'1.DL Projekta budžets'!E13</f>
        <v>0</v>
      </c>
      <c r="F14" s="422">
        <f>'1.DL Projekta budžets'!F13</f>
        <v>0</v>
      </c>
      <c r="G14" s="640">
        <f>'1.DL Projekta budžets'!G13</f>
        <v>0</v>
      </c>
      <c r="H14" s="640">
        <f>'1.DL Projekta budžets'!H13</f>
        <v>0</v>
      </c>
      <c r="I14" s="640">
        <f>'1.DL Projekta budžets'!I13</f>
        <v>0</v>
      </c>
      <c r="J14" s="640">
        <f>'1.DL Projekta budžets'!J13</f>
        <v>0</v>
      </c>
      <c r="K14" s="640">
        <f>'1.DL Projekta budžets'!K13</f>
        <v>0</v>
      </c>
      <c r="L14" s="640">
        <f>'1.DL Projekta budžets'!L13</f>
        <v>0</v>
      </c>
      <c r="M14" s="640">
        <f>'1.DL Projekta budžets'!M13</f>
        <v>0</v>
      </c>
      <c r="N14" s="640">
        <f>'1.DL Projekta budžets'!N13</f>
        <v>0</v>
      </c>
      <c r="O14" s="640">
        <f>'1.DL Projekta budžets'!O13</f>
        <v>0</v>
      </c>
      <c r="P14" s="640">
        <f>'1.DL Projekta budžets'!P13</f>
        <v>0</v>
      </c>
      <c r="Q14" s="640">
        <f>'1.DL Projekta budžets'!Q13</f>
        <v>0</v>
      </c>
      <c r="R14" s="640">
        <f>'1.DL Projekta budžets'!R13</f>
        <v>0</v>
      </c>
      <c r="S14" s="640">
        <f>'1.DL Projekta budžets'!S13</f>
        <v>0</v>
      </c>
      <c r="T14" s="640">
        <f>'1.DL Projekta budžets'!T13</f>
        <v>0</v>
      </c>
      <c r="U14" s="640">
        <f>'1.DL Projekta budžets'!U13</f>
        <v>0</v>
      </c>
      <c r="V14" s="640">
        <f>'1.DL Projekta budžets'!V13</f>
        <v>0</v>
      </c>
      <c r="W14" s="640">
        <f>'1.DL Projekta budžets'!W13</f>
        <v>0</v>
      </c>
    </row>
    <row r="15" spans="1:23" s="7" customFormat="1" x14ac:dyDescent="0.25">
      <c r="A15" s="6" t="str">
        <f>'1.DL Projekta budžets'!A14</f>
        <v>9.</v>
      </c>
      <c r="B15" s="6" t="str">
        <f>'1.DL Projekta budžets'!B14</f>
        <v>30.</v>
      </c>
      <c r="C15" s="6" t="str">
        <f>'1.DL Projekta budžets'!C14</f>
        <v>Neparedzētie izdevumi</v>
      </c>
      <c r="D15" s="422">
        <f>'1.DL Projekta budžets'!D14</f>
        <v>0.85</v>
      </c>
      <c r="E15" s="640">
        <f>'1.DL Projekta budžets'!E14</f>
        <v>5000</v>
      </c>
      <c r="F15" s="422">
        <f>'1.DL Projekta budžets'!F14</f>
        <v>2.403846153846154E-2</v>
      </c>
      <c r="G15" s="640">
        <f>'1.DL Projekta budžets'!G14</f>
        <v>5000</v>
      </c>
      <c r="H15" s="640">
        <f>'1.DL Projekta budžets'!H14</f>
        <v>0</v>
      </c>
      <c r="I15" s="640">
        <f>'1.DL Projekta budžets'!I14</f>
        <v>3442.5</v>
      </c>
      <c r="J15" s="640">
        <f>'1.DL Projekta budžets'!J14</f>
        <v>0</v>
      </c>
      <c r="K15" s="640">
        <f>'1.DL Projekta budžets'!K14</f>
        <v>0</v>
      </c>
      <c r="L15" s="640">
        <f>'1.DL Projekta budžets'!L14</f>
        <v>2500</v>
      </c>
      <c r="M15" s="640">
        <f>'1.DL Projekta budžets'!M14</f>
        <v>0</v>
      </c>
      <c r="N15" s="640">
        <f>'1.DL Projekta budžets'!N14</f>
        <v>2500</v>
      </c>
      <c r="O15" s="640">
        <f>'1.DL Projekta budžets'!O14</f>
        <v>0</v>
      </c>
      <c r="P15" s="640">
        <f>'1.DL Projekta budžets'!P14</f>
        <v>0</v>
      </c>
      <c r="Q15" s="640">
        <f>'1.DL Projekta budžets'!Q14</f>
        <v>0</v>
      </c>
      <c r="R15" s="640">
        <f>'1.DL Projekta budžets'!R14</f>
        <v>0</v>
      </c>
      <c r="S15" s="640">
        <f>'1.DL Projekta budžets'!S14</f>
        <v>0</v>
      </c>
      <c r="T15" s="640">
        <f>'1.DL Projekta budžets'!T14</f>
        <v>0</v>
      </c>
      <c r="U15" s="640">
        <f>'1.DL Projekta budžets'!U14</f>
        <v>0</v>
      </c>
      <c r="V15" s="640">
        <f>'1.DL Projekta budžets'!V14</f>
        <v>0</v>
      </c>
      <c r="W15" s="640">
        <f>'1.DL Projekta budžets'!W14</f>
        <v>0</v>
      </c>
    </row>
    <row r="16" spans="1:23" s="7" customFormat="1" x14ac:dyDescent="0.25">
      <c r="A16" s="6" t="str">
        <f>'1.DL Projekta budžets'!A15</f>
        <v>10.</v>
      </c>
      <c r="B16" s="6" t="str">
        <f>'1.DL Projekta budžets'!B15</f>
        <v>27.6.</v>
      </c>
      <c r="C16" s="6" t="str">
        <f>'1.DL Projekta budžets'!C15</f>
        <v>Publicitātes izdevumi</v>
      </c>
      <c r="D16" s="422">
        <f>'1.DL Projekta budžets'!D15</f>
        <v>0.85</v>
      </c>
      <c r="E16" s="640">
        <f>'1.DL Projekta budžets'!E15</f>
        <v>52000</v>
      </c>
      <c r="F16" s="422">
        <f>'1.DL Projekta budžets'!F15</f>
        <v>0.25</v>
      </c>
      <c r="G16" s="640">
        <f>'1.DL Projekta budžets'!G15</f>
        <v>51000</v>
      </c>
      <c r="H16" s="640">
        <f>'1.DL Projekta budžets'!H15</f>
        <v>1000</v>
      </c>
      <c r="I16" s="640">
        <f>'1.DL Projekta budžets'!I15</f>
        <v>35113.5</v>
      </c>
      <c r="J16" s="640">
        <f>'1.DL Projekta budžets'!J15</f>
        <v>0</v>
      </c>
      <c r="K16" s="640">
        <f>'1.DL Projekta budžets'!K15</f>
        <v>0</v>
      </c>
      <c r="L16" s="640">
        <f>'1.DL Projekta budžets'!L15</f>
        <v>50000</v>
      </c>
      <c r="M16" s="640">
        <f>'1.DL Projekta budžets'!M15</f>
        <v>1000</v>
      </c>
      <c r="N16" s="640">
        <f>'1.DL Projekta budžets'!N15</f>
        <v>1000</v>
      </c>
      <c r="O16" s="640">
        <f>'1.DL Projekta budžets'!O15</f>
        <v>0</v>
      </c>
      <c r="P16" s="640">
        <f>'1.DL Projekta budžets'!P15</f>
        <v>0</v>
      </c>
      <c r="Q16" s="640">
        <f>'1.DL Projekta budžets'!Q15</f>
        <v>0</v>
      </c>
      <c r="R16" s="640">
        <f>'1.DL Projekta budžets'!R15</f>
        <v>0</v>
      </c>
      <c r="S16" s="640">
        <f>'1.DL Projekta budžets'!S15</f>
        <v>0</v>
      </c>
      <c r="T16" s="640">
        <f>'1.DL Projekta budžets'!T15</f>
        <v>0</v>
      </c>
      <c r="U16" s="640">
        <f>'1.DL Projekta budžets'!U15</f>
        <v>0</v>
      </c>
      <c r="V16" s="640">
        <f>'1.DL Projekta budžets'!V15</f>
        <v>0</v>
      </c>
      <c r="W16" s="640">
        <f>'1.DL Projekta budžets'!W15</f>
        <v>0</v>
      </c>
    </row>
    <row r="17" spans="1:23" s="4" customFormat="1" x14ac:dyDescent="0.25">
      <c r="A17" s="6" t="str">
        <f>'1.DL Projekta budžets'!A16</f>
        <v>11.</v>
      </c>
      <c r="B17" s="6" t="str">
        <f>'1.DL Projekta budžets'!B16</f>
        <v>26.</v>
      </c>
      <c r="C17" s="6" t="str">
        <f>'1.DL Projekta budžets'!C16</f>
        <v>PVN</v>
      </c>
      <c r="D17" s="422">
        <f>'1.DL Projekta budžets'!D16</f>
        <v>0</v>
      </c>
      <c r="E17" s="640">
        <f>'1.DL Projekta budžets'!E16</f>
        <v>0</v>
      </c>
      <c r="F17" s="422">
        <f>'1.DL Projekta budžets'!F16</f>
        <v>0</v>
      </c>
      <c r="G17" s="640">
        <f>'1.DL Projekta budžets'!G16</f>
        <v>0</v>
      </c>
      <c r="H17" s="640">
        <f>'1.DL Projekta budžets'!H16</f>
        <v>0</v>
      </c>
      <c r="I17" s="640">
        <f>'1.DL Projekta budžets'!I16</f>
        <v>0</v>
      </c>
      <c r="J17" s="640">
        <f>'1.DL Projekta budžets'!J16</f>
        <v>0</v>
      </c>
      <c r="K17" s="640">
        <f>'1.DL Projekta budžets'!K16</f>
        <v>0</v>
      </c>
      <c r="L17" s="640">
        <f>'1.DL Projekta budžets'!L16</f>
        <v>0</v>
      </c>
      <c r="M17" s="640">
        <f>'1.DL Projekta budžets'!M16</f>
        <v>0</v>
      </c>
      <c r="N17" s="640">
        <f>'1.DL Projekta budžets'!N16</f>
        <v>0</v>
      </c>
      <c r="O17" s="640">
        <f>'1.DL Projekta budžets'!O16</f>
        <v>0</v>
      </c>
      <c r="P17" s="640">
        <f>'1.DL Projekta budžets'!P16</f>
        <v>0</v>
      </c>
      <c r="Q17" s="640">
        <f>'1.DL Projekta budžets'!Q16</f>
        <v>0</v>
      </c>
      <c r="R17" s="640">
        <f>'1.DL Projekta budžets'!R16</f>
        <v>0</v>
      </c>
      <c r="S17" s="640">
        <f>'1.DL Projekta budžets'!S16</f>
        <v>0</v>
      </c>
      <c r="T17" s="640">
        <f>'1.DL Projekta budžets'!T16</f>
        <v>0</v>
      </c>
      <c r="U17" s="640">
        <f>'1.DL Projekta budžets'!U16</f>
        <v>0</v>
      </c>
      <c r="V17" s="640">
        <f>'1.DL Projekta budžets'!V16</f>
        <v>0</v>
      </c>
      <c r="W17" s="640">
        <f>'1.DL Projekta budžets'!W16</f>
        <v>0</v>
      </c>
    </row>
    <row r="18" spans="1:23" s="4" customFormat="1" x14ac:dyDescent="0.25">
      <c r="A18" s="3"/>
      <c r="B18" s="179"/>
      <c r="C18" s="5" t="str">
        <f>'1.DL Projekta budžets'!C17</f>
        <v>Kopā</v>
      </c>
      <c r="D18" s="642">
        <f>'1.DL Projekta budžets'!D17</f>
        <v>0.85</v>
      </c>
      <c r="E18" s="641">
        <f>'1.DL Projekta budžets'!E17</f>
        <v>208000</v>
      </c>
      <c r="F18" s="642">
        <f>'1.DL Projekta budžets'!F17</f>
        <v>1</v>
      </c>
      <c r="G18" s="641">
        <f>'1.DL Projekta budžets'!G17</f>
        <v>131000</v>
      </c>
      <c r="H18" s="641">
        <f>'1.DL Projekta budžets'!H17</f>
        <v>77000</v>
      </c>
      <c r="I18" s="641">
        <f>'1.DL Projekta budžets'!I17</f>
        <v>90193.5</v>
      </c>
      <c r="J18" s="641">
        <f>'1.DL Projekta budžets'!J17</f>
        <v>0</v>
      </c>
      <c r="K18" s="641">
        <f>'1.DL Projekta budžets'!K17</f>
        <v>5000</v>
      </c>
      <c r="L18" s="641">
        <f>'1.DL Projekta budžets'!L17</f>
        <v>77500</v>
      </c>
      <c r="M18" s="641">
        <f>'1.DL Projekta budžets'!M17</f>
        <v>17000</v>
      </c>
      <c r="N18" s="641">
        <f>'1.DL Projekta budžets'!N17</f>
        <v>28500</v>
      </c>
      <c r="O18" s="641">
        <f>'1.DL Projekta budžets'!O17</f>
        <v>55000</v>
      </c>
      <c r="P18" s="641">
        <f>'1.DL Projekta budžets'!P17</f>
        <v>25000</v>
      </c>
      <c r="Q18" s="641">
        <f>'1.DL Projekta budžets'!Q17</f>
        <v>0</v>
      </c>
      <c r="R18" s="641">
        <f>'1.DL Projekta budžets'!R17</f>
        <v>0</v>
      </c>
      <c r="S18" s="641">
        <f>'1.DL Projekta budžets'!S17</f>
        <v>0</v>
      </c>
      <c r="T18" s="641">
        <f>'1.DL Projekta budžets'!T17</f>
        <v>0</v>
      </c>
      <c r="U18" s="641">
        <f>'1.DL Projekta budžets'!U17</f>
        <v>0</v>
      </c>
      <c r="V18" s="641">
        <f>'1.DL Projekta budžets'!V17</f>
        <v>0</v>
      </c>
      <c r="W18" s="641">
        <f>'1.DL Projekta budžets'!W17</f>
        <v>0</v>
      </c>
    </row>
    <row r="38" spans="3:3" x14ac:dyDescent="0.25">
      <c r="C38" s="423"/>
    </row>
  </sheetData>
  <sheetProtection algorithmName="SHA-512" hashValue="h+PK2uQhnhe0X7byu9NKMNbYgzeCRCoMNcaWYUZ/n/bQTUxLt/0vZPONXIb8bbqlAh50dWVkcFrB4E9O2hVfxg==" saltValue="sFAPpsjHIz5wVuquCTek4A==" spinCount="100000" sheet="1" formatCells="0" formatColumns="0" formatRows="0"/>
  <mergeCells count="15">
    <mergeCell ref="A1:D1"/>
    <mergeCell ref="A2:D2"/>
    <mergeCell ref="L5:M5"/>
    <mergeCell ref="N5:O5"/>
    <mergeCell ref="P5:Q5"/>
    <mergeCell ref="R5:S5"/>
    <mergeCell ref="T5:U5"/>
    <mergeCell ref="V5:W5"/>
    <mergeCell ref="A5:A6"/>
    <mergeCell ref="B5:B6"/>
    <mergeCell ref="C5:C6"/>
    <mergeCell ref="D5:D6"/>
    <mergeCell ref="E5:F5"/>
    <mergeCell ref="G5:H5"/>
    <mergeCell ref="J5:K5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T24"/>
  <sheetViews>
    <sheetView topLeftCell="A7" workbookViewId="0">
      <selection activeCell="F16" sqref="F16"/>
    </sheetView>
  </sheetViews>
  <sheetFormatPr defaultRowHeight="15" x14ac:dyDescent="0.25"/>
  <cols>
    <col min="1" max="1" width="14.28515625" customWidth="1"/>
    <col min="2" max="2" width="11.28515625" bestFit="1" customWidth="1"/>
    <col min="3" max="3" width="12.28515625" bestFit="1" customWidth="1"/>
    <col min="4" max="4" width="11.28515625" bestFit="1" customWidth="1"/>
    <col min="5" max="26" width="9.85546875" bestFit="1" customWidth="1"/>
    <col min="27" max="27" width="11.140625" customWidth="1"/>
  </cols>
  <sheetData>
    <row r="1" spans="1:46" s="424" customFormat="1" ht="27" customHeight="1" x14ac:dyDescent="0.25">
      <c r="A1" s="1015" t="s">
        <v>401</v>
      </c>
      <c r="B1" s="1015"/>
      <c r="C1" s="1015"/>
      <c r="D1" s="1015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</row>
    <row r="2" spans="1:46" s="196" customFormat="1" ht="24.95" customHeight="1" x14ac:dyDescent="0.35">
      <c r="A2" s="1016" t="s">
        <v>134</v>
      </c>
      <c r="B2" s="1016"/>
      <c r="C2" s="1016"/>
      <c r="D2" s="1016"/>
    </row>
    <row r="3" spans="1:46" s="196" customFormat="1" ht="15.75" customHeight="1" x14ac:dyDescent="0.2">
      <c r="A3" s="664"/>
      <c r="B3" s="665">
        <v>0</v>
      </c>
      <c r="C3" s="665">
        <f>B3+1</f>
        <v>1</v>
      </c>
      <c r="D3" s="665">
        <f t="shared" ref="D3:Z3" si="0">C3+1</f>
        <v>2</v>
      </c>
      <c r="E3" s="665">
        <f t="shared" si="0"/>
        <v>3</v>
      </c>
      <c r="F3" s="665">
        <f t="shared" si="0"/>
        <v>4</v>
      </c>
      <c r="G3" s="665">
        <f t="shared" si="0"/>
        <v>5</v>
      </c>
      <c r="H3" s="665">
        <f t="shared" si="0"/>
        <v>6</v>
      </c>
      <c r="I3" s="665">
        <f t="shared" si="0"/>
        <v>7</v>
      </c>
      <c r="J3" s="665">
        <f t="shared" si="0"/>
        <v>8</v>
      </c>
      <c r="K3" s="665">
        <f t="shared" si="0"/>
        <v>9</v>
      </c>
      <c r="L3" s="665">
        <f t="shared" si="0"/>
        <v>10</v>
      </c>
      <c r="M3" s="665">
        <f t="shared" si="0"/>
        <v>11</v>
      </c>
      <c r="N3" s="665">
        <f t="shared" si="0"/>
        <v>12</v>
      </c>
      <c r="O3" s="665">
        <f t="shared" si="0"/>
        <v>13</v>
      </c>
      <c r="P3" s="665">
        <f t="shared" si="0"/>
        <v>14</v>
      </c>
      <c r="Q3" s="665">
        <f t="shared" si="0"/>
        <v>15</v>
      </c>
      <c r="R3" s="665">
        <f t="shared" si="0"/>
        <v>16</v>
      </c>
      <c r="S3" s="665">
        <f t="shared" si="0"/>
        <v>17</v>
      </c>
      <c r="T3" s="665">
        <f t="shared" si="0"/>
        <v>18</v>
      </c>
      <c r="U3" s="665">
        <f t="shared" si="0"/>
        <v>19</v>
      </c>
      <c r="V3" s="665">
        <f t="shared" si="0"/>
        <v>20</v>
      </c>
      <c r="W3" s="665">
        <f t="shared" si="0"/>
        <v>21</v>
      </c>
      <c r="X3" s="665">
        <f t="shared" si="0"/>
        <v>22</v>
      </c>
      <c r="Y3" s="665">
        <f t="shared" si="0"/>
        <v>23</v>
      </c>
      <c r="Z3" s="665">
        <f t="shared" si="0"/>
        <v>24</v>
      </c>
      <c r="AA3" s="666"/>
    </row>
    <row r="4" spans="1:46" s="196" customFormat="1" ht="12.75" x14ac:dyDescent="0.2">
      <c r="A4" s="667"/>
      <c r="B4" s="668">
        <f>Titullapa!D10</f>
        <v>2021</v>
      </c>
      <c r="C4" s="668">
        <f>1+B4</f>
        <v>2022</v>
      </c>
      <c r="D4" s="668">
        <f t="shared" ref="D4:Z4" si="1">1+C4</f>
        <v>2023</v>
      </c>
      <c r="E4" s="668">
        <f t="shared" si="1"/>
        <v>2024</v>
      </c>
      <c r="F4" s="668">
        <f t="shared" si="1"/>
        <v>2025</v>
      </c>
      <c r="G4" s="668">
        <f t="shared" si="1"/>
        <v>2026</v>
      </c>
      <c r="H4" s="668">
        <f t="shared" si="1"/>
        <v>2027</v>
      </c>
      <c r="I4" s="668">
        <f t="shared" si="1"/>
        <v>2028</v>
      </c>
      <c r="J4" s="668">
        <f t="shared" si="1"/>
        <v>2029</v>
      </c>
      <c r="K4" s="668">
        <f t="shared" si="1"/>
        <v>2030</v>
      </c>
      <c r="L4" s="668">
        <f t="shared" si="1"/>
        <v>2031</v>
      </c>
      <c r="M4" s="668">
        <f t="shared" si="1"/>
        <v>2032</v>
      </c>
      <c r="N4" s="668">
        <f t="shared" si="1"/>
        <v>2033</v>
      </c>
      <c r="O4" s="668">
        <f t="shared" si="1"/>
        <v>2034</v>
      </c>
      <c r="P4" s="668">
        <f t="shared" si="1"/>
        <v>2035</v>
      </c>
      <c r="Q4" s="668">
        <f t="shared" si="1"/>
        <v>2036</v>
      </c>
      <c r="R4" s="668">
        <f t="shared" si="1"/>
        <v>2037</v>
      </c>
      <c r="S4" s="668">
        <f t="shared" si="1"/>
        <v>2038</v>
      </c>
      <c r="T4" s="668">
        <f t="shared" si="1"/>
        <v>2039</v>
      </c>
      <c r="U4" s="668">
        <f t="shared" si="1"/>
        <v>2040</v>
      </c>
      <c r="V4" s="668">
        <f t="shared" si="1"/>
        <v>2041</v>
      </c>
      <c r="W4" s="668">
        <f t="shared" si="1"/>
        <v>2042</v>
      </c>
      <c r="X4" s="668">
        <f t="shared" si="1"/>
        <v>2043</v>
      </c>
      <c r="Y4" s="668">
        <f t="shared" si="1"/>
        <v>2044</v>
      </c>
      <c r="Z4" s="668">
        <f t="shared" si="1"/>
        <v>2045</v>
      </c>
      <c r="AA4" s="669" t="s">
        <v>132</v>
      </c>
    </row>
    <row r="5" spans="1:46" s="196" customFormat="1" ht="12.75" x14ac:dyDescent="0.2">
      <c r="A5" s="670" t="s">
        <v>135</v>
      </c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1"/>
      <c r="Y5" s="671"/>
      <c r="Z5" s="671"/>
      <c r="AA5" s="672"/>
    </row>
    <row r="6" spans="1:46" s="196" customFormat="1" ht="25.5" x14ac:dyDescent="0.2">
      <c r="A6" s="673" t="s">
        <v>85</v>
      </c>
      <c r="B6" s="674">
        <f>'3.DL Naudas plūsma ar projektu'!E55</f>
        <v>99500</v>
      </c>
      <c r="C6" s="674">
        <f>'3.DL Naudas plūsma ar projektu'!F55</f>
        <v>83500</v>
      </c>
      <c r="D6" s="674">
        <f>'3.DL Naudas plūsma ar projektu'!G55</f>
        <v>25000</v>
      </c>
      <c r="E6" s="674">
        <f>'3.DL Naudas plūsma ar projektu'!H55</f>
        <v>0</v>
      </c>
      <c r="F6" s="674">
        <f>'3.DL Naudas plūsma ar projektu'!I55</f>
        <v>0</v>
      </c>
      <c r="G6" s="674">
        <f>'3.DL Naudas plūsma ar projektu'!J55</f>
        <v>0</v>
      </c>
      <c r="H6" s="674">
        <f>'3.DL Naudas plūsma ar projektu'!K55</f>
        <v>0</v>
      </c>
      <c r="I6" s="674">
        <f>'3.DL Naudas plūsma ar projektu'!L55</f>
        <v>0</v>
      </c>
      <c r="J6" s="674">
        <f>'3.DL Naudas plūsma ar projektu'!M55</f>
        <v>0</v>
      </c>
      <c r="K6" s="674">
        <f>'3.DL Naudas plūsma ar projektu'!N55</f>
        <v>0</v>
      </c>
      <c r="L6" s="674">
        <f>'3.DL Naudas plūsma ar projektu'!O55</f>
        <v>0</v>
      </c>
      <c r="M6" s="674">
        <f>'3.DL Naudas plūsma ar projektu'!P55</f>
        <v>0</v>
      </c>
      <c r="N6" s="674">
        <f>'3.DL Naudas plūsma ar projektu'!Q55</f>
        <v>0</v>
      </c>
      <c r="O6" s="674">
        <f>'3.DL Naudas plūsma ar projektu'!R55</f>
        <v>0</v>
      </c>
      <c r="P6" s="674">
        <f>'3.DL Naudas plūsma ar projektu'!S55</f>
        <v>0</v>
      </c>
      <c r="Q6" s="674">
        <f>'3.DL Naudas plūsma ar projektu'!T55</f>
        <v>0</v>
      </c>
      <c r="R6" s="674">
        <f>'3.DL Naudas plūsma ar projektu'!U55</f>
        <v>0</v>
      </c>
      <c r="S6" s="674">
        <f>'3.DL Naudas plūsma ar projektu'!V55</f>
        <v>0</v>
      </c>
      <c r="T6" s="674">
        <f>'3.DL Naudas plūsma ar projektu'!W55</f>
        <v>0</v>
      </c>
      <c r="U6" s="674">
        <f>'3.DL Naudas plūsma ar projektu'!X55</f>
        <v>0</v>
      </c>
      <c r="V6" s="674">
        <f>'3.DL Naudas plūsma ar projektu'!Y55</f>
        <v>0</v>
      </c>
      <c r="W6" s="674">
        <f>'3.DL Naudas plūsma ar projektu'!Z55</f>
        <v>0</v>
      </c>
      <c r="X6" s="674">
        <f>'3.DL Naudas plūsma ar projektu'!AA55</f>
        <v>0</v>
      </c>
      <c r="Y6" s="674">
        <f>'3.DL Naudas plūsma ar projektu'!AB55</f>
        <v>0</v>
      </c>
      <c r="Z6" s="674">
        <f>'3.DL Naudas plūsma ar projektu'!AC55</f>
        <v>0</v>
      </c>
      <c r="AA6" s="675">
        <f>SUM(B6:Z6)</f>
        <v>208000</v>
      </c>
    </row>
    <row r="7" spans="1:46" s="196" customFormat="1" ht="30" customHeight="1" x14ac:dyDescent="0.2">
      <c r="A7" s="673" t="s">
        <v>136</v>
      </c>
      <c r="B7" s="676">
        <f>'3.DL Naudas plūsma ar projektu'!E26</f>
        <v>6612.07</v>
      </c>
      <c r="C7" s="676">
        <f>'3.DL Naudas plūsma ar projektu'!F26</f>
        <v>6612.07</v>
      </c>
      <c r="D7" s="676">
        <f>'3.DL Naudas plūsma ar projektu'!G26</f>
        <v>6612.07</v>
      </c>
      <c r="E7" s="676">
        <f>'3.DL Naudas plūsma ar projektu'!H26</f>
        <v>6612.07</v>
      </c>
      <c r="F7" s="676">
        <f>'3.DL Naudas plūsma ar projektu'!I26</f>
        <v>6612.07</v>
      </c>
      <c r="G7" s="676">
        <f>'3.DL Naudas plūsma ar projektu'!J26</f>
        <v>6612.07</v>
      </c>
      <c r="H7" s="676">
        <f>'3.DL Naudas plūsma ar projektu'!K26</f>
        <v>6612.07</v>
      </c>
      <c r="I7" s="676">
        <f>'3.DL Naudas plūsma ar projektu'!L26</f>
        <v>6612.07</v>
      </c>
      <c r="J7" s="676">
        <f>'3.DL Naudas plūsma ar projektu'!M26</f>
        <v>6612.07</v>
      </c>
      <c r="K7" s="676">
        <f>'3.DL Naudas plūsma ar projektu'!N26</f>
        <v>6612.07</v>
      </c>
      <c r="L7" s="676">
        <f>'3.DL Naudas plūsma ar projektu'!O26</f>
        <v>6612.07</v>
      </c>
      <c r="M7" s="676">
        <f>'3.DL Naudas plūsma ar projektu'!P26</f>
        <v>6612.07</v>
      </c>
      <c r="N7" s="676">
        <f>'3.DL Naudas plūsma ar projektu'!Q26</f>
        <v>6612.07</v>
      </c>
      <c r="O7" s="676">
        <f>'3.DL Naudas plūsma ar projektu'!R26</f>
        <v>6612.07</v>
      </c>
      <c r="P7" s="676">
        <f>'3.DL Naudas plūsma ar projektu'!S26</f>
        <v>6612.07</v>
      </c>
      <c r="Q7" s="676">
        <f>'3.DL Naudas plūsma ar projektu'!T26</f>
        <v>6612.07</v>
      </c>
      <c r="R7" s="676">
        <f>'3.DL Naudas plūsma ar projektu'!U26</f>
        <v>6612.07</v>
      </c>
      <c r="S7" s="676">
        <f>'3.DL Naudas plūsma ar projektu'!V26</f>
        <v>6612.07</v>
      </c>
      <c r="T7" s="676">
        <f>'3.DL Naudas plūsma ar projektu'!W26</f>
        <v>6612.07</v>
      </c>
      <c r="U7" s="676">
        <f>'3.DL Naudas plūsma ar projektu'!X26</f>
        <v>6612.07</v>
      </c>
      <c r="V7" s="676">
        <f>'3.DL Naudas plūsma ar projektu'!Y26</f>
        <v>6612.07</v>
      </c>
      <c r="W7" s="676">
        <f>'3.DL Naudas plūsma ar projektu'!Z26</f>
        <v>6612.07</v>
      </c>
      <c r="X7" s="676">
        <f>'3.DL Naudas plūsma ar projektu'!AA26</f>
        <v>6612.07</v>
      </c>
      <c r="Y7" s="676">
        <f>'3.DL Naudas plūsma ar projektu'!AB26</f>
        <v>6612.07</v>
      </c>
      <c r="Z7" s="676">
        <f>'3.DL Naudas plūsma ar projektu'!AC26</f>
        <v>6612.07</v>
      </c>
      <c r="AA7" s="675">
        <f t="shared" ref="AA7:AA8" si="2">SUM(B7:Z7)</f>
        <v>165301.75000000009</v>
      </c>
    </row>
    <row r="8" spans="1:46" s="196" customFormat="1" ht="24.75" customHeight="1" x14ac:dyDescent="0.2">
      <c r="A8" s="673" t="s">
        <v>137</v>
      </c>
      <c r="B8" s="677">
        <f>'3.DL Naudas plūsma ar projektu'!E14</f>
        <v>10912</v>
      </c>
      <c r="C8" s="677">
        <f>'3.DL Naudas plūsma ar projektu'!F14</f>
        <v>9612</v>
      </c>
      <c r="D8" s="677">
        <f>'3.DL Naudas plūsma ar projektu'!G14</f>
        <v>11632</v>
      </c>
      <c r="E8" s="677">
        <f>'3.DL Naudas plūsma ar projektu'!H14</f>
        <v>7630</v>
      </c>
      <c r="F8" s="677">
        <f>'3.DL Naudas plūsma ar projektu'!I14</f>
        <v>7628</v>
      </c>
      <c r="G8" s="677">
        <f>'3.DL Naudas plūsma ar projektu'!J14</f>
        <v>7626</v>
      </c>
      <c r="H8" s="677">
        <f>'3.DL Naudas plūsma ar projektu'!K14</f>
        <v>7624</v>
      </c>
      <c r="I8" s="677">
        <f>'3.DL Naudas plūsma ar projektu'!L14</f>
        <v>7622</v>
      </c>
      <c r="J8" s="677">
        <f>'3.DL Naudas plūsma ar projektu'!M14</f>
        <v>7620</v>
      </c>
      <c r="K8" s="677">
        <f>'3.DL Naudas plūsma ar projektu'!N14</f>
        <v>7618</v>
      </c>
      <c r="L8" s="677">
        <f>'3.DL Naudas plūsma ar projektu'!O14</f>
        <v>7616</v>
      </c>
      <c r="M8" s="677">
        <f>'3.DL Naudas plūsma ar projektu'!P14</f>
        <v>7614</v>
      </c>
      <c r="N8" s="677">
        <f>'3.DL Naudas plūsma ar projektu'!Q14</f>
        <v>7612</v>
      </c>
      <c r="O8" s="677">
        <f>'3.DL Naudas plūsma ar projektu'!R14</f>
        <v>7612</v>
      </c>
      <c r="P8" s="677">
        <f>'3.DL Naudas plūsma ar projektu'!S14</f>
        <v>7612</v>
      </c>
      <c r="Q8" s="677">
        <f>'3.DL Naudas plūsma ar projektu'!T14</f>
        <v>7612</v>
      </c>
      <c r="R8" s="677">
        <f>'3.DL Naudas plūsma ar projektu'!U14</f>
        <v>7612</v>
      </c>
      <c r="S8" s="677">
        <f>'3.DL Naudas plūsma ar projektu'!V14</f>
        <v>7612</v>
      </c>
      <c r="T8" s="677">
        <f>'3.DL Naudas plūsma ar projektu'!W14</f>
        <v>7612</v>
      </c>
      <c r="U8" s="677">
        <f>'3.DL Naudas plūsma ar projektu'!X14</f>
        <v>7612</v>
      </c>
      <c r="V8" s="677">
        <f>'3.DL Naudas plūsma ar projektu'!Y14</f>
        <v>7612</v>
      </c>
      <c r="W8" s="677">
        <f>'3.DL Naudas plūsma ar projektu'!Z14</f>
        <v>7612</v>
      </c>
      <c r="X8" s="677">
        <f>'3.DL Naudas plūsma ar projektu'!AA14</f>
        <v>7612</v>
      </c>
      <c r="Y8" s="677">
        <f>'3.DL Naudas plūsma ar projektu'!AB14</f>
        <v>7612</v>
      </c>
      <c r="Z8" s="677">
        <f>'3.DL Naudas plūsma ar projektu'!AC14</f>
        <v>7612</v>
      </c>
      <c r="AA8" s="675">
        <f t="shared" si="2"/>
        <v>199710</v>
      </c>
    </row>
    <row r="9" spans="1:46" s="196" customFormat="1" ht="12.75" x14ac:dyDescent="0.2">
      <c r="A9" s="678" t="s">
        <v>138</v>
      </c>
      <c r="B9" s="679"/>
      <c r="C9" s="679"/>
      <c r="D9" s="679"/>
      <c r="E9" s="679"/>
      <c r="F9" s="679"/>
      <c r="G9" s="679"/>
      <c r="H9" s="679"/>
      <c r="I9" s="679"/>
      <c r="J9" s="679"/>
      <c r="K9" s="679"/>
      <c r="L9" s="679"/>
      <c r="M9" s="679"/>
      <c r="N9" s="679"/>
      <c r="O9" s="679"/>
      <c r="P9" s="679"/>
      <c r="Q9" s="679"/>
      <c r="R9" s="679"/>
      <c r="S9" s="679"/>
      <c r="T9" s="679"/>
      <c r="U9" s="679"/>
      <c r="V9" s="679"/>
      <c r="W9" s="679"/>
      <c r="X9" s="679"/>
      <c r="Y9" s="679"/>
      <c r="Z9" s="679"/>
      <c r="AA9" s="680"/>
    </row>
    <row r="10" spans="1:46" s="196" customFormat="1" ht="25.5" x14ac:dyDescent="0.2">
      <c r="A10" s="673" t="s">
        <v>85</v>
      </c>
      <c r="B10" s="681"/>
      <c r="C10" s="681"/>
      <c r="D10" s="681"/>
      <c r="E10" s="681"/>
      <c r="F10" s="681"/>
      <c r="G10" s="681"/>
      <c r="H10" s="681"/>
      <c r="I10" s="681"/>
      <c r="J10" s="681"/>
      <c r="K10" s="681"/>
      <c r="L10" s="681"/>
      <c r="M10" s="681"/>
      <c r="N10" s="681"/>
      <c r="O10" s="681"/>
      <c r="P10" s="681"/>
      <c r="Q10" s="681"/>
      <c r="R10" s="681"/>
      <c r="S10" s="681"/>
      <c r="T10" s="681"/>
      <c r="U10" s="681"/>
      <c r="V10" s="681"/>
      <c r="W10" s="681"/>
      <c r="X10" s="681"/>
      <c r="Y10" s="681"/>
      <c r="Z10" s="681"/>
      <c r="AA10" s="682"/>
    </row>
    <row r="11" spans="1:46" s="196" customFormat="1" ht="25.5" x14ac:dyDescent="0.2">
      <c r="A11" s="673" t="s">
        <v>136</v>
      </c>
      <c r="B11" s="307">
        <f>'2.DL Naudas plūsma bez projekta'!E26</f>
        <v>6612.07</v>
      </c>
      <c r="C11" s="307">
        <f>'2.DL Naudas plūsma bez projekta'!F26</f>
        <v>6612.07</v>
      </c>
      <c r="D11" s="307">
        <f>'2.DL Naudas plūsma bez projekta'!G26</f>
        <v>6612.07</v>
      </c>
      <c r="E11" s="307">
        <f>'2.DL Naudas plūsma bez projekta'!H26</f>
        <v>6612.07</v>
      </c>
      <c r="F11" s="307">
        <f>'2.DL Naudas plūsma bez projekta'!I26</f>
        <v>6612.07</v>
      </c>
      <c r="G11" s="307">
        <f>'2.DL Naudas plūsma bez projekta'!J26</f>
        <v>6612.07</v>
      </c>
      <c r="H11" s="307">
        <f>'2.DL Naudas plūsma bez projekta'!K26</f>
        <v>6612.07</v>
      </c>
      <c r="I11" s="307">
        <f>'2.DL Naudas plūsma bez projekta'!L26</f>
        <v>6612.07</v>
      </c>
      <c r="J11" s="307">
        <f>'2.DL Naudas plūsma bez projekta'!M26</f>
        <v>6612.07</v>
      </c>
      <c r="K11" s="307">
        <f>'2.DL Naudas plūsma bez projekta'!N26</f>
        <v>6612.07</v>
      </c>
      <c r="L11" s="307">
        <f>'2.DL Naudas plūsma bez projekta'!O26</f>
        <v>6612.07</v>
      </c>
      <c r="M11" s="307">
        <f>'2.DL Naudas plūsma bez projekta'!P26</f>
        <v>6612.07</v>
      </c>
      <c r="N11" s="307">
        <f>'2.DL Naudas plūsma bez projekta'!Q26</f>
        <v>6612.07</v>
      </c>
      <c r="O11" s="307">
        <f>'2.DL Naudas plūsma bez projekta'!R26</f>
        <v>6612.07</v>
      </c>
      <c r="P11" s="307">
        <f>'2.DL Naudas plūsma bez projekta'!S26</f>
        <v>6612.07</v>
      </c>
      <c r="Q11" s="307">
        <f>'2.DL Naudas plūsma bez projekta'!T26</f>
        <v>6612.07</v>
      </c>
      <c r="R11" s="307">
        <f>'2.DL Naudas plūsma bez projekta'!U26</f>
        <v>6612.07</v>
      </c>
      <c r="S11" s="307">
        <f>'2.DL Naudas plūsma bez projekta'!V26</f>
        <v>6612.07</v>
      </c>
      <c r="T11" s="307">
        <f>'2.DL Naudas plūsma bez projekta'!W26</f>
        <v>6612.07</v>
      </c>
      <c r="U11" s="307">
        <f>'2.DL Naudas plūsma bez projekta'!X26</f>
        <v>6612.07</v>
      </c>
      <c r="V11" s="307">
        <f>'2.DL Naudas plūsma bez projekta'!Y26</f>
        <v>6612.07</v>
      </c>
      <c r="W11" s="307">
        <f>'2.DL Naudas plūsma bez projekta'!Z26</f>
        <v>6612.07</v>
      </c>
      <c r="X11" s="307">
        <f>'2.DL Naudas plūsma bez projekta'!AA26</f>
        <v>6612.07</v>
      </c>
      <c r="Y11" s="307">
        <f>'2.DL Naudas plūsma bez projekta'!AB26</f>
        <v>6612.07</v>
      </c>
      <c r="Z11" s="307">
        <f>'2.DL Naudas plūsma bez projekta'!AC26</f>
        <v>6612.07</v>
      </c>
      <c r="AA11" s="675">
        <f t="shared" ref="AA11:AA12" si="3">SUM(B11:Z11)</f>
        <v>165301.75000000009</v>
      </c>
    </row>
    <row r="12" spans="1:46" s="196" customFormat="1" ht="12.75" x14ac:dyDescent="0.2">
      <c r="A12" s="673" t="s">
        <v>137</v>
      </c>
      <c r="B12" s="370">
        <f>'2.DL Naudas plūsma bez projekta'!E14</f>
        <v>8912</v>
      </c>
      <c r="C12" s="370">
        <f>'2.DL Naudas plūsma bez projekta'!F14</f>
        <v>6612</v>
      </c>
      <c r="D12" s="370">
        <f>'2.DL Naudas plūsma bez projekta'!G14</f>
        <v>6612</v>
      </c>
      <c r="E12" s="370">
        <f>'2.DL Naudas plūsma bez projekta'!H14</f>
        <v>6612</v>
      </c>
      <c r="F12" s="370">
        <f>'2.DL Naudas plūsma bez projekta'!I14</f>
        <v>6612</v>
      </c>
      <c r="G12" s="370">
        <f>'2.DL Naudas plūsma bez projekta'!J14</f>
        <v>6612</v>
      </c>
      <c r="H12" s="370">
        <f>'2.DL Naudas plūsma bez projekta'!K14</f>
        <v>6612</v>
      </c>
      <c r="I12" s="370">
        <f>'2.DL Naudas plūsma bez projekta'!L14</f>
        <v>6612</v>
      </c>
      <c r="J12" s="370">
        <f>'2.DL Naudas plūsma bez projekta'!M14</f>
        <v>6612</v>
      </c>
      <c r="K12" s="370">
        <f>'2.DL Naudas plūsma bez projekta'!N14</f>
        <v>6612</v>
      </c>
      <c r="L12" s="370">
        <f>'2.DL Naudas plūsma bez projekta'!O14</f>
        <v>6612</v>
      </c>
      <c r="M12" s="370">
        <f>'2.DL Naudas plūsma bez projekta'!P14</f>
        <v>6612</v>
      </c>
      <c r="N12" s="370">
        <f>'2.DL Naudas plūsma bez projekta'!Q14</f>
        <v>6612</v>
      </c>
      <c r="O12" s="370">
        <f>'2.DL Naudas plūsma bez projekta'!R14</f>
        <v>6612</v>
      </c>
      <c r="P12" s="370">
        <f>'2.DL Naudas plūsma bez projekta'!S14</f>
        <v>6612</v>
      </c>
      <c r="Q12" s="370">
        <f>'2.DL Naudas plūsma bez projekta'!T14</f>
        <v>6612</v>
      </c>
      <c r="R12" s="370">
        <f>'2.DL Naudas plūsma bez projekta'!U14</f>
        <v>6612</v>
      </c>
      <c r="S12" s="370">
        <f>'2.DL Naudas plūsma bez projekta'!V14</f>
        <v>6612</v>
      </c>
      <c r="T12" s="370">
        <f>'2.DL Naudas plūsma bez projekta'!W14</f>
        <v>6612</v>
      </c>
      <c r="U12" s="370">
        <f>'2.DL Naudas plūsma bez projekta'!X14</f>
        <v>6612</v>
      </c>
      <c r="V12" s="370">
        <f>'2.DL Naudas plūsma bez projekta'!Y14</f>
        <v>6612</v>
      </c>
      <c r="W12" s="370">
        <f>'2.DL Naudas plūsma bez projekta'!Z14</f>
        <v>6612</v>
      </c>
      <c r="X12" s="370">
        <f>'2.DL Naudas plūsma bez projekta'!AA14</f>
        <v>6612</v>
      </c>
      <c r="Y12" s="370">
        <f>'2.DL Naudas plūsma bez projekta'!AB14</f>
        <v>6612</v>
      </c>
      <c r="Z12" s="370">
        <f>'2.DL Naudas plūsma bez projekta'!AC14</f>
        <v>6612</v>
      </c>
      <c r="AA12" s="675">
        <f t="shared" si="3"/>
        <v>167600</v>
      </c>
    </row>
    <row r="13" spans="1:46" s="196" customFormat="1" ht="51" x14ac:dyDescent="0.2">
      <c r="A13" s="678" t="s">
        <v>139</v>
      </c>
      <c r="B13" s="683"/>
      <c r="C13" s="683"/>
      <c r="D13" s="683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83"/>
      <c r="R13" s="683"/>
      <c r="S13" s="683"/>
      <c r="T13" s="683"/>
      <c r="U13" s="683"/>
      <c r="V13" s="683"/>
      <c r="W13" s="683"/>
      <c r="X13" s="683"/>
      <c r="Y13" s="683"/>
      <c r="Z13" s="683"/>
      <c r="AA13" s="684"/>
    </row>
    <row r="14" spans="1:46" s="196" customFormat="1" ht="25.5" x14ac:dyDescent="0.2">
      <c r="A14" s="673" t="s">
        <v>85</v>
      </c>
      <c r="B14" s="674">
        <f>B6-B10</f>
        <v>99500</v>
      </c>
      <c r="C14" s="674">
        <f t="shared" ref="C14:Z14" si="4">C6-C10</f>
        <v>83500</v>
      </c>
      <c r="D14" s="674">
        <f t="shared" si="4"/>
        <v>25000</v>
      </c>
      <c r="E14" s="674">
        <f t="shared" si="4"/>
        <v>0</v>
      </c>
      <c r="F14" s="674">
        <f t="shared" si="4"/>
        <v>0</v>
      </c>
      <c r="G14" s="674">
        <f t="shared" si="4"/>
        <v>0</v>
      </c>
      <c r="H14" s="674">
        <f t="shared" si="4"/>
        <v>0</v>
      </c>
      <c r="I14" s="674">
        <f t="shared" si="4"/>
        <v>0</v>
      </c>
      <c r="J14" s="674">
        <f t="shared" si="4"/>
        <v>0</v>
      </c>
      <c r="K14" s="674">
        <f t="shared" si="4"/>
        <v>0</v>
      </c>
      <c r="L14" s="674">
        <f t="shared" si="4"/>
        <v>0</v>
      </c>
      <c r="M14" s="674">
        <f t="shared" si="4"/>
        <v>0</v>
      </c>
      <c r="N14" s="674">
        <f t="shared" si="4"/>
        <v>0</v>
      </c>
      <c r="O14" s="674">
        <f t="shared" si="4"/>
        <v>0</v>
      </c>
      <c r="P14" s="674">
        <f t="shared" si="4"/>
        <v>0</v>
      </c>
      <c r="Q14" s="674">
        <f t="shared" si="4"/>
        <v>0</v>
      </c>
      <c r="R14" s="674">
        <f t="shared" si="4"/>
        <v>0</v>
      </c>
      <c r="S14" s="674">
        <f t="shared" si="4"/>
        <v>0</v>
      </c>
      <c r="T14" s="674">
        <f t="shared" si="4"/>
        <v>0</v>
      </c>
      <c r="U14" s="674">
        <f t="shared" si="4"/>
        <v>0</v>
      </c>
      <c r="V14" s="674">
        <f t="shared" si="4"/>
        <v>0</v>
      </c>
      <c r="W14" s="674">
        <f t="shared" si="4"/>
        <v>0</v>
      </c>
      <c r="X14" s="674">
        <f t="shared" si="4"/>
        <v>0</v>
      </c>
      <c r="Y14" s="674">
        <f t="shared" si="4"/>
        <v>0</v>
      </c>
      <c r="Z14" s="674">
        <f t="shared" si="4"/>
        <v>0</v>
      </c>
      <c r="AA14" s="675">
        <f t="shared" ref="AA14:AA16" si="5">SUM(B14:Z14)</f>
        <v>208000</v>
      </c>
    </row>
    <row r="15" spans="1:46" s="196" customFormat="1" ht="25.5" x14ac:dyDescent="0.2">
      <c r="A15" s="673" t="s">
        <v>136</v>
      </c>
      <c r="B15" s="676">
        <f>B7-B11</f>
        <v>0</v>
      </c>
      <c r="C15" s="676">
        <f t="shared" ref="C15:Z15" si="6">C7-C11</f>
        <v>0</v>
      </c>
      <c r="D15" s="676">
        <f t="shared" si="6"/>
        <v>0</v>
      </c>
      <c r="E15" s="676">
        <f t="shared" si="6"/>
        <v>0</v>
      </c>
      <c r="F15" s="676">
        <f t="shared" si="6"/>
        <v>0</v>
      </c>
      <c r="G15" s="676">
        <f t="shared" si="6"/>
        <v>0</v>
      </c>
      <c r="H15" s="676">
        <f t="shared" si="6"/>
        <v>0</v>
      </c>
      <c r="I15" s="676">
        <f t="shared" si="6"/>
        <v>0</v>
      </c>
      <c r="J15" s="676">
        <f t="shared" si="6"/>
        <v>0</v>
      </c>
      <c r="K15" s="676">
        <f t="shared" si="6"/>
        <v>0</v>
      </c>
      <c r="L15" s="676">
        <f t="shared" si="6"/>
        <v>0</v>
      </c>
      <c r="M15" s="676">
        <f t="shared" si="6"/>
        <v>0</v>
      </c>
      <c r="N15" s="676">
        <f t="shared" si="6"/>
        <v>0</v>
      </c>
      <c r="O15" s="676">
        <f t="shared" si="6"/>
        <v>0</v>
      </c>
      <c r="P15" s="676">
        <f t="shared" si="6"/>
        <v>0</v>
      </c>
      <c r="Q15" s="676">
        <f t="shared" si="6"/>
        <v>0</v>
      </c>
      <c r="R15" s="676">
        <f t="shared" si="6"/>
        <v>0</v>
      </c>
      <c r="S15" s="676">
        <f t="shared" si="6"/>
        <v>0</v>
      </c>
      <c r="T15" s="676">
        <f t="shared" si="6"/>
        <v>0</v>
      </c>
      <c r="U15" s="676">
        <f t="shared" si="6"/>
        <v>0</v>
      </c>
      <c r="V15" s="676">
        <f t="shared" si="6"/>
        <v>0</v>
      </c>
      <c r="W15" s="676">
        <f t="shared" si="6"/>
        <v>0</v>
      </c>
      <c r="X15" s="676">
        <f t="shared" si="6"/>
        <v>0</v>
      </c>
      <c r="Y15" s="676">
        <f t="shared" si="6"/>
        <v>0</v>
      </c>
      <c r="Z15" s="676">
        <f t="shared" si="6"/>
        <v>0</v>
      </c>
      <c r="AA15" s="675">
        <f t="shared" si="5"/>
        <v>0</v>
      </c>
    </row>
    <row r="16" spans="1:46" s="196" customFormat="1" ht="12.75" x14ac:dyDescent="0.2">
      <c r="A16" s="673" t="s">
        <v>137</v>
      </c>
      <c r="B16" s="685">
        <f>B8-B12</f>
        <v>2000</v>
      </c>
      <c r="C16" s="685">
        <f t="shared" ref="C16:Z16" si="7">C8-C12</f>
        <v>3000</v>
      </c>
      <c r="D16" s="685">
        <f t="shared" si="7"/>
        <v>5020</v>
      </c>
      <c r="E16" s="685">
        <f t="shared" si="7"/>
        <v>1018</v>
      </c>
      <c r="F16" s="685">
        <f t="shared" si="7"/>
        <v>1016</v>
      </c>
      <c r="G16" s="685">
        <f t="shared" si="7"/>
        <v>1014</v>
      </c>
      <c r="H16" s="685">
        <f t="shared" si="7"/>
        <v>1012</v>
      </c>
      <c r="I16" s="685">
        <f t="shared" si="7"/>
        <v>1010</v>
      </c>
      <c r="J16" s="685">
        <f t="shared" si="7"/>
        <v>1008</v>
      </c>
      <c r="K16" s="685">
        <f t="shared" si="7"/>
        <v>1006</v>
      </c>
      <c r="L16" s="685">
        <f t="shared" si="7"/>
        <v>1004</v>
      </c>
      <c r="M16" s="685">
        <f t="shared" si="7"/>
        <v>1002</v>
      </c>
      <c r="N16" s="685">
        <f t="shared" si="7"/>
        <v>1000</v>
      </c>
      <c r="O16" s="685">
        <f t="shared" si="7"/>
        <v>1000</v>
      </c>
      <c r="P16" s="685">
        <f t="shared" si="7"/>
        <v>1000</v>
      </c>
      <c r="Q16" s="685">
        <f t="shared" si="7"/>
        <v>1000</v>
      </c>
      <c r="R16" s="685">
        <f t="shared" si="7"/>
        <v>1000</v>
      </c>
      <c r="S16" s="685">
        <f t="shared" si="7"/>
        <v>1000</v>
      </c>
      <c r="T16" s="685">
        <f t="shared" si="7"/>
        <v>1000</v>
      </c>
      <c r="U16" s="685">
        <f t="shared" si="7"/>
        <v>1000</v>
      </c>
      <c r="V16" s="685">
        <f t="shared" si="7"/>
        <v>1000</v>
      </c>
      <c r="W16" s="685">
        <f t="shared" si="7"/>
        <v>1000</v>
      </c>
      <c r="X16" s="685">
        <f t="shared" si="7"/>
        <v>1000</v>
      </c>
      <c r="Y16" s="685">
        <f t="shared" si="7"/>
        <v>1000</v>
      </c>
      <c r="Z16" s="685">
        <f t="shared" si="7"/>
        <v>1000</v>
      </c>
      <c r="AA16" s="675">
        <f t="shared" si="5"/>
        <v>32110</v>
      </c>
    </row>
    <row r="17" spans="1:27" s="196" customFormat="1" ht="12.75" x14ac:dyDescent="0.2">
      <c r="A17" s="678"/>
      <c r="B17" s="686"/>
      <c r="C17" s="686"/>
      <c r="D17" s="686"/>
      <c r="E17" s="686"/>
      <c r="F17" s="686"/>
      <c r="G17" s="686"/>
      <c r="H17" s="686"/>
      <c r="I17" s="686"/>
      <c r="J17" s="686"/>
      <c r="K17" s="686"/>
      <c r="L17" s="686"/>
      <c r="M17" s="686"/>
      <c r="N17" s="686"/>
      <c r="O17" s="686"/>
      <c r="P17" s="686"/>
      <c r="Q17" s="686"/>
      <c r="R17" s="686"/>
      <c r="S17" s="686"/>
      <c r="T17" s="686"/>
      <c r="U17" s="686"/>
      <c r="V17" s="686"/>
      <c r="W17" s="686"/>
      <c r="X17" s="686"/>
      <c r="Y17" s="686"/>
      <c r="Z17" s="686"/>
      <c r="AA17" s="687"/>
    </row>
    <row r="24" spans="1:27" x14ac:dyDescent="0.25">
      <c r="F24" s="423"/>
    </row>
  </sheetData>
  <sheetProtection algorithmName="SHA-512" hashValue="dfwXddT6hEpV6NnjQFTQ3slt9hwIYFJ3SV4Ke7IFsDcog+sN9hImcqKa0geE0jn3RPIsC30Bk7WCAzkEatoE9g==" saltValue="LZuBFdAg7xK2AIe/3q4zOQ==" spinCount="100000" sheet="1" objects="1" scenarios="1" formatCells="0" formatColumns="0" formatRows="0"/>
  <mergeCells count="2">
    <mergeCell ref="A1:D1"/>
    <mergeCell ref="A2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BR28"/>
  <sheetViews>
    <sheetView workbookViewId="0">
      <selection activeCell="I28" sqref="I28"/>
    </sheetView>
  </sheetViews>
  <sheetFormatPr defaultColWidth="9.140625" defaultRowHeight="15" x14ac:dyDescent="0.25"/>
  <cols>
    <col min="1" max="1" width="4.7109375" style="428" customWidth="1"/>
    <col min="2" max="2" width="9.140625" style="428"/>
    <col min="3" max="3" width="39.42578125" style="428" customWidth="1"/>
    <col min="4" max="4" width="9.140625" style="428"/>
    <col min="5" max="5" width="12.42578125" style="428" bestFit="1" customWidth="1"/>
    <col min="6" max="6" width="13.5703125" style="428" bestFit="1" customWidth="1"/>
    <col min="7" max="7" width="12.42578125" style="428" bestFit="1" customWidth="1"/>
    <col min="8" max="29" width="9.42578125" style="428" bestFit="1" customWidth="1"/>
    <col min="30" max="30" width="12.42578125" style="428" bestFit="1" customWidth="1"/>
    <col min="31" max="16384" width="9.140625" style="428"/>
  </cols>
  <sheetData>
    <row r="1" spans="1:70" s="249" customFormat="1" ht="27" customHeight="1" x14ac:dyDescent="0.25">
      <c r="A1" s="1015" t="s">
        <v>428</v>
      </c>
      <c r="B1" s="1015"/>
      <c r="C1" s="1015"/>
      <c r="D1" s="1015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</row>
    <row r="2" spans="1:70" s="248" customFormat="1" ht="24.95" customHeight="1" x14ac:dyDescent="0.25">
      <c r="A2" s="266" t="s">
        <v>344</v>
      </c>
      <c r="B2" s="266"/>
      <c r="C2" s="266"/>
      <c r="D2" s="247"/>
    </row>
    <row r="3" spans="1:70" s="196" customFormat="1" ht="15.75" x14ac:dyDescent="0.25">
      <c r="A3" s="184"/>
      <c r="B3" s="12"/>
      <c r="C3" s="12"/>
      <c r="D3" s="250"/>
      <c r="E3" s="268">
        <f>'11.AL Alternatīvu analīze'!B3</f>
        <v>0</v>
      </c>
      <c r="F3" s="268">
        <f>'11.AL Alternatīvu analīze'!C3</f>
        <v>1</v>
      </c>
      <c r="G3" s="268">
        <f>'11.AL Alternatīvu analīze'!D3</f>
        <v>2</v>
      </c>
      <c r="H3" s="268">
        <f>'11.AL Alternatīvu analīze'!E3</f>
        <v>3</v>
      </c>
      <c r="I3" s="268">
        <f>'11.AL Alternatīvu analīze'!F3</f>
        <v>4</v>
      </c>
      <c r="J3" s="268">
        <f>'11.AL Alternatīvu analīze'!G3</f>
        <v>5</v>
      </c>
      <c r="K3" s="268">
        <f>'11.AL Alternatīvu analīze'!H3</f>
        <v>6</v>
      </c>
      <c r="L3" s="268">
        <f>'11.AL Alternatīvu analīze'!I3</f>
        <v>7</v>
      </c>
      <c r="M3" s="268">
        <f>'11.AL Alternatīvu analīze'!J3</f>
        <v>8</v>
      </c>
      <c r="N3" s="268">
        <f>'11.AL Alternatīvu analīze'!K3</f>
        <v>9</v>
      </c>
      <c r="O3" s="268">
        <f>'11.AL Alternatīvu analīze'!L3</f>
        <v>10</v>
      </c>
      <c r="P3" s="268">
        <f>'11.AL Alternatīvu analīze'!M3</f>
        <v>11</v>
      </c>
      <c r="Q3" s="268">
        <f>'11.AL Alternatīvu analīze'!N3</f>
        <v>12</v>
      </c>
      <c r="R3" s="268">
        <f>'11.AL Alternatīvu analīze'!O3</f>
        <v>13</v>
      </c>
      <c r="S3" s="268">
        <f>'11.AL Alternatīvu analīze'!P3</f>
        <v>14</v>
      </c>
      <c r="T3" s="268">
        <f>'11.AL Alternatīvu analīze'!Q3</f>
        <v>15</v>
      </c>
      <c r="U3" s="268">
        <f>'11.AL Alternatīvu analīze'!R3</f>
        <v>16</v>
      </c>
      <c r="V3" s="268">
        <f>'11.AL Alternatīvu analīze'!S3</f>
        <v>17</v>
      </c>
      <c r="W3" s="268">
        <f>'11.AL Alternatīvu analīze'!T3</f>
        <v>18</v>
      </c>
      <c r="X3" s="268">
        <f>'11.AL Alternatīvu analīze'!U3</f>
        <v>19</v>
      </c>
      <c r="Y3" s="268">
        <f>'11.AL Alternatīvu analīze'!V3</f>
        <v>20</v>
      </c>
      <c r="Z3" s="268">
        <f>'11.AL Alternatīvu analīze'!W3</f>
        <v>21</v>
      </c>
      <c r="AA3" s="268">
        <f>'11.AL Alternatīvu analīze'!X3</f>
        <v>22</v>
      </c>
      <c r="AB3" s="268">
        <f>'11.AL Alternatīvu analīze'!Y3</f>
        <v>23</v>
      </c>
      <c r="AC3" s="268">
        <f>'11.AL Alternatīvu analīze'!Z3</f>
        <v>24</v>
      </c>
      <c r="AD3" s="126"/>
    </row>
    <row r="4" spans="1:70" s="196" customFormat="1" ht="12.75" x14ac:dyDescent="0.2">
      <c r="A4" s="14"/>
      <c r="B4" s="15"/>
      <c r="C4" s="15"/>
      <c r="D4" s="202" t="s">
        <v>39</v>
      </c>
      <c r="E4" s="269">
        <f>'11.AL Alternatīvu analīze'!B4</f>
        <v>2021</v>
      </c>
      <c r="F4" s="269">
        <f>'11.AL Alternatīvu analīze'!C4</f>
        <v>2022</v>
      </c>
      <c r="G4" s="269">
        <f>'11.AL Alternatīvu analīze'!D4</f>
        <v>2023</v>
      </c>
      <c r="H4" s="269">
        <f>'11.AL Alternatīvu analīze'!E4</f>
        <v>2024</v>
      </c>
      <c r="I4" s="269">
        <f>'11.AL Alternatīvu analīze'!F4</f>
        <v>2025</v>
      </c>
      <c r="J4" s="269">
        <f>'11.AL Alternatīvu analīze'!G4</f>
        <v>2026</v>
      </c>
      <c r="K4" s="269">
        <f>'11.AL Alternatīvu analīze'!H4</f>
        <v>2027</v>
      </c>
      <c r="L4" s="269">
        <f>'11.AL Alternatīvu analīze'!I4</f>
        <v>2028</v>
      </c>
      <c r="M4" s="269">
        <f>'11.AL Alternatīvu analīze'!J4</f>
        <v>2029</v>
      </c>
      <c r="N4" s="269">
        <f>'11.AL Alternatīvu analīze'!K4</f>
        <v>2030</v>
      </c>
      <c r="O4" s="269">
        <f>'11.AL Alternatīvu analīze'!L4</f>
        <v>2031</v>
      </c>
      <c r="P4" s="269">
        <f>'11.AL Alternatīvu analīze'!M4</f>
        <v>2032</v>
      </c>
      <c r="Q4" s="269">
        <f>'11.AL Alternatīvu analīze'!N4</f>
        <v>2033</v>
      </c>
      <c r="R4" s="269">
        <f>'11.AL Alternatīvu analīze'!O4</f>
        <v>2034</v>
      </c>
      <c r="S4" s="269">
        <f>'11.AL Alternatīvu analīze'!P4</f>
        <v>2035</v>
      </c>
      <c r="T4" s="269">
        <f>'11.AL Alternatīvu analīze'!Q4</f>
        <v>2036</v>
      </c>
      <c r="U4" s="269">
        <f>'11.AL Alternatīvu analīze'!R4</f>
        <v>2037</v>
      </c>
      <c r="V4" s="269">
        <f>'11.AL Alternatīvu analīze'!S4</f>
        <v>2038</v>
      </c>
      <c r="W4" s="269">
        <f>'11.AL Alternatīvu analīze'!T4</f>
        <v>2039</v>
      </c>
      <c r="X4" s="269">
        <f>'11.AL Alternatīvu analīze'!U4</f>
        <v>2040</v>
      </c>
      <c r="Y4" s="269">
        <f>'11.AL Alternatīvu analīze'!V4</f>
        <v>2041</v>
      </c>
      <c r="Z4" s="269">
        <f>'11.AL Alternatīvu analīze'!W4</f>
        <v>2042</v>
      </c>
      <c r="AA4" s="269">
        <f>'11.AL Alternatīvu analīze'!X4</f>
        <v>2043</v>
      </c>
      <c r="AB4" s="269">
        <f>'11.AL Alternatīvu analīze'!Y4</f>
        <v>2044</v>
      </c>
      <c r="AC4" s="269">
        <f>'11.AL Alternatīvu analīze'!Z4</f>
        <v>2045</v>
      </c>
      <c r="AD4" s="127" t="s">
        <v>40</v>
      </c>
    </row>
    <row r="5" spans="1:70" s="196" customFormat="1" ht="12.75" x14ac:dyDescent="0.2">
      <c r="A5" s="17"/>
      <c r="B5" s="17"/>
      <c r="C5" s="17"/>
      <c r="D5" s="251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3"/>
      <c r="U5" s="252"/>
      <c r="V5" s="252"/>
      <c r="W5" s="252"/>
      <c r="X5" s="252"/>
      <c r="Y5" s="252"/>
      <c r="Z5" s="252"/>
      <c r="AA5" s="252"/>
      <c r="AB5" s="252"/>
      <c r="AC5" s="252"/>
      <c r="AD5" s="19"/>
    </row>
    <row r="6" spans="1:70" s="196" customFormat="1" ht="12.75" x14ac:dyDescent="0.2">
      <c r="A6" s="21"/>
      <c r="B6" s="21" t="s">
        <v>41</v>
      </c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</row>
    <row r="7" spans="1:70" s="196" customFormat="1" ht="12.75" x14ac:dyDescent="0.2">
      <c r="A7" s="17"/>
      <c r="B7" s="17"/>
      <c r="C7" s="17"/>
      <c r="D7" s="18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4"/>
    </row>
    <row r="8" spans="1:70" s="256" customFormat="1" ht="12.75" x14ac:dyDescent="0.2">
      <c r="A8" s="204"/>
      <c r="B8" s="205">
        <v>1</v>
      </c>
      <c r="C8" s="206" t="s">
        <v>345</v>
      </c>
      <c r="D8" s="208" t="s">
        <v>20</v>
      </c>
      <c r="E8" s="349">
        <f>'6.DL Soc.ekon.analīze'!D6</f>
        <v>17500</v>
      </c>
      <c r="F8" s="308">
        <f>'6.DL Soc.ekon.analīze'!E6</f>
        <v>17500</v>
      </c>
      <c r="G8" s="308">
        <f>'6.DL Soc.ekon.analīze'!F6</f>
        <v>12500</v>
      </c>
      <c r="H8" s="308">
        <f>'6.DL Soc.ekon.analīze'!G6</f>
        <v>12500</v>
      </c>
      <c r="I8" s="308">
        <f>'6.DL Soc.ekon.analīze'!H6</f>
        <v>12500</v>
      </c>
      <c r="J8" s="308">
        <f>'6.DL Soc.ekon.analīze'!I6</f>
        <v>12500</v>
      </c>
      <c r="K8" s="308">
        <f>'6.DL Soc.ekon.analīze'!J6</f>
        <v>12500</v>
      </c>
      <c r="L8" s="308">
        <f>'6.DL Soc.ekon.analīze'!K6</f>
        <v>12500</v>
      </c>
      <c r="M8" s="308">
        <f>'6.DL Soc.ekon.analīze'!L6</f>
        <v>12500</v>
      </c>
      <c r="N8" s="308">
        <f>'6.DL Soc.ekon.analīze'!M6</f>
        <v>12500</v>
      </c>
      <c r="O8" s="308">
        <f>'6.DL Soc.ekon.analīze'!N6</f>
        <v>12500</v>
      </c>
      <c r="P8" s="308">
        <f>'6.DL Soc.ekon.analīze'!O6</f>
        <v>12500</v>
      </c>
      <c r="Q8" s="308">
        <f>'6.DL Soc.ekon.analīze'!P6</f>
        <v>12500</v>
      </c>
      <c r="R8" s="308">
        <f>'6.DL Soc.ekon.analīze'!Q6</f>
        <v>12500</v>
      </c>
      <c r="S8" s="308">
        <f>'6.DL Soc.ekon.analīze'!R6</f>
        <v>12500</v>
      </c>
      <c r="T8" s="308">
        <f>'6.DL Soc.ekon.analīze'!S6</f>
        <v>12500</v>
      </c>
      <c r="U8" s="308">
        <f>'6.DL Soc.ekon.analīze'!T6</f>
        <v>12500</v>
      </c>
      <c r="V8" s="308">
        <f>'6.DL Soc.ekon.analīze'!U6</f>
        <v>12500</v>
      </c>
      <c r="W8" s="308">
        <f>'6.DL Soc.ekon.analīze'!V6</f>
        <v>12500</v>
      </c>
      <c r="X8" s="308">
        <f>'6.DL Soc.ekon.analīze'!W6</f>
        <v>12500</v>
      </c>
      <c r="Y8" s="308">
        <f>'6.DL Soc.ekon.analīze'!X6</f>
        <v>12500</v>
      </c>
      <c r="Z8" s="308">
        <f>'6.DL Soc.ekon.analīze'!Y6</f>
        <v>12500</v>
      </c>
      <c r="AA8" s="308">
        <f>'6.DL Soc.ekon.analīze'!Z6</f>
        <v>12500</v>
      </c>
      <c r="AB8" s="308">
        <f>'6.DL Soc.ekon.analīze'!AA6</f>
        <v>12500</v>
      </c>
      <c r="AC8" s="308">
        <f>'6.DL Soc.ekon.analīze'!AB6</f>
        <v>12500</v>
      </c>
      <c r="AD8" s="350">
        <f t="shared" ref="AD8:AD26" si="0">SUM(E8:AC8)</f>
        <v>322500</v>
      </c>
      <c r="AE8" s="255"/>
    </row>
    <row r="9" spans="1:70" s="256" customFormat="1" ht="12.75" x14ac:dyDescent="0.2">
      <c r="A9" s="212"/>
      <c r="B9" s="711">
        <v>2</v>
      </c>
      <c r="C9" s="711" t="s">
        <v>346</v>
      </c>
      <c r="D9" s="181" t="s">
        <v>20</v>
      </c>
      <c r="E9" s="351">
        <f>SUM(E10:E11)</f>
        <v>2000</v>
      </c>
      <c r="F9" s="312">
        <f>SUM(F10:F11)</f>
        <v>3000</v>
      </c>
      <c r="G9" s="312">
        <f t="shared" ref="G9:AC9" si="1">SUM(G10:G11)</f>
        <v>5020</v>
      </c>
      <c r="H9" s="312">
        <f t="shared" si="1"/>
        <v>1018</v>
      </c>
      <c r="I9" s="312">
        <f t="shared" si="1"/>
        <v>1016</v>
      </c>
      <c r="J9" s="312">
        <f t="shared" si="1"/>
        <v>1014</v>
      </c>
      <c r="K9" s="312">
        <f t="shared" si="1"/>
        <v>1012</v>
      </c>
      <c r="L9" s="312">
        <f t="shared" si="1"/>
        <v>1010</v>
      </c>
      <c r="M9" s="312">
        <f t="shared" si="1"/>
        <v>1008</v>
      </c>
      <c r="N9" s="312">
        <f t="shared" si="1"/>
        <v>1006</v>
      </c>
      <c r="O9" s="312">
        <f t="shared" si="1"/>
        <v>1004</v>
      </c>
      <c r="P9" s="312">
        <f t="shared" si="1"/>
        <v>1002</v>
      </c>
      <c r="Q9" s="312">
        <f t="shared" si="1"/>
        <v>1000</v>
      </c>
      <c r="R9" s="312">
        <f t="shared" si="1"/>
        <v>1000</v>
      </c>
      <c r="S9" s="312">
        <f t="shared" si="1"/>
        <v>1000</v>
      </c>
      <c r="T9" s="312">
        <f t="shared" si="1"/>
        <v>1000</v>
      </c>
      <c r="U9" s="312">
        <f t="shared" si="1"/>
        <v>1000</v>
      </c>
      <c r="V9" s="312">
        <f t="shared" si="1"/>
        <v>1000</v>
      </c>
      <c r="W9" s="312">
        <f t="shared" si="1"/>
        <v>1000</v>
      </c>
      <c r="X9" s="312">
        <f t="shared" si="1"/>
        <v>1000</v>
      </c>
      <c r="Y9" s="312">
        <f t="shared" si="1"/>
        <v>1000</v>
      </c>
      <c r="Z9" s="312">
        <f t="shared" si="1"/>
        <v>1000</v>
      </c>
      <c r="AA9" s="312">
        <f t="shared" si="1"/>
        <v>1000</v>
      </c>
      <c r="AB9" s="312">
        <f t="shared" si="1"/>
        <v>1000</v>
      </c>
      <c r="AC9" s="312">
        <f t="shared" si="1"/>
        <v>1000</v>
      </c>
      <c r="AD9" s="352">
        <f t="shared" si="0"/>
        <v>32110</v>
      </c>
      <c r="AE9" s="255"/>
    </row>
    <row r="10" spans="1:70" s="196" customFormat="1" ht="12.75" x14ac:dyDescent="0.2">
      <c r="A10" s="209"/>
      <c r="B10" s="707" t="s">
        <v>51</v>
      </c>
      <c r="C10" s="257" t="s">
        <v>78</v>
      </c>
      <c r="D10" s="31" t="s">
        <v>20</v>
      </c>
      <c r="E10" s="353">
        <f>'14.RL Investīciju naudas plūsma'!E6</f>
        <v>2000</v>
      </c>
      <c r="F10" s="310">
        <f>'14.RL Investīciju naudas plūsma'!F6</f>
        <v>3000</v>
      </c>
      <c r="G10" s="310">
        <f>'14.RL Investīciju naudas plūsma'!G6</f>
        <v>5020</v>
      </c>
      <c r="H10" s="310">
        <f>'14.RL Investīciju naudas plūsma'!H6</f>
        <v>1018</v>
      </c>
      <c r="I10" s="310">
        <f>'14.RL Investīciju naudas plūsma'!I6</f>
        <v>1016</v>
      </c>
      <c r="J10" s="310">
        <f>'14.RL Investīciju naudas plūsma'!J6</f>
        <v>1014</v>
      </c>
      <c r="K10" s="310">
        <f>'14.RL Investīciju naudas plūsma'!K6</f>
        <v>1012</v>
      </c>
      <c r="L10" s="310">
        <f>'14.RL Investīciju naudas plūsma'!L6</f>
        <v>1010</v>
      </c>
      <c r="M10" s="310">
        <f>'14.RL Investīciju naudas plūsma'!M6</f>
        <v>1008</v>
      </c>
      <c r="N10" s="310">
        <f>'14.RL Investīciju naudas plūsma'!N6</f>
        <v>1006</v>
      </c>
      <c r="O10" s="310">
        <f>'14.RL Investīciju naudas plūsma'!O6</f>
        <v>1004</v>
      </c>
      <c r="P10" s="310">
        <f>'14.RL Investīciju naudas plūsma'!P6</f>
        <v>1002</v>
      </c>
      <c r="Q10" s="310">
        <f>'14.RL Investīciju naudas plūsma'!Q6</f>
        <v>1000</v>
      </c>
      <c r="R10" s="310">
        <f>'14.RL Investīciju naudas plūsma'!R6</f>
        <v>1000</v>
      </c>
      <c r="S10" s="310">
        <f>'14.RL Investīciju naudas plūsma'!S6</f>
        <v>1000</v>
      </c>
      <c r="T10" s="310">
        <f>'14.RL Investīciju naudas plūsma'!T6</f>
        <v>1000</v>
      </c>
      <c r="U10" s="310">
        <f>'14.RL Investīciju naudas plūsma'!U6</f>
        <v>1000</v>
      </c>
      <c r="V10" s="310">
        <f>'14.RL Investīciju naudas plūsma'!V6</f>
        <v>1000</v>
      </c>
      <c r="W10" s="310">
        <f>'14.RL Investīciju naudas plūsma'!W6</f>
        <v>1000</v>
      </c>
      <c r="X10" s="310">
        <f>'14.RL Investīciju naudas plūsma'!X6</f>
        <v>1000</v>
      </c>
      <c r="Y10" s="310">
        <f>'14.RL Investīciju naudas plūsma'!Y6</f>
        <v>1000</v>
      </c>
      <c r="Z10" s="310">
        <f>'14.RL Investīciju naudas plūsma'!Z6</f>
        <v>1000</v>
      </c>
      <c r="AA10" s="310">
        <f>'14.RL Investīciju naudas plūsma'!AA6</f>
        <v>1000</v>
      </c>
      <c r="AB10" s="310">
        <f>'14.RL Investīciju naudas plūsma'!AB6</f>
        <v>1000</v>
      </c>
      <c r="AC10" s="310">
        <f>'14.RL Investīciju naudas plūsma'!AC6</f>
        <v>1000</v>
      </c>
      <c r="AD10" s="352">
        <f t="shared" si="0"/>
        <v>32110</v>
      </c>
      <c r="AE10" s="254"/>
    </row>
    <row r="11" spans="1:70" s="196" customFormat="1" ht="12.75" x14ac:dyDescent="0.2">
      <c r="A11" s="209"/>
      <c r="B11" s="707" t="s">
        <v>52</v>
      </c>
      <c r="C11" s="257" t="s">
        <v>75</v>
      </c>
      <c r="D11" s="31" t="s">
        <v>20</v>
      </c>
      <c r="E11" s="353">
        <f>'14.RL Investīciju naudas plūsma'!E11</f>
        <v>0</v>
      </c>
      <c r="F11" s="310">
        <f>'14.RL Investīciju naudas plūsma'!F11</f>
        <v>0</v>
      </c>
      <c r="G11" s="310">
        <f>'14.RL Investīciju naudas plūsma'!G11</f>
        <v>0</v>
      </c>
      <c r="H11" s="310">
        <f>'14.RL Investīciju naudas plūsma'!H11</f>
        <v>0</v>
      </c>
      <c r="I11" s="310">
        <f>'14.RL Investīciju naudas plūsma'!I11</f>
        <v>0</v>
      </c>
      <c r="J11" s="310">
        <f>'14.RL Investīciju naudas plūsma'!J11</f>
        <v>0</v>
      </c>
      <c r="K11" s="310">
        <f>'14.RL Investīciju naudas plūsma'!K11</f>
        <v>0</v>
      </c>
      <c r="L11" s="310">
        <f>'14.RL Investīciju naudas plūsma'!L11</f>
        <v>0</v>
      </c>
      <c r="M11" s="310">
        <f>'14.RL Investīciju naudas plūsma'!M11</f>
        <v>0</v>
      </c>
      <c r="N11" s="310">
        <f>'14.RL Investīciju naudas plūsma'!N11</f>
        <v>0</v>
      </c>
      <c r="O11" s="310">
        <f>'14.RL Investīciju naudas plūsma'!O11</f>
        <v>0</v>
      </c>
      <c r="P11" s="310">
        <f>'14.RL Investīciju naudas plūsma'!P11</f>
        <v>0</v>
      </c>
      <c r="Q11" s="310">
        <f>'14.RL Investīciju naudas plūsma'!Q11</f>
        <v>0</v>
      </c>
      <c r="R11" s="310">
        <f>'14.RL Investīciju naudas plūsma'!R11</f>
        <v>0</v>
      </c>
      <c r="S11" s="310">
        <f>'14.RL Investīciju naudas plūsma'!S11</f>
        <v>0</v>
      </c>
      <c r="T11" s="310">
        <f>'14.RL Investīciju naudas plūsma'!T11</f>
        <v>0</v>
      </c>
      <c r="U11" s="310">
        <f>'14.RL Investīciju naudas plūsma'!U11</f>
        <v>0</v>
      </c>
      <c r="V11" s="310">
        <f>'14.RL Investīciju naudas plūsma'!V11</f>
        <v>0</v>
      </c>
      <c r="W11" s="310">
        <f>'14.RL Investīciju naudas plūsma'!W11</f>
        <v>0</v>
      </c>
      <c r="X11" s="310">
        <f>'14.RL Investīciju naudas plūsma'!X11</f>
        <v>0</v>
      </c>
      <c r="Y11" s="310">
        <f>'14.RL Investīciju naudas plūsma'!Y11</f>
        <v>0</v>
      </c>
      <c r="Z11" s="310">
        <f>'14.RL Investīciju naudas plūsma'!Z11</f>
        <v>0</v>
      </c>
      <c r="AA11" s="310">
        <f>'14.RL Investīciju naudas plūsma'!AA11</f>
        <v>0</v>
      </c>
      <c r="AB11" s="310">
        <f>'14.RL Investīciju naudas plūsma'!AB11</f>
        <v>0</v>
      </c>
      <c r="AC11" s="310">
        <f>'14.RL Investīciju naudas plūsma'!AC11</f>
        <v>0</v>
      </c>
      <c r="AD11" s="352">
        <f t="shared" si="0"/>
        <v>0</v>
      </c>
      <c r="AE11" s="254"/>
    </row>
    <row r="12" spans="1:70" s="256" customFormat="1" ht="12.75" x14ac:dyDescent="0.2">
      <c r="A12" s="212"/>
      <c r="B12" s="711">
        <v>3</v>
      </c>
      <c r="C12" s="258" t="s">
        <v>347</v>
      </c>
      <c r="D12" s="181" t="s">
        <v>20</v>
      </c>
      <c r="E12" s="351">
        <f>E9+E8</f>
        <v>19500</v>
      </c>
      <c r="F12" s="312">
        <f>F9+F8</f>
        <v>20500</v>
      </c>
      <c r="G12" s="312">
        <f>G9+G8</f>
        <v>17520</v>
      </c>
      <c r="H12" s="312">
        <f t="shared" ref="H12:AC12" si="2">H9+H8</f>
        <v>13518</v>
      </c>
      <c r="I12" s="312">
        <f t="shared" si="2"/>
        <v>13516</v>
      </c>
      <c r="J12" s="312">
        <f t="shared" si="2"/>
        <v>13514</v>
      </c>
      <c r="K12" s="312">
        <f t="shared" si="2"/>
        <v>13512</v>
      </c>
      <c r="L12" s="312">
        <f t="shared" si="2"/>
        <v>13510</v>
      </c>
      <c r="M12" s="312">
        <f t="shared" si="2"/>
        <v>13508</v>
      </c>
      <c r="N12" s="312">
        <f t="shared" si="2"/>
        <v>13506</v>
      </c>
      <c r="O12" s="312">
        <f t="shared" si="2"/>
        <v>13504</v>
      </c>
      <c r="P12" s="312">
        <f t="shared" si="2"/>
        <v>13502</v>
      </c>
      <c r="Q12" s="312">
        <f t="shared" si="2"/>
        <v>13500</v>
      </c>
      <c r="R12" s="312">
        <f t="shared" si="2"/>
        <v>13500</v>
      </c>
      <c r="S12" s="312">
        <f t="shared" si="2"/>
        <v>13500</v>
      </c>
      <c r="T12" s="312">
        <f t="shared" si="2"/>
        <v>13500</v>
      </c>
      <c r="U12" s="312">
        <f t="shared" si="2"/>
        <v>13500</v>
      </c>
      <c r="V12" s="312">
        <f t="shared" si="2"/>
        <v>13500</v>
      </c>
      <c r="W12" s="312">
        <f t="shared" si="2"/>
        <v>13500</v>
      </c>
      <c r="X12" s="312">
        <f t="shared" si="2"/>
        <v>13500</v>
      </c>
      <c r="Y12" s="312">
        <f t="shared" si="2"/>
        <v>13500</v>
      </c>
      <c r="Z12" s="312">
        <f t="shared" si="2"/>
        <v>13500</v>
      </c>
      <c r="AA12" s="312">
        <f t="shared" si="2"/>
        <v>13500</v>
      </c>
      <c r="AB12" s="312">
        <f t="shared" si="2"/>
        <v>13500</v>
      </c>
      <c r="AC12" s="312">
        <f t="shared" si="2"/>
        <v>13500</v>
      </c>
      <c r="AD12" s="352">
        <f t="shared" si="0"/>
        <v>354610</v>
      </c>
      <c r="AE12" s="255"/>
    </row>
    <row r="13" spans="1:70" s="256" customFormat="1" ht="12.75" x14ac:dyDescent="0.2">
      <c r="A13" s="212"/>
      <c r="B13" s="711">
        <v>4</v>
      </c>
      <c r="C13" s="27" t="s">
        <v>297</v>
      </c>
      <c r="D13" s="181" t="s">
        <v>20</v>
      </c>
      <c r="E13" s="354">
        <f>'6.DL Soc.ekon.analīze'!D16</f>
        <v>1500</v>
      </c>
      <c r="F13" s="313">
        <f>'6.DL Soc.ekon.analīze'!E16</f>
        <v>1500</v>
      </c>
      <c r="G13" s="313">
        <f>'6.DL Soc.ekon.analīze'!F16</f>
        <v>1500</v>
      </c>
      <c r="H13" s="313">
        <f>'6.DL Soc.ekon.analīze'!G16</f>
        <v>1500</v>
      </c>
      <c r="I13" s="313">
        <f>'6.DL Soc.ekon.analīze'!H16</f>
        <v>1500</v>
      </c>
      <c r="J13" s="313">
        <f>'6.DL Soc.ekon.analīze'!I16</f>
        <v>1500</v>
      </c>
      <c r="K13" s="313">
        <f>'6.DL Soc.ekon.analīze'!J16</f>
        <v>1500</v>
      </c>
      <c r="L13" s="313">
        <f>'6.DL Soc.ekon.analīze'!K16</f>
        <v>1500</v>
      </c>
      <c r="M13" s="313">
        <f>'6.DL Soc.ekon.analīze'!L16</f>
        <v>1500</v>
      </c>
      <c r="N13" s="313">
        <f>'6.DL Soc.ekon.analīze'!M16</f>
        <v>1500</v>
      </c>
      <c r="O13" s="313">
        <f>'6.DL Soc.ekon.analīze'!N16</f>
        <v>1500</v>
      </c>
      <c r="P13" s="313">
        <f>'6.DL Soc.ekon.analīze'!O16</f>
        <v>1500</v>
      </c>
      <c r="Q13" s="313">
        <f>'6.DL Soc.ekon.analīze'!P16</f>
        <v>1500</v>
      </c>
      <c r="R13" s="313">
        <f>'6.DL Soc.ekon.analīze'!Q16</f>
        <v>1500</v>
      </c>
      <c r="S13" s="313">
        <f>'6.DL Soc.ekon.analīze'!R16</f>
        <v>1500</v>
      </c>
      <c r="T13" s="313">
        <f>'6.DL Soc.ekon.analīze'!S16</f>
        <v>1500</v>
      </c>
      <c r="U13" s="313">
        <f>'6.DL Soc.ekon.analīze'!T16</f>
        <v>1500</v>
      </c>
      <c r="V13" s="313">
        <f>'6.DL Soc.ekon.analīze'!U16</f>
        <v>1500</v>
      </c>
      <c r="W13" s="313">
        <f>'6.DL Soc.ekon.analīze'!V16</f>
        <v>1500</v>
      </c>
      <c r="X13" s="313">
        <f>'6.DL Soc.ekon.analīze'!W16</f>
        <v>1500</v>
      </c>
      <c r="Y13" s="313">
        <f>'6.DL Soc.ekon.analīze'!X16</f>
        <v>1500</v>
      </c>
      <c r="Z13" s="313">
        <f>'6.DL Soc.ekon.analīze'!Y16</f>
        <v>1500</v>
      </c>
      <c r="AA13" s="313">
        <f>'6.DL Soc.ekon.analīze'!Z16</f>
        <v>1500</v>
      </c>
      <c r="AB13" s="313">
        <f>'6.DL Soc.ekon.analīze'!AA16</f>
        <v>1500</v>
      </c>
      <c r="AC13" s="313">
        <f>'6.DL Soc.ekon.analīze'!AB16</f>
        <v>1500</v>
      </c>
      <c r="AD13" s="352">
        <f t="shared" si="0"/>
        <v>37500</v>
      </c>
      <c r="AE13" s="255"/>
    </row>
    <row r="14" spans="1:70" s="256" customFormat="1" ht="12.75" x14ac:dyDescent="0.2">
      <c r="A14" s="212"/>
      <c r="B14" s="711">
        <v>5</v>
      </c>
      <c r="C14" s="27" t="s">
        <v>348</v>
      </c>
      <c r="D14" s="181" t="s">
        <v>20</v>
      </c>
      <c r="E14" s="351">
        <f>E15+E18</f>
        <v>99500</v>
      </c>
      <c r="F14" s="312">
        <f>F15+F18</f>
        <v>83500</v>
      </c>
      <c r="G14" s="312">
        <f>G15+G18</f>
        <v>25000</v>
      </c>
      <c r="H14" s="312">
        <f>H15+H18</f>
        <v>0</v>
      </c>
      <c r="I14" s="312">
        <f>I15+I18</f>
        <v>0</v>
      </c>
      <c r="J14" s="312">
        <f t="shared" ref="J14:T14" si="3">J15+J18</f>
        <v>0</v>
      </c>
      <c r="K14" s="312">
        <f t="shared" si="3"/>
        <v>0</v>
      </c>
      <c r="L14" s="312">
        <f t="shared" si="3"/>
        <v>0</v>
      </c>
      <c r="M14" s="312">
        <f t="shared" si="3"/>
        <v>0</v>
      </c>
      <c r="N14" s="312">
        <f t="shared" si="3"/>
        <v>0</v>
      </c>
      <c r="O14" s="312">
        <f t="shared" si="3"/>
        <v>0</v>
      </c>
      <c r="P14" s="312">
        <f t="shared" si="3"/>
        <v>0</v>
      </c>
      <c r="Q14" s="312">
        <f t="shared" si="3"/>
        <v>0</v>
      </c>
      <c r="R14" s="312">
        <f t="shared" si="3"/>
        <v>0</v>
      </c>
      <c r="S14" s="312">
        <f t="shared" si="3"/>
        <v>0</v>
      </c>
      <c r="T14" s="312">
        <f t="shared" si="3"/>
        <v>0</v>
      </c>
      <c r="U14" s="312">
        <f t="shared" ref="U14:AC14" si="4">U15+U18</f>
        <v>0</v>
      </c>
      <c r="V14" s="312">
        <f t="shared" si="4"/>
        <v>0</v>
      </c>
      <c r="W14" s="312">
        <f t="shared" si="4"/>
        <v>0</v>
      </c>
      <c r="X14" s="312">
        <f t="shared" si="4"/>
        <v>0</v>
      </c>
      <c r="Y14" s="312">
        <f t="shared" si="4"/>
        <v>0</v>
      </c>
      <c r="Z14" s="312">
        <f t="shared" si="4"/>
        <v>0</v>
      </c>
      <c r="AA14" s="312">
        <f t="shared" si="4"/>
        <v>0</v>
      </c>
      <c r="AB14" s="312">
        <f t="shared" si="4"/>
        <v>0</v>
      </c>
      <c r="AC14" s="312">
        <f t="shared" si="4"/>
        <v>0</v>
      </c>
      <c r="AD14" s="352">
        <f t="shared" si="0"/>
        <v>208000</v>
      </c>
      <c r="AE14" s="259"/>
    </row>
    <row r="15" spans="1:70" s="196" customFormat="1" ht="12.75" x14ac:dyDescent="0.2">
      <c r="A15" s="209"/>
      <c r="B15" s="69" t="s">
        <v>243</v>
      </c>
      <c r="C15" s="260" t="s">
        <v>85</v>
      </c>
      <c r="D15" s="31" t="s">
        <v>20</v>
      </c>
      <c r="E15" s="353">
        <f>'14.RL Investīciju naudas plūsma'!E8</f>
        <v>99500</v>
      </c>
      <c r="F15" s="310">
        <f>'14.RL Investīciju naudas plūsma'!F8</f>
        <v>83500</v>
      </c>
      <c r="G15" s="310">
        <f>'14.RL Investīciju naudas plūsma'!G8</f>
        <v>25000</v>
      </c>
      <c r="H15" s="310">
        <f>'14.RL Investīciju naudas plūsma'!H8</f>
        <v>0</v>
      </c>
      <c r="I15" s="310">
        <f>'14.RL Investīciju naudas plūsma'!I8</f>
        <v>0</v>
      </c>
      <c r="J15" s="310">
        <f>'14.RL Investīciju naudas plūsma'!J8</f>
        <v>0</v>
      </c>
      <c r="K15" s="310">
        <f>'14.RL Investīciju naudas plūsma'!K8</f>
        <v>0</v>
      </c>
      <c r="L15" s="310">
        <f>'14.RL Investīciju naudas plūsma'!L8</f>
        <v>0</v>
      </c>
      <c r="M15" s="310">
        <f>'14.RL Investīciju naudas plūsma'!M8</f>
        <v>0</v>
      </c>
      <c r="N15" s="310">
        <f>'14.RL Investīciju naudas plūsma'!N8</f>
        <v>0</v>
      </c>
      <c r="O15" s="310">
        <f>'14.RL Investīciju naudas plūsma'!O8</f>
        <v>0</v>
      </c>
      <c r="P15" s="310">
        <f>'14.RL Investīciju naudas plūsma'!P8</f>
        <v>0</v>
      </c>
      <c r="Q15" s="310">
        <f>'14.RL Investīciju naudas plūsma'!Q8</f>
        <v>0</v>
      </c>
      <c r="R15" s="310">
        <f>'14.RL Investīciju naudas plūsma'!R8</f>
        <v>0</v>
      </c>
      <c r="S15" s="310">
        <f>'14.RL Investīciju naudas plūsma'!S8</f>
        <v>0</v>
      </c>
      <c r="T15" s="310">
        <f>'14.RL Investīciju naudas plūsma'!T8</f>
        <v>0</v>
      </c>
      <c r="U15" s="310">
        <f>'14.RL Investīciju naudas plūsma'!U8</f>
        <v>0</v>
      </c>
      <c r="V15" s="310">
        <f>'14.RL Investīciju naudas plūsma'!V8</f>
        <v>0</v>
      </c>
      <c r="W15" s="310">
        <f>'14.RL Investīciju naudas plūsma'!W8</f>
        <v>0</v>
      </c>
      <c r="X15" s="310">
        <f>'14.RL Investīciju naudas plūsma'!X8</f>
        <v>0</v>
      </c>
      <c r="Y15" s="310">
        <f>'14.RL Investīciju naudas plūsma'!Y8</f>
        <v>0</v>
      </c>
      <c r="Z15" s="310">
        <f>'14.RL Investīciju naudas plūsma'!Z8</f>
        <v>0</v>
      </c>
      <c r="AA15" s="310">
        <f>'14.RL Investīciju naudas plūsma'!AA8</f>
        <v>0</v>
      </c>
      <c r="AB15" s="310">
        <f>'14.RL Investīciju naudas plūsma'!AB8</f>
        <v>0</v>
      </c>
      <c r="AC15" s="310">
        <f>'14.RL Investīciju naudas plūsma'!AC8</f>
        <v>0</v>
      </c>
      <c r="AD15" s="352">
        <f t="shared" si="0"/>
        <v>208000</v>
      </c>
      <c r="AE15" s="254" t="b">
        <f>AD15=SUM(AD16:AD17)</f>
        <v>1</v>
      </c>
    </row>
    <row r="16" spans="1:70" s="196" customFormat="1" ht="12.75" x14ac:dyDescent="0.2">
      <c r="A16" s="209"/>
      <c r="B16" s="69" t="s">
        <v>349</v>
      </c>
      <c r="C16" s="261" t="s">
        <v>350</v>
      </c>
      <c r="D16" s="31" t="s">
        <v>20</v>
      </c>
      <c r="E16" s="353">
        <f>'6.DL Soc.ekon.analīze'!D28</f>
        <v>500</v>
      </c>
      <c r="F16" s="310">
        <f>'6.DL Soc.ekon.analīze'!E28</f>
        <v>500</v>
      </c>
      <c r="G16" s="310">
        <f>'6.DL Soc.ekon.analīze'!F28</f>
        <v>500</v>
      </c>
      <c r="H16" s="310">
        <f>'6.DL Soc.ekon.analīze'!G28</f>
        <v>500</v>
      </c>
      <c r="I16" s="310">
        <f>'6.DL Soc.ekon.analīze'!H28</f>
        <v>500</v>
      </c>
      <c r="J16" s="310">
        <f>'6.DL Soc.ekon.analīze'!I28</f>
        <v>500</v>
      </c>
      <c r="K16" s="310">
        <f>'6.DL Soc.ekon.analīze'!J28</f>
        <v>500</v>
      </c>
      <c r="L16" s="310">
        <f>'6.DL Soc.ekon.analīze'!K28</f>
        <v>500</v>
      </c>
      <c r="M16" s="310">
        <f>'6.DL Soc.ekon.analīze'!L28</f>
        <v>500</v>
      </c>
      <c r="N16" s="310">
        <f>'6.DL Soc.ekon.analīze'!M28</f>
        <v>500</v>
      </c>
      <c r="O16" s="310">
        <f>'6.DL Soc.ekon.analīze'!N28</f>
        <v>500</v>
      </c>
      <c r="P16" s="310">
        <f>'6.DL Soc.ekon.analīze'!O28</f>
        <v>500</v>
      </c>
      <c r="Q16" s="310">
        <f>'6.DL Soc.ekon.analīze'!P28</f>
        <v>500</v>
      </c>
      <c r="R16" s="310">
        <f>'6.DL Soc.ekon.analīze'!Q28</f>
        <v>500</v>
      </c>
      <c r="S16" s="310">
        <f>'6.DL Soc.ekon.analīze'!R28</f>
        <v>500</v>
      </c>
      <c r="T16" s="310">
        <f>'6.DL Soc.ekon.analīze'!S28</f>
        <v>500</v>
      </c>
      <c r="U16" s="310">
        <f>'6.DL Soc.ekon.analīze'!T28</f>
        <v>500</v>
      </c>
      <c r="V16" s="310">
        <f>'6.DL Soc.ekon.analīze'!U28</f>
        <v>500</v>
      </c>
      <c r="W16" s="310">
        <f>'6.DL Soc.ekon.analīze'!V28</f>
        <v>500</v>
      </c>
      <c r="X16" s="310">
        <f>'6.DL Soc.ekon.analīze'!W28</f>
        <v>500</v>
      </c>
      <c r="Y16" s="310">
        <f>'6.DL Soc.ekon.analīze'!X28</f>
        <v>500</v>
      </c>
      <c r="Z16" s="310">
        <f>'6.DL Soc.ekon.analīze'!Y28</f>
        <v>500</v>
      </c>
      <c r="AA16" s="310">
        <f>'6.DL Soc.ekon.analīze'!Z28</f>
        <v>500</v>
      </c>
      <c r="AB16" s="310">
        <f>'6.DL Soc.ekon.analīze'!AA28</f>
        <v>500</v>
      </c>
      <c r="AC16" s="310">
        <f>'6.DL Soc.ekon.analīze'!AB28</f>
        <v>500</v>
      </c>
      <c r="AD16" s="352">
        <f t="shared" si="0"/>
        <v>12500</v>
      </c>
      <c r="AE16" s="254"/>
    </row>
    <row r="17" spans="1:32" s="196" customFormat="1" ht="12.75" x14ac:dyDescent="0.2">
      <c r="A17" s="209"/>
      <c r="B17" s="69" t="s">
        <v>351</v>
      </c>
      <c r="C17" s="261" t="s">
        <v>352</v>
      </c>
      <c r="D17" s="31" t="s">
        <v>20</v>
      </c>
      <c r="E17" s="353">
        <f>E15-E16</f>
        <v>99000</v>
      </c>
      <c r="F17" s="310">
        <f>F15-F16</f>
        <v>83000</v>
      </c>
      <c r="G17" s="310">
        <f t="shared" ref="G17:AC17" si="5">G15-G16</f>
        <v>24500</v>
      </c>
      <c r="H17" s="310">
        <f t="shared" si="5"/>
        <v>-500</v>
      </c>
      <c r="I17" s="310">
        <f t="shared" si="5"/>
        <v>-500</v>
      </c>
      <c r="J17" s="310">
        <f t="shared" si="5"/>
        <v>-500</v>
      </c>
      <c r="K17" s="310">
        <f t="shared" si="5"/>
        <v>-500</v>
      </c>
      <c r="L17" s="310">
        <f t="shared" si="5"/>
        <v>-500</v>
      </c>
      <c r="M17" s="310">
        <f t="shared" si="5"/>
        <v>-500</v>
      </c>
      <c r="N17" s="310">
        <f t="shared" si="5"/>
        <v>-500</v>
      </c>
      <c r="O17" s="310">
        <f t="shared" si="5"/>
        <v>-500</v>
      </c>
      <c r="P17" s="310">
        <f t="shared" si="5"/>
        <v>-500</v>
      </c>
      <c r="Q17" s="310">
        <f t="shared" si="5"/>
        <v>-500</v>
      </c>
      <c r="R17" s="310">
        <f t="shared" si="5"/>
        <v>-500</v>
      </c>
      <c r="S17" s="310">
        <f t="shared" si="5"/>
        <v>-500</v>
      </c>
      <c r="T17" s="310">
        <f t="shared" si="5"/>
        <v>-500</v>
      </c>
      <c r="U17" s="310">
        <f t="shared" si="5"/>
        <v>-500</v>
      </c>
      <c r="V17" s="310">
        <f t="shared" si="5"/>
        <v>-500</v>
      </c>
      <c r="W17" s="310">
        <f t="shared" si="5"/>
        <v>-500</v>
      </c>
      <c r="X17" s="310">
        <f t="shared" si="5"/>
        <v>-500</v>
      </c>
      <c r="Y17" s="310">
        <f t="shared" si="5"/>
        <v>-500</v>
      </c>
      <c r="Z17" s="310">
        <f t="shared" si="5"/>
        <v>-500</v>
      </c>
      <c r="AA17" s="310">
        <f t="shared" si="5"/>
        <v>-500</v>
      </c>
      <c r="AB17" s="310">
        <f t="shared" si="5"/>
        <v>-500</v>
      </c>
      <c r="AC17" s="310">
        <f t="shared" si="5"/>
        <v>-500</v>
      </c>
      <c r="AD17" s="352">
        <f t="shared" si="0"/>
        <v>195500</v>
      </c>
      <c r="AE17" s="254"/>
    </row>
    <row r="18" spans="1:32" s="196" customFormat="1" ht="12.75" x14ac:dyDescent="0.2">
      <c r="A18" s="209"/>
      <c r="B18" s="69" t="s">
        <v>244</v>
      </c>
      <c r="C18" s="260" t="s">
        <v>108</v>
      </c>
      <c r="D18" s="31" t="s">
        <v>20</v>
      </c>
      <c r="E18" s="353">
        <f>'14.RL Investīciju naudas plūsma'!E7</f>
        <v>0</v>
      </c>
      <c r="F18" s="310">
        <f>'14.RL Investīciju naudas plūsma'!F7</f>
        <v>0</v>
      </c>
      <c r="G18" s="310">
        <f>'14.RL Investīciju naudas plūsma'!G7</f>
        <v>0</v>
      </c>
      <c r="H18" s="310">
        <f>'14.RL Investīciju naudas plūsma'!H7</f>
        <v>0</v>
      </c>
      <c r="I18" s="310">
        <f>'14.RL Investīciju naudas plūsma'!I7</f>
        <v>0</v>
      </c>
      <c r="J18" s="310">
        <f>'14.RL Investīciju naudas plūsma'!J7</f>
        <v>0</v>
      </c>
      <c r="K18" s="310">
        <f>'14.RL Investīciju naudas plūsma'!K7</f>
        <v>0</v>
      </c>
      <c r="L18" s="310">
        <f>'14.RL Investīciju naudas plūsma'!L7</f>
        <v>0</v>
      </c>
      <c r="M18" s="310">
        <f>'14.RL Investīciju naudas plūsma'!M7</f>
        <v>0</v>
      </c>
      <c r="N18" s="310">
        <f>'14.RL Investīciju naudas plūsma'!N7</f>
        <v>0</v>
      </c>
      <c r="O18" s="310">
        <f>'14.RL Investīciju naudas plūsma'!O7</f>
        <v>0</v>
      </c>
      <c r="P18" s="310">
        <f>'14.RL Investīciju naudas plūsma'!P7</f>
        <v>0</v>
      </c>
      <c r="Q18" s="310">
        <f>'14.RL Investīciju naudas plūsma'!Q7</f>
        <v>0</v>
      </c>
      <c r="R18" s="310">
        <f>'14.RL Investīciju naudas plūsma'!R7</f>
        <v>0</v>
      </c>
      <c r="S18" s="310">
        <f>'14.RL Investīciju naudas plūsma'!S7</f>
        <v>0</v>
      </c>
      <c r="T18" s="310">
        <f>'14.RL Investīciju naudas plūsma'!T7</f>
        <v>0</v>
      </c>
      <c r="U18" s="310">
        <f>'14.RL Investīciju naudas plūsma'!U7</f>
        <v>0</v>
      </c>
      <c r="V18" s="310">
        <f>'14.RL Investīciju naudas plūsma'!V7</f>
        <v>0</v>
      </c>
      <c r="W18" s="310">
        <f>'14.RL Investīciju naudas plūsma'!W7</f>
        <v>0</v>
      </c>
      <c r="X18" s="310">
        <f>'14.RL Investīciju naudas plūsma'!X7</f>
        <v>0</v>
      </c>
      <c r="Y18" s="310">
        <f>'14.RL Investīciju naudas plūsma'!Y7</f>
        <v>0</v>
      </c>
      <c r="Z18" s="310">
        <f>'14.RL Investīciju naudas plūsma'!Z7</f>
        <v>0</v>
      </c>
      <c r="AA18" s="310">
        <f>'14.RL Investīciju naudas plūsma'!AA7</f>
        <v>0</v>
      </c>
      <c r="AB18" s="310">
        <f>'14.RL Investīciju naudas plūsma'!AB7</f>
        <v>0</v>
      </c>
      <c r="AC18" s="310">
        <f>'14.RL Investīciju naudas plūsma'!AC7</f>
        <v>0</v>
      </c>
      <c r="AD18" s="352">
        <f t="shared" si="0"/>
        <v>0</v>
      </c>
      <c r="AE18" s="254" t="b">
        <f>AD18=SUM(AD19:AD20)</f>
        <v>1</v>
      </c>
    </row>
    <row r="19" spans="1:32" s="263" customFormat="1" ht="12.75" x14ac:dyDescent="0.2">
      <c r="A19" s="213"/>
      <c r="B19" s="262" t="s">
        <v>353</v>
      </c>
      <c r="C19" s="261" t="s">
        <v>350</v>
      </c>
      <c r="D19" s="31" t="s">
        <v>20</v>
      </c>
      <c r="E19" s="353">
        <f>'6.DL Soc.ekon.analīze'!D27</f>
        <v>1500</v>
      </c>
      <c r="F19" s="310">
        <f>'6.DL Soc.ekon.analīze'!E27</f>
        <v>1500</v>
      </c>
      <c r="G19" s="310">
        <f>'6.DL Soc.ekon.analīze'!F27</f>
        <v>1500</v>
      </c>
      <c r="H19" s="310">
        <f>'6.DL Soc.ekon.analīze'!G27</f>
        <v>1500</v>
      </c>
      <c r="I19" s="310">
        <f>'6.DL Soc.ekon.analīze'!H27</f>
        <v>1500</v>
      </c>
      <c r="J19" s="310">
        <f>'6.DL Soc.ekon.analīze'!I27</f>
        <v>1500</v>
      </c>
      <c r="K19" s="310">
        <f>'6.DL Soc.ekon.analīze'!J27</f>
        <v>1500</v>
      </c>
      <c r="L19" s="310">
        <f>'6.DL Soc.ekon.analīze'!K27</f>
        <v>1500</v>
      </c>
      <c r="M19" s="310">
        <f>'6.DL Soc.ekon.analīze'!L27</f>
        <v>1500</v>
      </c>
      <c r="N19" s="310">
        <f>'6.DL Soc.ekon.analīze'!M27</f>
        <v>1500</v>
      </c>
      <c r="O19" s="310">
        <f>'6.DL Soc.ekon.analīze'!N27</f>
        <v>1500</v>
      </c>
      <c r="P19" s="310">
        <f>'6.DL Soc.ekon.analīze'!O27</f>
        <v>1500</v>
      </c>
      <c r="Q19" s="310">
        <f>'6.DL Soc.ekon.analīze'!P27</f>
        <v>1500</v>
      </c>
      <c r="R19" s="310">
        <f>'6.DL Soc.ekon.analīze'!Q27</f>
        <v>1500</v>
      </c>
      <c r="S19" s="310">
        <f>'6.DL Soc.ekon.analīze'!R27</f>
        <v>1500</v>
      </c>
      <c r="T19" s="310">
        <f>'6.DL Soc.ekon.analīze'!S27</f>
        <v>1500</v>
      </c>
      <c r="U19" s="310">
        <f>'6.DL Soc.ekon.analīze'!T27</f>
        <v>1500</v>
      </c>
      <c r="V19" s="310">
        <f>'6.DL Soc.ekon.analīze'!U27</f>
        <v>1500</v>
      </c>
      <c r="W19" s="310">
        <f>'6.DL Soc.ekon.analīze'!V27</f>
        <v>1500</v>
      </c>
      <c r="X19" s="310">
        <f>'6.DL Soc.ekon.analīze'!W27</f>
        <v>1500</v>
      </c>
      <c r="Y19" s="310">
        <f>'6.DL Soc.ekon.analīze'!X27</f>
        <v>1500</v>
      </c>
      <c r="Z19" s="310">
        <f>'6.DL Soc.ekon.analīze'!Y27</f>
        <v>1500</v>
      </c>
      <c r="AA19" s="310">
        <f>'6.DL Soc.ekon.analīze'!Z27</f>
        <v>1500</v>
      </c>
      <c r="AB19" s="310">
        <f>'6.DL Soc.ekon.analīze'!AA27</f>
        <v>1500</v>
      </c>
      <c r="AC19" s="310">
        <f>'6.DL Soc.ekon.analīze'!AB27</f>
        <v>1500</v>
      </c>
      <c r="AD19" s="352">
        <f t="shared" si="0"/>
        <v>37500</v>
      </c>
    </row>
    <row r="20" spans="1:32" s="263" customFormat="1" ht="12.75" x14ac:dyDescent="0.2">
      <c r="A20" s="213"/>
      <c r="B20" s="262" t="s">
        <v>354</v>
      </c>
      <c r="C20" s="261" t="s">
        <v>352</v>
      </c>
      <c r="D20" s="31" t="s">
        <v>20</v>
      </c>
      <c r="E20" s="353">
        <f>E18-E19</f>
        <v>-1500</v>
      </c>
      <c r="F20" s="310">
        <f>F18-F19</f>
        <v>-1500</v>
      </c>
      <c r="G20" s="310">
        <f>G18-G19</f>
        <v>-1500</v>
      </c>
      <c r="H20" s="310">
        <f>H18-H19</f>
        <v>-1500</v>
      </c>
      <c r="I20" s="310">
        <f>I18-I19</f>
        <v>-1500</v>
      </c>
      <c r="J20" s="310">
        <f t="shared" ref="J20:AC20" si="6">J18-J19</f>
        <v>-1500</v>
      </c>
      <c r="K20" s="310">
        <f t="shared" si="6"/>
        <v>-1500</v>
      </c>
      <c r="L20" s="310">
        <f t="shared" si="6"/>
        <v>-1500</v>
      </c>
      <c r="M20" s="310">
        <f t="shared" si="6"/>
        <v>-1500</v>
      </c>
      <c r="N20" s="310">
        <f t="shared" si="6"/>
        <v>-1500</v>
      </c>
      <c r="O20" s="310">
        <f t="shared" si="6"/>
        <v>-1500</v>
      </c>
      <c r="P20" s="310">
        <f t="shared" si="6"/>
        <v>-1500</v>
      </c>
      <c r="Q20" s="310">
        <f t="shared" si="6"/>
        <v>-1500</v>
      </c>
      <c r="R20" s="310">
        <f t="shared" si="6"/>
        <v>-1500</v>
      </c>
      <c r="S20" s="310">
        <f t="shared" si="6"/>
        <v>-1500</v>
      </c>
      <c r="T20" s="310">
        <f t="shared" si="6"/>
        <v>-1500</v>
      </c>
      <c r="U20" s="310">
        <f t="shared" si="6"/>
        <v>-1500</v>
      </c>
      <c r="V20" s="310">
        <f t="shared" si="6"/>
        <v>-1500</v>
      </c>
      <c r="W20" s="310">
        <f t="shared" si="6"/>
        <v>-1500</v>
      </c>
      <c r="X20" s="310">
        <f t="shared" si="6"/>
        <v>-1500</v>
      </c>
      <c r="Y20" s="310">
        <f t="shared" si="6"/>
        <v>-1500</v>
      </c>
      <c r="Z20" s="310">
        <f t="shared" si="6"/>
        <v>-1500</v>
      </c>
      <c r="AA20" s="310">
        <f t="shared" si="6"/>
        <v>-1500</v>
      </c>
      <c r="AB20" s="310">
        <f t="shared" si="6"/>
        <v>-1500</v>
      </c>
      <c r="AC20" s="310">
        <f t="shared" si="6"/>
        <v>-1500</v>
      </c>
      <c r="AD20" s="352">
        <f t="shared" si="0"/>
        <v>-37500</v>
      </c>
    </row>
    <row r="21" spans="1:32" s="256" customFormat="1" ht="12.75" x14ac:dyDescent="0.2">
      <c r="A21" s="212"/>
      <c r="B21" s="711">
        <v>6</v>
      </c>
      <c r="C21" s="264" t="s">
        <v>355</v>
      </c>
      <c r="D21" s="181" t="s">
        <v>20</v>
      </c>
      <c r="E21" s="351">
        <f>SUM(E22:E24)</f>
        <v>781.8</v>
      </c>
      <c r="F21" s="312">
        <f t="shared" ref="F21:AC21" si="7">SUM(F22:F24)</f>
        <v>781.8</v>
      </c>
      <c r="G21" s="312">
        <f t="shared" si="7"/>
        <v>781.8</v>
      </c>
      <c r="H21" s="312">
        <f t="shared" si="7"/>
        <v>781.8</v>
      </c>
      <c r="I21" s="312">
        <f t="shared" si="7"/>
        <v>781.8</v>
      </c>
      <c r="J21" s="312">
        <f t="shared" si="7"/>
        <v>781.8</v>
      </c>
      <c r="K21" s="312">
        <f t="shared" si="7"/>
        <v>781.8</v>
      </c>
      <c r="L21" s="312">
        <f t="shared" si="7"/>
        <v>781.8</v>
      </c>
      <c r="M21" s="312">
        <f t="shared" si="7"/>
        <v>781.8</v>
      </c>
      <c r="N21" s="312">
        <f t="shared" si="7"/>
        <v>781.8</v>
      </c>
      <c r="O21" s="312">
        <f t="shared" si="7"/>
        <v>781.8</v>
      </c>
      <c r="P21" s="312">
        <f t="shared" si="7"/>
        <v>781.8</v>
      </c>
      <c r="Q21" s="312">
        <f t="shared" si="7"/>
        <v>781.8</v>
      </c>
      <c r="R21" s="312">
        <f t="shared" si="7"/>
        <v>781.8</v>
      </c>
      <c r="S21" s="312">
        <f t="shared" si="7"/>
        <v>781.8</v>
      </c>
      <c r="T21" s="312">
        <f t="shared" si="7"/>
        <v>781.8</v>
      </c>
      <c r="U21" s="312">
        <f t="shared" si="7"/>
        <v>781.8</v>
      </c>
      <c r="V21" s="312">
        <f t="shared" si="7"/>
        <v>781.8</v>
      </c>
      <c r="W21" s="312">
        <f t="shared" si="7"/>
        <v>781.8</v>
      </c>
      <c r="X21" s="312">
        <f t="shared" si="7"/>
        <v>781.8</v>
      </c>
      <c r="Y21" s="312">
        <f t="shared" si="7"/>
        <v>781.8</v>
      </c>
      <c r="Z21" s="312">
        <f t="shared" si="7"/>
        <v>781.8</v>
      </c>
      <c r="AA21" s="312">
        <f t="shared" si="7"/>
        <v>781.8</v>
      </c>
      <c r="AB21" s="312">
        <f t="shared" si="7"/>
        <v>781.8</v>
      </c>
      <c r="AC21" s="311">
        <f t="shared" si="7"/>
        <v>781.8</v>
      </c>
      <c r="AD21" s="311">
        <f t="shared" si="0"/>
        <v>19544.999999999993</v>
      </c>
      <c r="AF21" s="265"/>
    </row>
    <row r="22" spans="1:32" s="196" customFormat="1" ht="25.5" x14ac:dyDescent="0.2">
      <c r="A22" s="209"/>
      <c r="B22" s="707" t="s">
        <v>356</v>
      </c>
      <c r="C22" s="267" t="s">
        <v>357</v>
      </c>
      <c r="D22" s="31" t="s">
        <v>20</v>
      </c>
      <c r="E22" s="353">
        <f>E16*list!$K2</f>
        <v>120.45</v>
      </c>
      <c r="F22" s="310">
        <f>F16*list!$K2</f>
        <v>120.45</v>
      </c>
      <c r="G22" s="310">
        <f>G16*list!$K2</f>
        <v>120.45</v>
      </c>
      <c r="H22" s="310">
        <f>H16*list!$K2</f>
        <v>120.45</v>
      </c>
      <c r="I22" s="310">
        <f>I16*list!$K2</f>
        <v>120.45</v>
      </c>
      <c r="J22" s="310">
        <f>J16*list!$K2</f>
        <v>120.45</v>
      </c>
      <c r="K22" s="310">
        <f>K16*list!$K2</f>
        <v>120.45</v>
      </c>
      <c r="L22" s="310">
        <f>L16*list!$K2</f>
        <v>120.45</v>
      </c>
      <c r="M22" s="310">
        <f>M16*list!$K2</f>
        <v>120.45</v>
      </c>
      <c r="N22" s="310">
        <f>N16*list!$K2</f>
        <v>120.45</v>
      </c>
      <c r="O22" s="310">
        <f>O16*list!$K2</f>
        <v>120.45</v>
      </c>
      <c r="P22" s="310">
        <f>P16*list!$K2</f>
        <v>120.45</v>
      </c>
      <c r="Q22" s="310">
        <f>Q16*list!$K2</f>
        <v>120.45</v>
      </c>
      <c r="R22" s="310">
        <f>R16*list!$K2</f>
        <v>120.45</v>
      </c>
      <c r="S22" s="310">
        <f>S16*list!$K2</f>
        <v>120.45</v>
      </c>
      <c r="T22" s="310">
        <f>T16*list!$K2</f>
        <v>120.45</v>
      </c>
      <c r="U22" s="310">
        <f>U16*list!$K2</f>
        <v>120.45</v>
      </c>
      <c r="V22" s="310">
        <f>V16*list!$K2</f>
        <v>120.45</v>
      </c>
      <c r="W22" s="310">
        <f>W16*list!$K2</f>
        <v>120.45</v>
      </c>
      <c r="X22" s="310">
        <f>X16*list!$K2</f>
        <v>120.45</v>
      </c>
      <c r="Y22" s="310">
        <f>Y16*list!$K2</f>
        <v>120.45</v>
      </c>
      <c r="Z22" s="310">
        <f>Z16*list!$K2</f>
        <v>120.45</v>
      </c>
      <c r="AA22" s="310">
        <f>AA16*list!$K2</f>
        <v>120.45</v>
      </c>
      <c r="AB22" s="310">
        <f>AB16*list!$K2</f>
        <v>120.45</v>
      </c>
      <c r="AC22" s="310">
        <f>AC16*list!$K2</f>
        <v>120.45</v>
      </c>
      <c r="AD22" s="355">
        <f t="shared" si="0"/>
        <v>3011.2499999999991</v>
      </c>
    </row>
    <row r="23" spans="1:32" s="196" customFormat="1" ht="25.5" x14ac:dyDescent="0.2">
      <c r="A23" s="209"/>
      <c r="B23" s="707" t="s">
        <v>358</v>
      </c>
      <c r="C23" s="267" t="s">
        <v>359</v>
      </c>
      <c r="D23" s="31" t="s">
        <v>20</v>
      </c>
      <c r="E23" s="353">
        <f>E19*list!$K2</f>
        <v>361.35</v>
      </c>
      <c r="F23" s="310">
        <f>F19*list!$K2</f>
        <v>361.35</v>
      </c>
      <c r="G23" s="310">
        <f>G19*list!$K2</f>
        <v>361.35</v>
      </c>
      <c r="H23" s="310">
        <f>H19*list!$K2</f>
        <v>361.35</v>
      </c>
      <c r="I23" s="310">
        <f>I19*list!$K2</f>
        <v>361.35</v>
      </c>
      <c r="J23" s="310">
        <f>J19*list!$K2</f>
        <v>361.35</v>
      </c>
      <c r="K23" s="310">
        <f>K19*list!$K2</f>
        <v>361.35</v>
      </c>
      <c r="L23" s="310">
        <f>L19*list!$K2</f>
        <v>361.35</v>
      </c>
      <c r="M23" s="310">
        <f>M19*list!$K2</f>
        <v>361.35</v>
      </c>
      <c r="N23" s="310">
        <f>N19*list!$K2</f>
        <v>361.35</v>
      </c>
      <c r="O23" s="310">
        <f>O19*list!$K2</f>
        <v>361.35</v>
      </c>
      <c r="P23" s="310">
        <f>P19*list!$K2</f>
        <v>361.35</v>
      </c>
      <c r="Q23" s="310">
        <f>Q19*list!$K2</f>
        <v>361.35</v>
      </c>
      <c r="R23" s="310">
        <f>R19*list!$K2</f>
        <v>361.35</v>
      </c>
      <c r="S23" s="310">
        <f>S19*list!$K2</f>
        <v>361.35</v>
      </c>
      <c r="T23" s="310">
        <f>T19*list!$K2</f>
        <v>361.35</v>
      </c>
      <c r="U23" s="310">
        <f>U19*list!$K2</f>
        <v>361.35</v>
      </c>
      <c r="V23" s="310">
        <f>V19*list!$K2</f>
        <v>361.35</v>
      </c>
      <c r="W23" s="310">
        <f>W19*list!$K2</f>
        <v>361.35</v>
      </c>
      <c r="X23" s="310">
        <f>X19*list!$K2</f>
        <v>361.35</v>
      </c>
      <c r="Y23" s="310">
        <f>Y19*list!$K2</f>
        <v>361.35</v>
      </c>
      <c r="Z23" s="310">
        <f>Z19*list!$K2</f>
        <v>361.35</v>
      </c>
      <c r="AA23" s="310">
        <f>AA19*list!$K2</f>
        <v>361.35</v>
      </c>
      <c r="AB23" s="310">
        <f>AB19*list!$K2</f>
        <v>361.35</v>
      </c>
      <c r="AC23" s="310">
        <f>AC19*list!$K2</f>
        <v>361.35</v>
      </c>
      <c r="AD23" s="355">
        <f t="shared" si="0"/>
        <v>9033.7500000000036</v>
      </c>
    </row>
    <row r="24" spans="1:32" s="196" customFormat="1" ht="12.75" x14ac:dyDescent="0.2">
      <c r="A24" s="209"/>
      <c r="B24" s="707" t="s">
        <v>360</v>
      </c>
      <c r="C24" s="257" t="s">
        <v>317</v>
      </c>
      <c r="D24" s="31" t="s">
        <v>20</v>
      </c>
      <c r="E24" s="353">
        <f>'6.DL Soc.ekon.analīze'!D29</f>
        <v>300</v>
      </c>
      <c r="F24" s="310">
        <f>'6.DL Soc.ekon.analīze'!E29</f>
        <v>300</v>
      </c>
      <c r="G24" s="310">
        <f>'6.DL Soc.ekon.analīze'!F29</f>
        <v>300</v>
      </c>
      <c r="H24" s="310">
        <f>'6.DL Soc.ekon.analīze'!G29</f>
        <v>300</v>
      </c>
      <c r="I24" s="310">
        <f>'6.DL Soc.ekon.analīze'!H29</f>
        <v>300</v>
      </c>
      <c r="J24" s="310">
        <f>'6.DL Soc.ekon.analīze'!I29</f>
        <v>300</v>
      </c>
      <c r="K24" s="310">
        <f>'6.DL Soc.ekon.analīze'!J29</f>
        <v>300</v>
      </c>
      <c r="L24" s="310">
        <f>'6.DL Soc.ekon.analīze'!K29</f>
        <v>300</v>
      </c>
      <c r="M24" s="310">
        <f>'6.DL Soc.ekon.analīze'!L29</f>
        <v>300</v>
      </c>
      <c r="N24" s="310">
        <f>'6.DL Soc.ekon.analīze'!M29</f>
        <v>300</v>
      </c>
      <c r="O24" s="310">
        <f>'6.DL Soc.ekon.analīze'!N29</f>
        <v>300</v>
      </c>
      <c r="P24" s="310">
        <f>'6.DL Soc.ekon.analīze'!O29</f>
        <v>300</v>
      </c>
      <c r="Q24" s="310">
        <f>'6.DL Soc.ekon.analīze'!P29</f>
        <v>300</v>
      </c>
      <c r="R24" s="310">
        <f>'6.DL Soc.ekon.analīze'!Q29</f>
        <v>300</v>
      </c>
      <c r="S24" s="310">
        <f>'6.DL Soc.ekon.analīze'!R29</f>
        <v>300</v>
      </c>
      <c r="T24" s="310">
        <f>'6.DL Soc.ekon.analīze'!S29</f>
        <v>300</v>
      </c>
      <c r="U24" s="310">
        <f>'6.DL Soc.ekon.analīze'!T29</f>
        <v>300</v>
      </c>
      <c r="V24" s="310">
        <f>'6.DL Soc.ekon.analīze'!U29</f>
        <v>300</v>
      </c>
      <c r="W24" s="310">
        <f>'6.DL Soc.ekon.analīze'!V29</f>
        <v>300</v>
      </c>
      <c r="X24" s="310">
        <f>'6.DL Soc.ekon.analīze'!W29</f>
        <v>300</v>
      </c>
      <c r="Y24" s="310">
        <f>'6.DL Soc.ekon.analīze'!X29</f>
        <v>300</v>
      </c>
      <c r="Z24" s="310">
        <f>'6.DL Soc.ekon.analīze'!Y29</f>
        <v>300</v>
      </c>
      <c r="AA24" s="310">
        <f>'6.DL Soc.ekon.analīze'!Z29</f>
        <v>300</v>
      </c>
      <c r="AB24" s="310">
        <f>'6.DL Soc.ekon.analīze'!AA29</f>
        <v>300</v>
      </c>
      <c r="AC24" s="310">
        <f>'6.DL Soc.ekon.analīze'!AB29</f>
        <v>300</v>
      </c>
      <c r="AD24" s="355">
        <f t="shared" si="0"/>
        <v>7500</v>
      </c>
    </row>
    <row r="25" spans="1:32" s="256" customFormat="1" ht="12.75" x14ac:dyDescent="0.2">
      <c r="A25" s="212"/>
      <c r="B25" s="711">
        <v>7</v>
      </c>
      <c r="C25" s="711" t="s">
        <v>318</v>
      </c>
      <c r="D25" s="181" t="s">
        <v>20</v>
      </c>
      <c r="E25" s="351">
        <f>E13+E14-E21</f>
        <v>100218.2</v>
      </c>
      <c r="F25" s="312">
        <f t="shared" ref="F25:AC25" si="8">F13+F14-F21</f>
        <v>84218.2</v>
      </c>
      <c r="G25" s="312">
        <f t="shared" si="8"/>
        <v>25718.2</v>
      </c>
      <c r="H25" s="312">
        <f t="shared" si="8"/>
        <v>718.2</v>
      </c>
      <c r="I25" s="312">
        <f t="shared" si="8"/>
        <v>718.2</v>
      </c>
      <c r="J25" s="312">
        <f t="shared" si="8"/>
        <v>718.2</v>
      </c>
      <c r="K25" s="312">
        <f t="shared" si="8"/>
        <v>718.2</v>
      </c>
      <c r="L25" s="312">
        <f t="shared" si="8"/>
        <v>718.2</v>
      </c>
      <c r="M25" s="312">
        <f t="shared" si="8"/>
        <v>718.2</v>
      </c>
      <c r="N25" s="312">
        <f t="shared" si="8"/>
        <v>718.2</v>
      </c>
      <c r="O25" s="312">
        <f t="shared" si="8"/>
        <v>718.2</v>
      </c>
      <c r="P25" s="312">
        <f t="shared" si="8"/>
        <v>718.2</v>
      </c>
      <c r="Q25" s="312">
        <f t="shared" si="8"/>
        <v>718.2</v>
      </c>
      <c r="R25" s="312">
        <f t="shared" si="8"/>
        <v>718.2</v>
      </c>
      <c r="S25" s="312">
        <f t="shared" si="8"/>
        <v>718.2</v>
      </c>
      <c r="T25" s="312">
        <f t="shared" si="8"/>
        <v>718.2</v>
      </c>
      <c r="U25" s="312">
        <f t="shared" si="8"/>
        <v>718.2</v>
      </c>
      <c r="V25" s="312">
        <f t="shared" si="8"/>
        <v>718.2</v>
      </c>
      <c r="W25" s="312">
        <f t="shared" si="8"/>
        <v>718.2</v>
      </c>
      <c r="X25" s="312">
        <f t="shared" si="8"/>
        <v>718.2</v>
      </c>
      <c r="Y25" s="312">
        <f t="shared" si="8"/>
        <v>718.2</v>
      </c>
      <c r="Z25" s="312">
        <f t="shared" si="8"/>
        <v>718.2</v>
      </c>
      <c r="AA25" s="312">
        <f t="shared" si="8"/>
        <v>718.2</v>
      </c>
      <c r="AB25" s="312">
        <f t="shared" si="8"/>
        <v>718.2</v>
      </c>
      <c r="AC25" s="311">
        <f t="shared" si="8"/>
        <v>718.2</v>
      </c>
      <c r="AD25" s="311">
        <f t="shared" si="0"/>
        <v>225955.00000000026</v>
      </c>
    </row>
    <row r="26" spans="1:32" s="256" customFormat="1" ht="12.75" x14ac:dyDescent="0.2">
      <c r="A26" s="220"/>
      <c r="B26" s="221">
        <v>8</v>
      </c>
      <c r="C26" s="222" t="s">
        <v>89</v>
      </c>
      <c r="D26" s="224" t="s">
        <v>20</v>
      </c>
      <c r="E26" s="356">
        <f>E12-E25</f>
        <v>-80718.2</v>
      </c>
      <c r="F26" s="314">
        <f>F12-F25</f>
        <v>-63718.2</v>
      </c>
      <c r="G26" s="314">
        <f t="shared" ref="G26:AC26" si="9">G12-G25</f>
        <v>-8198.2000000000007</v>
      </c>
      <c r="H26" s="314">
        <f t="shared" si="9"/>
        <v>12799.8</v>
      </c>
      <c r="I26" s="314">
        <f t="shared" si="9"/>
        <v>12797.8</v>
      </c>
      <c r="J26" s="314">
        <f t="shared" si="9"/>
        <v>12795.8</v>
      </c>
      <c r="K26" s="314">
        <f t="shared" si="9"/>
        <v>12793.8</v>
      </c>
      <c r="L26" s="314">
        <f t="shared" si="9"/>
        <v>12791.8</v>
      </c>
      <c r="M26" s="314">
        <f t="shared" si="9"/>
        <v>12789.8</v>
      </c>
      <c r="N26" s="314">
        <f t="shared" si="9"/>
        <v>12787.8</v>
      </c>
      <c r="O26" s="314">
        <f t="shared" si="9"/>
        <v>12785.8</v>
      </c>
      <c r="P26" s="314">
        <f t="shared" si="9"/>
        <v>12783.8</v>
      </c>
      <c r="Q26" s="314">
        <f t="shared" si="9"/>
        <v>12781.8</v>
      </c>
      <c r="R26" s="314">
        <f t="shared" si="9"/>
        <v>12781.8</v>
      </c>
      <c r="S26" s="314">
        <f t="shared" si="9"/>
        <v>12781.8</v>
      </c>
      <c r="T26" s="314">
        <f t="shared" si="9"/>
        <v>12781.8</v>
      </c>
      <c r="U26" s="314">
        <f t="shared" si="9"/>
        <v>12781.8</v>
      </c>
      <c r="V26" s="314">
        <f t="shared" si="9"/>
        <v>12781.8</v>
      </c>
      <c r="W26" s="314">
        <f t="shared" si="9"/>
        <v>12781.8</v>
      </c>
      <c r="X26" s="314">
        <f t="shared" si="9"/>
        <v>12781.8</v>
      </c>
      <c r="Y26" s="314">
        <f t="shared" si="9"/>
        <v>12781.8</v>
      </c>
      <c r="Z26" s="314">
        <f t="shared" si="9"/>
        <v>12781.8</v>
      </c>
      <c r="AA26" s="314">
        <f t="shared" si="9"/>
        <v>12781.8</v>
      </c>
      <c r="AB26" s="314">
        <f t="shared" si="9"/>
        <v>12781.8</v>
      </c>
      <c r="AC26" s="314">
        <f t="shared" si="9"/>
        <v>12781.8</v>
      </c>
      <c r="AD26" s="357">
        <f t="shared" si="0"/>
        <v>128655.00000000001</v>
      </c>
    </row>
    <row r="27" spans="1:32" s="196" customFormat="1" ht="12.75" x14ac:dyDescent="0.2"/>
    <row r="28" spans="1:32" s="196" customFormat="1" ht="12.75" x14ac:dyDescent="0.2">
      <c r="A28" s="21"/>
      <c r="B28" s="21"/>
      <c r="C28" s="21"/>
      <c r="D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3"/>
    </row>
  </sheetData>
  <sheetProtection algorithmName="SHA-512" hashValue="J1rbUul4AaLxkvLIg+GisCQBwVYyDXqgnUottZzMEWZif85qvjzb8AS2SU413h5mqDJgjC8LZJXZ9cySfRkHug==" saltValue="vIal+l6iILblQINVLzc00Q==" spinCount="100000" sheet="1" objects="1" scenarios="1" formatCells="0" formatColumns="0" formatRows="0"/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</sheetPr>
  <dimension ref="A1:AJ40"/>
  <sheetViews>
    <sheetView workbookViewId="0">
      <selection activeCell="J29" sqref="J29"/>
    </sheetView>
  </sheetViews>
  <sheetFormatPr defaultColWidth="9.140625" defaultRowHeight="15" x14ac:dyDescent="0.25"/>
  <cols>
    <col min="1" max="3" width="9.140625" style="428"/>
    <col min="4" max="4" width="31.140625" style="428" customWidth="1"/>
    <col min="5" max="5" width="9.140625" style="428"/>
    <col min="6" max="6" width="12.140625" style="428" customWidth="1"/>
    <col min="7" max="7" width="13.5703125" style="428" bestFit="1" customWidth="1"/>
    <col min="8" max="8" width="11.5703125" style="428" customWidth="1"/>
    <col min="9" max="9" width="13.5703125" style="428" bestFit="1" customWidth="1"/>
    <col min="10" max="17" width="10" style="428" bestFit="1" customWidth="1"/>
    <col min="18" max="30" width="9.140625" style="428"/>
    <col min="31" max="31" width="12.140625" style="428" customWidth="1"/>
    <col min="32" max="16384" width="9.140625" style="428"/>
  </cols>
  <sheetData>
    <row r="1" spans="1:36" s="25" customFormat="1" ht="27" customHeight="1" x14ac:dyDescent="0.2">
      <c r="A1" s="1017" t="s">
        <v>362</v>
      </c>
      <c r="B1" s="1017"/>
      <c r="C1" s="1017"/>
      <c r="D1" s="1017"/>
      <c r="E1" s="1017"/>
      <c r="F1" s="1017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6" s="32" customFormat="1" ht="24.95" customHeight="1" x14ac:dyDescent="0.35">
      <c r="A2" s="8" t="s">
        <v>140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6" s="25" customFormat="1" ht="12.75" x14ac:dyDescent="0.2">
      <c r="A3" s="83"/>
      <c r="B3" s="12"/>
      <c r="C3" s="12"/>
      <c r="D3" s="11"/>
      <c r="E3" s="11"/>
      <c r="F3" s="84">
        <v>0</v>
      </c>
      <c r="G3" s="84">
        <f>1+F3</f>
        <v>1</v>
      </c>
      <c r="H3" s="84">
        <f t="shared" ref="H3:X3" si="0">1+G3</f>
        <v>2</v>
      </c>
      <c r="I3" s="84">
        <f t="shared" si="0"/>
        <v>3</v>
      </c>
      <c r="J3" s="84">
        <f t="shared" si="0"/>
        <v>4</v>
      </c>
      <c r="K3" s="84">
        <f t="shared" si="0"/>
        <v>5</v>
      </c>
      <c r="L3" s="84">
        <f t="shared" si="0"/>
        <v>6</v>
      </c>
      <c r="M3" s="84">
        <f t="shared" si="0"/>
        <v>7</v>
      </c>
      <c r="N3" s="84">
        <f t="shared" si="0"/>
        <v>8</v>
      </c>
      <c r="O3" s="84">
        <f t="shared" si="0"/>
        <v>9</v>
      </c>
      <c r="P3" s="84">
        <f t="shared" si="0"/>
        <v>10</v>
      </c>
      <c r="Q3" s="84">
        <f t="shared" si="0"/>
        <v>11</v>
      </c>
      <c r="R3" s="84">
        <f t="shared" si="0"/>
        <v>12</v>
      </c>
      <c r="S3" s="84">
        <f t="shared" si="0"/>
        <v>13</v>
      </c>
      <c r="T3" s="84">
        <f t="shared" si="0"/>
        <v>14</v>
      </c>
      <c r="U3" s="84">
        <f t="shared" si="0"/>
        <v>15</v>
      </c>
      <c r="V3" s="84">
        <f t="shared" si="0"/>
        <v>16</v>
      </c>
      <c r="W3" s="84">
        <f t="shared" si="0"/>
        <v>17</v>
      </c>
      <c r="X3" s="84">
        <f t="shared" si="0"/>
        <v>18</v>
      </c>
      <c r="Y3" s="84">
        <f t="shared" ref="Y3:AD3" si="1">1+X3</f>
        <v>19</v>
      </c>
      <c r="Z3" s="84">
        <f t="shared" si="1"/>
        <v>20</v>
      </c>
      <c r="AA3" s="84">
        <f t="shared" si="1"/>
        <v>21</v>
      </c>
      <c r="AB3" s="84">
        <f t="shared" si="1"/>
        <v>22</v>
      </c>
      <c r="AC3" s="84">
        <f t="shared" si="1"/>
        <v>23</v>
      </c>
      <c r="AD3" s="84">
        <f t="shared" si="1"/>
        <v>24</v>
      </c>
      <c r="AE3" s="85" t="s">
        <v>40</v>
      </c>
      <c r="AF3" s="9"/>
      <c r="AG3" s="86"/>
      <c r="AH3" s="86"/>
      <c r="AI3" s="86"/>
      <c r="AJ3" s="86"/>
    </row>
    <row r="4" spans="1:36" s="35" customFormat="1" ht="12.75" x14ac:dyDescent="0.2">
      <c r="A4" s="52">
        <v>1</v>
      </c>
      <c r="B4" s="28" t="s">
        <v>41</v>
      </c>
      <c r="C4" s="28"/>
      <c r="D4" s="28"/>
      <c r="E4" s="16" t="s">
        <v>39</v>
      </c>
      <c r="F4" s="87">
        <f>Titullapa!D10</f>
        <v>2021</v>
      </c>
      <c r="G4" s="87">
        <f>1+F4</f>
        <v>2022</v>
      </c>
      <c r="H4" s="87">
        <f t="shared" ref="H4:X4" si="2">1+G4</f>
        <v>2023</v>
      </c>
      <c r="I4" s="87">
        <f t="shared" si="2"/>
        <v>2024</v>
      </c>
      <c r="J4" s="87">
        <f t="shared" si="2"/>
        <v>2025</v>
      </c>
      <c r="K4" s="87">
        <f t="shared" si="2"/>
        <v>2026</v>
      </c>
      <c r="L4" s="87">
        <f t="shared" si="2"/>
        <v>2027</v>
      </c>
      <c r="M4" s="87">
        <f t="shared" si="2"/>
        <v>2028</v>
      </c>
      <c r="N4" s="87">
        <f t="shared" si="2"/>
        <v>2029</v>
      </c>
      <c r="O4" s="87">
        <f t="shared" si="2"/>
        <v>2030</v>
      </c>
      <c r="P4" s="87">
        <f t="shared" si="2"/>
        <v>2031</v>
      </c>
      <c r="Q4" s="87">
        <f t="shared" si="2"/>
        <v>2032</v>
      </c>
      <c r="R4" s="87">
        <f t="shared" si="2"/>
        <v>2033</v>
      </c>
      <c r="S4" s="87">
        <f t="shared" si="2"/>
        <v>2034</v>
      </c>
      <c r="T4" s="87">
        <f t="shared" si="2"/>
        <v>2035</v>
      </c>
      <c r="U4" s="87">
        <f t="shared" si="2"/>
        <v>2036</v>
      </c>
      <c r="V4" s="87">
        <f t="shared" si="2"/>
        <v>2037</v>
      </c>
      <c r="W4" s="87">
        <f t="shared" si="2"/>
        <v>2038</v>
      </c>
      <c r="X4" s="87">
        <f t="shared" si="2"/>
        <v>2039</v>
      </c>
      <c r="Y4" s="87">
        <f t="shared" ref="Y4:AD4" si="3">1+X4</f>
        <v>2040</v>
      </c>
      <c r="Z4" s="87">
        <f t="shared" si="3"/>
        <v>2041</v>
      </c>
      <c r="AA4" s="87">
        <f t="shared" si="3"/>
        <v>2042</v>
      </c>
      <c r="AB4" s="87">
        <f t="shared" si="3"/>
        <v>2043</v>
      </c>
      <c r="AC4" s="87">
        <f t="shared" si="3"/>
        <v>2044</v>
      </c>
      <c r="AD4" s="87">
        <f t="shared" si="3"/>
        <v>2045</v>
      </c>
      <c r="AE4" s="29"/>
      <c r="AF4" s="9"/>
    </row>
    <row r="5" spans="1:36" s="32" customFormat="1" ht="12.75" x14ac:dyDescent="0.2">
      <c r="A5" s="9"/>
      <c r="B5" s="9"/>
      <c r="C5" s="9"/>
      <c r="D5" s="9"/>
      <c r="E5" s="44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9"/>
      <c r="AG5" s="89"/>
    </row>
    <row r="6" spans="1:36" s="32" customFormat="1" ht="12.75" x14ac:dyDescent="0.2">
      <c r="A6" s="90"/>
      <c r="B6" s="91" t="s">
        <v>27</v>
      </c>
      <c r="C6" s="91" t="s">
        <v>141</v>
      </c>
      <c r="D6" s="91"/>
      <c r="E6" s="124" t="s">
        <v>20</v>
      </c>
      <c r="F6" s="358">
        <f>'4.DL Projekta_finansiala_ilgtsp'!F9</f>
        <v>2000</v>
      </c>
      <c r="G6" s="359">
        <f>'4.DL Projekta_finansiala_ilgtsp'!G9</f>
        <v>3000</v>
      </c>
      <c r="H6" s="359">
        <f>'4.DL Projekta_finansiala_ilgtsp'!H9</f>
        <v>5020</v>
      </c>
      <c r="I6" s="359">
        <f>'4.DL Projekta_finansiala_ilgtsp'!I9</f>
        <v>1018</v>
      </c>
      <c r="J6" s="359">
        <f>'4.DL Projekta_finansiala_ilgtsp'!J9</f>
        <v>1016</v>
      </c>
      <c r="K6" s="359">
        <f>'4.DL Projekta_finansiala_ilgtsp'!K9</f>
        <v>1014</v>
      </c>
      <c r="L6" s="359">
        <f>'4.DL Projekta_finansiala_ilgtsp'!L9</f>
        <v>1012</v>
      </c>
      <c r="M6" s="359">
        <f>'4.DL Projekta_finansiala_ilgtsp'!M9</f>
        <v>1010</v>
      </c>
      <c r="N6" s="359">
        <f>'4.DL Projekta_finansiala_ilgtsp'!N9</f>
        <v>1008</v>
      </c>
      <c r="O6" s="359">
        <f>'4.DL Projekta_finansiala_ilgtsp'!O9</f>
        <v>1006</v>
      </c>
      <c r="P6" s="359">
        <f>'4.DL Projekta_finansiala_ilgtsp'!P9</f>
        <v>1004</v>
      </c>
      <c r="Q6" s="359">
        <f>'4.DL Projekta_finansiala_ilgtsp'!Q9</f>
        <v>1002</v>
      </c>
      <c r="R6" s="359">
        <f>'4.DL Projekta_finansiala_ilgtsp'!R9</f>
        <v>1000</v>
      </c>
      <c r="S6" s="359">
        <f>'4.DL Projekta_finansiala_ilgtsp'!S9</f>
        <v>1000</v>
      </c>
      <c r="T6" s="359">
        <f>'4.DL Projekta_finansiala_ilgtsp'!T9</f>
        <v>1000</v>
      </c>
      <c r="U6" s="359">
        <f>'4.DL Projekta_finansiala_ilgtsp'!U9</f>
        <v>1000</v>
      </c>
      <c r="V6" s="359">
        <f>'4.DL Projekta_finansiala_ilgtsp'!V9</f>
        <v>1000</v>
      </c>
      <c r="W6" s="359">
        <f>'4.DL Projekta_finansiala_ilgtsp'!W9</f>
        <v>1000</v>
      </c>
      <c r="X6" s="359">
        <f>'4.DL Projekta_finansiala_ilgtsp'!X9</f>
        <v>1000</v>
      </c>
      <c r="Y6" s="359">
        <f>'4.DL Projekta_finansiala_ilgtsp'!Y9</f>
        <v>1000</v>
      </c>
      <c r="Z6" s="359">
        <f>'4.DL Projekta_finansiala_ilgtsp'!Z9</f>
        <v>1000</v>
      </c>
      <c r="AA6" s="359">
        <f>'4.DL Projekta_finansiala_ilgtsp'!AA9</f>
        <v>1000</v>
      </c>
      <c r="AB6" s="359">
        <f>'4.DL Projekta_finansiala_ilgtsp'!AB9</f>
        <v>1000</v>
      </c>
      <c r="AC6" s="359">
        <f>'4.DL Projekta_finansiala_ilgtsp'!AC9</f>
        <v>1000</v>
      </c>
      <c r="AD6" s="360">
        <f>'4.DL Projekta_finansiala_ilgtsp'!AD9</f>
        <v>1000</v>
      </c>
      <c r="AE6" s="340">
        <f t="shared" ref="AE6:AE12" si="4">SUM(F6:AD6)</f>
        <v>32110</v>
      </c>
      <c r="AF6" s="9" t="b">
        <f>AE6='4.DL Projekta_finansiala_ilgtsp'!AE9</f>
        <v>1</v>
      </c>
    </row>
    <row r="7" spans="1:36" s="32" customFormat="1" ht="12.75" x14ac:dyDescent="0.2">
      <c r="A7" s="93"/>
      <c r="B7" s="32" t="s">
        <v>28</v>
      </c>
      <c r="C7" s="32" t="s">
        <v>75</v>
      </c>
      <c r="E7" s="94" t="s">
        <v>20</v>
      </c>
      <c r="F7" s="361">
        <f>'4.DL Projekta_finansiala_ilgtsp'!F14</f>
        <v>0</v>
      </c>
      <c r="G7" s="362">
        <f>'4.DL Projekta_finansiala_ilgtsp'!G14</f>
        <v>0</v>
      </c>
      <c r="H7" s="362">
        <f>'4.DL Projekta_finansiala_ilgtsp'!H14</f>
        <v>0</v>
      </c>
      <c r="I7" s="362">
        <f>'4.DL Projekta_finansiala_ilgtsp'!I14</f>
        <v>0</v>
      </c>
      <c r="J7" s="362">
        <f>'4.DL Projekta_finansiala_ilgtsp'!J14</f>
        <v>0</v>
      </c>
      <c r="K7" s="362">
        <f>'4.DL Projekta_finansiala_ilgtsp'!K14</f>
        <v>0</v>
      </c>
      <c r="L7" s="362">
        <f>'4.DL Projekta_finansiala_ilgtsp'!L14</f>
        <v>0</v>
      </c>
      <c r="M7" s="362">
        <f>'4.DL Projekta_finansiala_ilgtsp'!M14</f>
        <v>0</v>
      </c>
      <c r="N7" s="362">
        <f>'4.DL Projekta_finansiala_ilgtsp'!N14</f>
        <v>0</v>
      </c>
      <c r="O7" s="362">
        <f>'4.DL Projekta_finansiala_ilgtsp'!O14</f>
        <v>0</v>
      </c>
      <c r="P7" s="362">
        <f>'4.DL Projekta_finansiala_ilgtsp'!P14</f>
        <v>0</v>
      </c>
      <c r="Q7" s="362">
        <f>'4.DL Projekta_finansiala_ilgtsp'!Q14</f>
        <v>0</v>
      </c>
      <c r="R7" s="362">
        <f>'4.DL Projekta_finansiala_ilgtsp'!R14</f>
        <v>0</v>
      </c>
      <c r="S7" s="362">
        <f>'4.DL Projekta_finansiala_ilgtsp'!S14</f>
        <v>0</v>
      </c>
      <c r="T7" s="362">
        <f>'4.DL Projekta_finansiala_ilgtsp'!T14</f>
        <v>0</v>
      </c>
      <c r="U7" s="362">
        <f>'4.DL Projekta_finansiala_ilgtsp'!U14</f>
        <v>0</v>
      </c>
      <c r="V7" s="362">
        <f>'4.DL Projekta_finansiala_ilgtsp'!V14</f>
        <v>0</v>
      </c>
      <c r="W7" s="362">
        <f>'4.DL Projekta_finansiala_ilgtsp'!W14</f>
        <v>0</v>
      </c>
      <c r="X7" s="362">
        <f>'4.DL Projekta_finansiala_ilgtsp'!X14</f>
        <v>0</v>
      </c>
      <c r="Y7" s="362">
        <f>'4.DL Projekta_finansiala_ilgtsp'!Y14</f>
        <v>0</v>
      </c>
      <c r="Z7" s="362">
        <f>'4.DL Projekta_finansiala_ilgtsp'!Z14</f>
        <v>0</v>
      </c>
      <c r="AA7" s="362">
        <f>'4.DL Projekta_finansiala_ilgtsp'!AA14</f>
        <v>0</v>
      </c>
      <c r="AB7" s="362">
        <f>'4.DL Projekta_finansiala_ilgtsp'!AB14</f>
        <v>0</v>
      </c>
      <c r="AC7" s="362">
        <f>'4.DL Projekta_finansiala_ilgtsp'!AC14</f>
        <v>0</v>
      </c>
      <c r="AD7" s="362">
        <f>'4.DL Projekta_finansiala_ilgtsp'!AD14</f>
        <v>0</v>
      </c>
      <c r="AE7" s="476">
        <f t="shared" si="4"/>
        <v>0</v>
      </c>
      <c r="AF7" s="9" t="b">
        <f>AE7='4.DL Projekta_finansiala_ilgtsp'!AE14</f>
        <v>1</v>
      </c>
    </row>
    <row r="8" spans="1:36" s="32" customFormat="1" ht="12.75" x14ac:dyDescent="0.2">
      <c r="A8" s="93"/>
      <c r="B8" s="32" t="s">
        <v>80</v>
      </c>
      <c r="C8" s="32" t="s">
        <v>108</v>
      </c>
      <c r="E8" s="94" t="s">
        <v>20</v>
      </c>
      <c r="F8" s="363">
        <f>'14.RL Investīciju naudas plūsma'!E7</f>
        <v>0</v>
      </c>
      <c r="G8" s="364">
        <f>'14.RL Investīciju naudas plūsma'!F7</f>
        <v>0</v>
      </c>
      <c r="H8" s="364">
        <f>'14.RL Investīciju naudas plūsma'!G7</f>
        <v>0</v>
      </c>
      <c r="I8" s="364">
        <f>'14.RL Investīciju naudas plūsma'!H7</f>
        <v>0</v>
      </c>
      <c r="J8" s="364">
        <f>'14.RL Investīciju naudas plūsma'!I7</f>
        <v>0</v>
      </c>
      <c r="K8" s="364">
        <f>'14.RL Investīciju naudas plūsma'!J7</f>
        <v>0</v>
      </c>
      <c r="L8" s="364">
        <f>'14.RL Investīciju naudas plūsma'!K7</f>
        <v>0</v>
      </c>
      <c r="M8" s="364">
        <f>'14.RL Investīciju naudas plūsma'!L7</f>
        <v>0</v>
      </c>
      <c r="N8" s="364">
        <f>'14.RL Investīciju naudas plūsma'!M7</f>
        <v>0</v>
      </c>
      <c r="O8" s="364">
        <f>'14.RL Investīciju naudas plūsma'!N7</f>
        <v>0</v>
      </c>
      <c r="P8" s="364">
        <f>'14.RL Investīciju naudas plūsma'!O7</f>
        <v>0</v>
      </c>
      <c r="Q8" s="364">
        <f>'14.RL Investīciju naudas plūsma'!P7</f>
        <v>0</v>
      </c>
      <c r="R8" s="364">
        <f>'14.RL Investīciju naudas plūsma'!Q7</f>
        <v>0</v>
      </c>
      <c r="S8" s="364">
        <f>'14.RL Investīciju naudas plūsma'!R7</f>
        <v>0</v>
      </c>
      <c r="T8" s="364">
        <f>'14.RL Investīciju naudas plūsma'!S7</f>
        <v>0</v>
      </c>
      <c r="U8" s="364">
        <f>'14.RL Investīciju naudas plūsma'!T7</f>
        <v>0</v>
      </c>
      <c r="V8" s="364">
        <f>'14.RL Investīciju naudas plūsma'!U7</f>
        <v>0</v>
      </c>
      <c r="W8" s="364">
        <f>'14.RL Investīciju naudas plūsma'!V7</f>
        <v>0</v>
      </c>
      <c r="X8" s="364">
        <f>'14.RL Investīciju naudas plūsma'!W7</f>
        <v>0</v>
      </c>
      <c r="Y8" s="364">
        <f>'14.RL Investīciju naudas plūsma'!X7</f>
        <v>0</v>
      </c>
      <c r="Z8" s="364">
        <f>'14.RL Investīciju naudas plūsma'!Y7</f>
        <v>0</v>
      </c>
      <c r="AA8" s="364">
        <f>'14.RL Investīciju naudas plūsma'!Z7</f>
        <v>0</v>
      </c>
      <c r="AB8" s="364">
        <f>'14.RL Investīciju naudas plūsma'!AA7</f>
        <v>0</v>
      </c>
      <c r="AC8" s="364">
        <f>'14.RL Investīciju naudas plūsma'!AB7</f>
        <v>0</v>
      </c>
      <c r="AD8" s="364">
        <f>'14.RL Investīciju naudas plūsma'!AC7</f>
        <v>0</v>
      </c>
      <c r="AE8" s="476">
        <f t="shared" si="4"/>
        <v>0</v>
      </c>
      <c r="AF8" s="9" t="b">
        <f>AE8='4.DL Projekta_finansiala_ilgtsp'!AE16</f>
        <v>1</v>
      </c>
    </row>
    <row r="9" spans="1:36" s="32" customFormat="1" ht="12.75" x14ac:dyDescent="0.2">
      <c r="A9" s="93"/>
      <c r="B9" s="32" t="s">
        <v>142</v>
      </c>
      <c r="C9" s="32" t="s">
        <v>86</v>
      </c>
      <c r="E9" s="94" t="s">
        <v>20</v>
      </c>
      <c r="F9" s="363">
        <f>'4.DL Projekta_finansiala_ilgtsp'!F18</f>
        <v>0</v>
      </c>
      <c r="G9" s="307">
        <f>'4.DL Projekta_finansiala_ilgtsp'!G18</f>
        <v>0</v>
      </c>
      <c r="H9" s="307">
        <f>'4.DL Projekta_finansiala_ilgtsp'!H18</f>
        <v>0</v>
      </c>
      <c r="I9" s="307">
        <f>'4.DL Projekta_finansiala_ilgtsp'!I18</f>
        <v>0</v>
      </c>
      <c r="J9" s="307">
        <f>'4.DL Projekta_finansiala_ilgtsp'!J18</f>
        <v>0</v>
      </c>
      <c r="K9" s="307">
        <f>'4.DL Projekta_finansiala_ilgtsp'!K18</f>
        <v>0</v>
      </c>
      <c r="L9" s="307">
        <f>'4.DL Projekta_finansiala_ilgtsp'!L18</f>
        <v>0</v>
      </c>
      <c r="M9" s="307">
        <f>'4.DL Projekta_finansiala_ilgtsp'!M18</f>
        <v>0</v>
      </c>
      <c r="N9" s="307">
        <f>'4.DL Projekta_finansiala_ilgtsp'!N18</f>
        <v>0</v>
      </c>
      <c r="O9" s="307">
        <f>'4.DL Projekta_finansiala_ilgtsp'!O18</f>
        <v>0</v>
      </c>
      <c r="P9" s="307">
        <f>'4.DL Projekta_finansiala_ilgtsp'!P18</f>
        <v>0</v>
      </c>
      <c r="Q9" s="307">
        <f>'4.DL Projekta_finansiala_ilgtsp'!Q18</f>
        <v>0</v>
      </c>
      <c r="R9" s="307">
        <f>'4.DL Projekta_finansiala_ilgtsp'!R18</f>
        <v>0</v>
      </c>
      <c r="S9" s="307">
        <f>'4.DL Projekta_finansiala_ilgtsp'!S18</f>
        <v>0</v>
      </c>
      <c r="T9" s="307">
        <f>'4.DL Projekta_finansiala_ilgtsp'!T18</f>
        <v>0</v>
      </c>
      <c r="U9" s="307">
        <f>'4.DL Projekta_finansiala_ilgtsp'!U18</f>
        <v>0</v>
      </c>
      <c r="V9" s="307">
        <f>'4.DL Projekta_finansiala_ilgtsp'!V18</f>
        <v>0</v>
      </c>
      <c r="W9" s="307">
        <f>'4.DL Projekta_finansiala_ilgtsp'!W18</f>
        <v>0</v>
      </c>
      <c r="X9" s="307">
        <f>'4.DL Projekta_finansiala_ilgtsp'!X18</f>
        <v>0</v>
      </c>
      <c r="Y9" s="307">
        <f>'4.DL Projekta_finansiala_ilgtsp'!Y18</f>
        <v>0</v>
      </c>
      <c r="Z9" s="307">
        <f>'4.DL Projekta_finansiala_ilgtsp'!Z18</f>
        <v>0</v>
      </c>
      <c r="AA9" s="307">
        <f>'4.DL Projekta_finansiala_ilgtsp'!AA18</f>
        <v>0</v>
      </c>
      <c r="AB9" s="307">
        <f>'4.DL Projekta_finansiala_ilgtsp'!AB18</f>
        <v>0</v>
      </c>
      <c r="AC9" s="307">
        <f>'4.DL Projekta_finansiala_ilgtsp'!AC18</f>
        <v>0</v>
      </c>
      <c r="AD9" s="307">
        <f>'4.DL Projekta_finansiala_ilgtsp'!AD18</f>
        <v>0</v>
      </c>
      <c r="AE9" s="476">
        <f t="shared" si="4"/>
        <v>0</v>
      </c>
      <c r="AF9" s="9" t="b">
        <f>AE9='4.DL Projekta_finansiala_ilgtsp'!AE18</f>
        <v>1</v>
      </c>
    </row>
    <row r="10" spans="1:36" s="32" customFormat="1" ht="12.75" x14ac:dyDescent="0.2">
      <c r="A10" s="93"/>
      <c r="B10" s="32" t="s">
        <v>81</v>
      </c>
      <c r="C10" s="32" t="s">
        <v>143</v>
      </c>
      <c r="E10" s="94" t="s">
        <v>20</v>
      </c>
      <c r="F10" s="363">
        <f>'4.DL Projekta_finansiala_ilgtsp'!F19+'4.DL Projekta_finansiala_ilgtsp'!F20</f>
        <v>0</v>
      </c>
      <c r="G10" s="307">
        <f>'4.DL Projekta_finansiala_ilgtsp'!G19+'4.DL Projekta_finansiala_ilgtsp'!G20</f>
        <v>0</v>
      </c>
      <c r="H10" s="307">
        <f>'4.DL Projekta_finansiala_ilgtsp'!H19+'4.DL Projekta_finansiala_ilgtsp'!H20</f>
        <v>120</v>
      </c>
      <c r="I10" s="307">
        <f>'4.DL Projekta_finansiala_ilgtsp'!I19+'4.DL Projekta_finansiala_ilgtsp'!I20</f>
        <v>118</v>
      </c>
      <c r="J10" s="307">
        <f>'4.DL Projekta_finansiala_ilgtsp'!J19+'4.DL Projekta_finansiala_ilgtsp'!J20</f>
        <v>116</v>
      </c>
      <c r="K10" s="307">
        <f>'4.DL Projekta_finansiala_ilgtsp'!K19+'4.DL Projekta_finansiala_ilgtsp'!K20</f>
        <v>114</v>
      </c>
      <c r="L10" s="307">
        <f>'4.DL Projekta_finansiala_ilgtsp'!L19+'4.DL Projekta_finansiala_ilgtsp'!L20</f>
        <v>112</v>
      </c>
      <c r="M10" s="307">
        <f>'4.DL Projekta_finansiala_ilgtsp'!M19+'4.DL Projekta_finansiala_ilgtsp'!M20</f>
        <v>110</v>
      </c>
      <c r="N10" s="307">
        <f>'4.DL Projekta_finansiala_ilgtsp'!N19+'4.DL Projekta_finansiala_ilgtsp'!N20</f>
        <v>108</v>
      </c>
      <c r="O10" s="307">
        <f>'4.DL Projekta_finansiala_ilgtsp'!O19+'4.DL Projekta_finansiala_ilgtsp'!O20</f>
        <v>106</v>
      </c>
      <c r="P10" s="307">
        <f>'4.DL Projekta_finansiala_ilgtsp'!P19+'4.DL Projekta_finansiala_ilgtsp'!P20</f>
        <v>104</v>
      </c>
      <c r="Q10" s="307">
        <f>'4.DL Projekta_finansiala_ilgtsp'!Q19+'4.DL Projekta_finansiala_ilgtsp'!Q20</f>
        <v>102</v>
      </c>
      <c r="R10" s="307">
        <f>'4.DL Projekta_finansiala_ilgtsp'!R19+'4.DL Projekta_finansiala_ilgtsp'!R20</f>
        <v>0</v>
      </c>
      <c r="S10" s="307">
        <f>'4.DL Projekta_finansiala_ilgtsp'!S19+'4.DL Projekta_finansiala_ilgtsp'!S20</f>
        <v>0</v>
      </c>
      <c r="T10" s="307">
        <f>'4.DL Projekta_finansiala_ilgtsp'!T19+'4.DL Projekta_finansiala_ilgtsp'!T20</f>
        <v>0</v>
      </c>
      <c r="U10" s="307">
        <f>'4.DL Projekta_finansiala_ilgtsp'!U19+'4.DL Projekta_finansiala_ilgtsp'!U20</f>
        <v>0</v>
      </c>
      <c r="V10" s="307">
        <f>'4.DL Projekta_finansiala_ilgtsp'!V19+'4.DL Projekta_finansiala_ilgtsp'!V20</f>
        <v>0</v>
      </c>
      <c r="W10" s="307">
        <f>'4.DL Projekta_finansiala_ilgtsp'!W19+'4.DL Projekta_finansiala_ilgtsp'!W20</f>
        <v>0</v>
      </c>
      <c r="X10" s="307">
        <f>'4.DL Projekta_finansiala_ilgtsp'!X19+'4.DL Projekta_finansiala_ilgtsp'!X20</f>
        <v>0</v>
      </c>
      <c r="Y10" s="307">
        <f>'4.DL Projekta_finansiala_ilgtsp'!Y19+'4.DL Projekta_finansiala_ilgtsp'!Y20</f>
        <v>0</v>
      </c>
      <c r="Z10" s="307">
        <f>'4.DL Projekta_finansiala_ilgtsp'!Z19+'4.DL Projekta_finansiala_ilgtsp'!Z20</f>
        <v>0</v>
      </c>
      <c r="AA10" s="307">
        <f>'4.DL Projekta_finansiala_ilgtsp'!AA19+'4.DL Projekta_finansiala_ilgtsp'!AA20</f>
        <v>0</v>
      </c>
      <c r="AB10" s="307">
        <f>'4.DL Projekta_finansiala_ilgtsp'!AB19+'4.DL Projekta_finansiala_ilgtsp'!AB20</f>
        <v>0</v>
      </c>
      <c r="AC10" s="307">
        <f>'4.DL Projekta_finansiala_ilgtsp'!AC19+'4.DL Projekta_finansiala_ilgtsp'!AC20</f>
        <v>0</v>
      </c>
      <c r="AD10" s="307">
        <f>'4.DL Projekta_finansiala_ilgtsp'!AD19+'4.DL Projekta_finansiala_ilgtsp'!AD20</f>
        <v>0</v>
      </c>
      <c r="AE10" s="476">
        <f t="shared" si="4"/>
        <v>1110</v>
      </c>
      <c r="AF10" s="9" t="b">
        <f>AE10='4.DL Projekta_finansiala_ilgtsp'!AE19+'4.DL Projekta_finansiala_ilgtsp'!AE20</f>
        <v>1</v>
      </c>
    </row>
    <row r="11" spans="1:36" s="32" customFormat="1" ht="12.75" x14ac:dyDescent="0.2">
      <c r="A11" s="93"/>
      <c r="B11" s="32" t="s">
        <v>82</v>
      </c>
      <c r="C11" s="32" t="s">
        <v>144</v>
      </c>
      <c r="E11" s="71" t="s">
        <v>20</v>
      </c>
      <c r="F11" s="363">
        <f>'17.PIV 2.pielikums Fin.plāns'!C7+'17.PIV 2.pielikums Fin.plāns'!B9</f>
        <v>29141.25</v>
      </c>
      <c r="G11" s="307">
        <f>'17.PIV 2.pielikums Fin.plāns'!D7+'17.PIV 2.pielikums Fin.plāns'!C9</f>
        <v>25877.75</v>
      </c>
      <c r="H11" s="307">
        <f>'17.PIV 2.pielikums Fin.plāns'!E7+'17.PIV 2.pielikums Fin.plāns'!D9</f>
        <v>62787.5</v>
      </c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6"/>
      <c r="AE11" s="476">
        <f t="shared" si="4"/>
        <v>117806.5</v>
      </c>
      <c r="AF11" s="9"/>
    </row>
    <row r="12" spans="1:36" s="32" customFormat="1" ht="12.75" x14ac:dyDescent="0.2">
      <c r="A12" s="93"/>
      <c r="B12" s="32" t="s">
        <v>145</v>
      </c>
      <c r="C12" s="26" t="s">
        <v>89</v>
      </c>
      <c r="D12" s="26"/>
      <c r="E12" s="94" t="s">
        <v>20</v>
      </c>
      <c r="F12" s="363">
        <f>SUM(F6,F7)-SUM(F8:F11)</f>
        <v>-27141.25</v>
      </c>
      <c r="G12" s="307">
        <f>SUM(G6:G7)-SUM(G8:G11)</f>
        <v>-22877.75</v>
      </c>
      <c r="H12" s="307">
        <f t="shared" ref="H12:AD12" si="5">SUM(H6:H7)-SUM(H8:H11)</f>
        <v>-57887.5</v>
      </c>
      <c r="I12" s="307">
        <f t="shared" si="5"/>
        <v>900</v>
      </c>
      <c r="J12" s="307">
        <f t="shared" si="5"/>
        <v>900</v>
      </c>
      <c r="K12" s="307">
        <f t="shared" si="5"/>
        <v>900</v>
      </c>
      <c r="L12" s="307">
        <f t="shared" si="5"/>
        <v>900</v>
      </c>
      <c r="M12" s="307">
        <f t="shared" si="5"/>
        <v>900</v>
      </c>
      <c r="N12" s="307">
        <f t="shared" si="5"/>
        <v>900</v>
      </c>
      <c r="O12" s="307">
        <f t="shared" si="5"/>
        <v>900</v>
      </c>
      <c r="P12" s="307">
        <f t="shared" si="5"/>
        <v>900</v>
      </c>
      <c r="Q12" s="307">
        <f t="shared" si="5"/>
        <v>900</v>
      </c>
      <c r="R12" s="307">
        <f t="shared" si="5"/>
        <v>1000</v>
      </c>
      <c r="S12" s="307">
        <f t="shared" si="5"/>
        <v>1000</v>
      </c>
      <c r="T12" s="307">
        <f t="shared" si="5"/>
        <v>1000</v>
      </c>
      <c r="U12" s="307">
        <f t="shared" si="5"/>
        <v>1000</v>
      </c>
      <c r="V12" s="307">
        <f t="shared" si="5"/>
        <v>1000</v>
      </c>
      <c r="W12" s="307">
        <f t="shared" si="5"/>
        <v>1000</v>
      </c>
      <c r="X12" s="307">
        <f t="shared" si="5"/>
        <v>1000</v>
      </c>
      <c r="Y12" s="307">
        <f t="shared" si="5"/>
        <v>1000</v>
      </c>
      <c r="Z12" s="307">
        <f t="shared" si="5"/>
        <v>1000</v>
      </c>
      <c r="AA12" s="307">
        <f t="shared" si="5"/>
        <v>1000</v>
      </c>
      <c r="AB12" s="307">
        <f t="shared" si="5"/>
        <v>1000</v>
      </c>
      <c r="AC12" s="307">
        <f t="shared" si="5"/>
        <v>1000</v>
      </c>
      <c r="AD12" s="307">
        <f t="shared" si="5"/>
        <v>1000</v>
      </c>
      <c r="AE12" s="757">
        <f t="shared" si="4"/>
        <v>-86806.5</v>
      </c>
    </row>
    <row r="13" spans="1:36" s="32" customFormat="1" ht="12.75" x14ac:dyDescent="0.2">
      <c r="E13" s="71"/>
      <c r="F13" s="4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45"/>
      <c r="AE13" s="192"/>
      <c r="AF13" s="96"/>
    </row>
    <row r="14" spans="1:36" s="35" customFormat="1" ht="12.75" x14ac:dyDescent="0.2">
      <c r="A14" s="20">
        <v>2</v>
      </c>
      <c r="B14" s="21" t="s">
        <v>109</v>
      </c>
      <c r="C14" s="21"/>
      <c r="D14" s="21"/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3"/>
      <c r="AF14" s="9"/>
    </row>
    <row r="15" spans="1:36" s="32" customFormat="1" x14ac:dyDescent="0.25">
      <c r="A15" s="90"/>
      <c r="B15" s="97"/>
      <c r="C15" s="11" t="s">
        <v>110</v>
      </c>
      <c r="D15" s="11"/>
      <c r="E15" s="98" t="s">
        <v>21</v>
      </c>
      <c r="F15" s="99">
        <f>Titullapa!B24</f>
        <v>0.04</v>
      </c>
      <c r="H15" s="9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9"/>
      <c r="AF15" s="9"/>
    </row>
    <row r="16" spans="1:36" s="32" customFormat="1" ht="12.75" x14ac:dyDescent="0.2">
      <c r="A16" s="93"/>
      <c r="B16" s="101"/>
      <c r="C16" s="24" t="s">
        <v>111</v>
      </c>
      <c r="D16" s="24"/>
      <c r="E16" s="102" t="s">
        <v>112</v>
      </c>
      <c r="F16" s="103">
        <v>0</v>
      </c>
      <c r="G16" s="104">
        <v>1</v>
      </c>
      <c r="H16" s="104">
        <f t="shared" ref="H16:S16" si="6">G16+1</f>
        <v>2</v>
      </c>
      <c r="I16" s="104">
        <f t="shared" si="6"/>
        <v>3</v>
      </c>
      <c r="J16" s="104">
        <f t="shared" si="6"/>
        <v>4</v>
      </c>
      <c r="K16" s="104">
        <f t="shared" si="6"/>
        <v>5</v>
      </c>
      <c r="L16" s="104">
        <f t="shared" si="6"/>
        <v>6</v>
      </c>
      <c r="M16" s="104">
        <f t="shared" si="6"/>
        <v>7</v>
      </c>
      <c r="N16" s="104">
        <f t="shared" si="6"/>
        <v>8</v>
      </c>
      <c r="O16" s="104">
        <f t="shared" si="6"/>
        <v>9</v>
      </c>
      <c r="P16" s="104">
        <f t="shared" si="6"/>
        <v>10</v>
      </c>
      <c r="Q16" s="104">
        <f t="shared" si="6"/>
        <v>11</v>
      </c>
      <c r="R16" s="104">
        <f t="shared" si="6"/>
        <v>12</v>
      </c>
      <c r="S16" s="104">
        <f t="shared" si="6"/>
        <v>13</v>
      </c>
      <c r="T16" s="104">
        <f t="shared" ref="T16" si="7">S16+1</f>
        <v>14</v>
      </c>
      <c r="U16" s="104">
        <f t="shared" ref="U16" si="8">T16+1</f>
        <v>15</v>
      </c>
      <c r="V16" s="104">
        <f t="shared" ref="V16" si="9">U16+1</f>
        <v>16</v>
      </c>
      <c r="W16" s="104">
        <f t="shared" ref="W16" si="10">V16+1</f>
        <v>17</v>
      </c>
      <c r="X16" s="104">
        <f t="shared" ref="X16" si="11">W16+1</f>
        <v>18</v>
      </c>
      <c r="Y16" s="104">
        <f t="shared" ref="Y16" si="12">X16+1</f>
        <v>19</v>
      </c>
      <c r="Z16" s="104">
        <f t="shared" ref="Z16" si="13">Y16+1</f>
        <v>20</v>
      </c>
      <c r="AA16" s="104">
        <f t="shared" ref="AA16" si="14">Z16+1</f>
        <v>21</v>
      </c>
      <c r="AB16" s="104">
        <f t="shared" ref="AB16" si="15">AA16+1</f>
        <v>22</v>
      </c>
      <c r="AC16" s="104">
        <f t="shared" ref="AC16" si="16">AB16+1</f>
        <v>23</v>
      </c>
      <c r="AD16" s="104">
        <f t="shared" ref="AD16" si="17">AC16+1</f>
        <v>24</v>
      </c>
      <c r="AE16" s="85" t="s">
        <v>40</v>
      </c>
      <c r="AF16" s="9"/>
    </row>
    <row r="17" spans="1:33" s="32" customFormat="1" ht="12.75" x14ac:dyDescent="0.2">
      <c r="A17" s="105"/>
      <c r="B17" s="15"/>
      <c r="C17" s="16" t="s">
        <v>113</v>
      </c>
      <c r="D17" s="16"/>
      <c r="E17" s="106" t="s">
        <v>114</v>
      </c>
      <c r="F17" s="107">
        <f t="shared" ref="F17:AD17" si="18">1/(1+$F$15)^F16</f>
        <v>1</v>
      </c>
      <c r="G17" s="108">
        <f t="shared" si="18"/>
        <v>0.96153846153846145</v>
      </c>
      <c r="H17" s="108">
        <f t="shared" si="18"/>
        <v>0.92455621301775137</v>
      </c>
      <c r="I17" s="108">
        <f t="shared" si="18"/>
        <v>0.88899635867091487</v>
      </c>
      <c r="J17" s="108">
        <f t="shared" si="18"/>
        <v>0.85480419102972571</v>
      </c>
      <c r="K17" s="108">
        <f t="shared" si="18"/>
        <v>0.82192710675935154</v>
      </c>
      <c r="L17" s="108">
        <f t="shared" si="18"/>
        <v>0.79031452573014571</v>
      </c>
      <c r="M17" s="108">
        <f t="shared" si="18"/>
        <v>0.75991781320206331</v>
      </c>
      <c r="N17" s="108">
        <f t="shared" si="18"/>
        <v>0.73069020500198378</v>
      </c>
      <c r="O17" s="108">
        <f t="shared" si="18"/>
        <v>0.70258673557883045</v>
      </c>
      <c r="P17" s="108">
        <f t="shared" si="18"/>
        <v>0.67556416882579851</v>
      </c>
      <c r="Q17" s="108">
        <f t="shared" si="18"/>
        <v>0.6495809315632679</v>
      </c>
      <c r="R17" s="108">
        <f t="shared" si="18"/>
        <v>0.62459704958006512</v>
      </c>
      <c r="S17" s="108">
        <f t="shared" si="18"/>
        <v>0.600574086134678</v>
      </c>
      <c r="T17" s="108">
        <f t="shared" si="18"/>
        <v>0.57747508282180582</v>
      </c>
      <c r="U17" s="108">
        <f t="shared" si="18"/>
        <v>0.55526450271327477</v>
      </c>
      <c r="V17" s="108">
        <f t="shared" si="18"/>
        <v>0.53390817568584104</v>
      </c>
      <c r="W17" s="108">
        <f t="shared" si="18"/>
        <v>0.51337324585177024</v>
      </c>
      <c r="X17" s="108">
        <f t="shared" si="18"/>
        <v>0.49362812101131748</v>
      </c>
      <c r="Y17" s="108">
        <f t="shared" si="18"/>
        <v>0.47464242404934376</v>
      </c>
      <c r="Z17" s="108">
        <f t="shared" si="18"/>
        <v>0.45638694620129205</v>
      </c>
      <c r="AA17" s="108">
        <f t="shared" si="18"/>
        <v>0.43883360211662686</v>
      </c>
      <c r="AB17" s="108">
        <f t="shared" si="18"/>
        <v>0.42195538665060278</v>
      </c>
      <c r="AC17" s="108">
        <f t="shared" si="18"/>
        <v>0.40572633331788732</v>
      </c>
      <c r="AD17" s="108">
        <f t="shared" si="18"/>
        <v>0.39012147434412242</v>
      </c>
      <c r="AE17" s="29"/>
      <c r="AF17" s="9"/>
    </row>
    <row r="18" spans="1:33" s="32" customFormat="1" ht="12.75" x14ac:dyDescent="0.2">
      <c r="A18" s="90"/>
      <c r="B18" s="91" t="s">
        <v>51</v>
      </c>
      <c r="C18" s="91" t="s">
        <v>115</v>
      </c>
      <c r="D18" s="91"/>
      <c r="E18" s="92" t="s">
        <v>20</v>
      </c>
      <c r="F18" s="367">
        <f t="shared" ref="F18:AD18" si="19">F6*F$17</f>
        <v>2000</v>
      </c>
      <c r="G18" s="368">
        <f t="shared" si="19"/>
        <v>2884.6153846153843</v>
      </c>
      <c r="H18" s="368">
        <f t="shared" si="19"/>
        <v>4641.2721893491116</v>
      </c>
      <c r="I18" s="368">
        <f t="shared" si="19"/>
        <v>904.99829312699137</v>
      </c>
      <c r="J18" s="368">
        <f t="shared" si="19"/>
        <v>868.4810580862013</v>
      </c>
      <c r="K18" s="368">
        <f t="shared" si="19"/>
        <v>833.43408625398251</v>
      </c>
      <c r="L18" s="368">
        <f t="shared" si="19"/>
        <v>799.79830003890743</v>
      </c>
      <c r="M18" s="368">
        <f t="shared" si="19"/>
        <v>767.51699133408397</v>
      </c>
      <c r="N18" s="368">
        <f t="shared" si="19"/>
        <v>736.53572664199964</v>
      </c>
      <c r="O18" s="368">
        <f t="shared" si="19"/>
        <v>706.80225599230346</v>
      </c>
      <c r="P18" s="368">
        <f t="shared" si="19"/>
        <v>678.26642550110171</v>
      </c>
      <c r="Q18" s="368">
        <f t="shared" si="19"/>
        <v>650.88009342639441</v>
      </c>
      <c r="R18" s="368">
        <f t="shared" si="19"/>
        <v>624.59704958006512</v>
      </c>
      <c r="S18" s="368">
        <f t="shared" si="19"/>
        <v>600.57408613467805</v>
      </c>
      <c r="T18" s="368">
        <f t="shared" si="19"/>
        <v>577.47508282180581</v>
      </c>
      <c r="U18" s="368">
        <f t="shared" si="19"/>
        <v>555.26450271327474</v>
      </c>
      <c r="V18" s="368">
        <f t="shared" si="19"/>
        <v>533.908175685841</v>
      </c>
      <c r="W18" s="368">
        <f t="shared" si="19"/>
        <v>513.37324585177021</v>
      </c>
      <c r="X18" s="368">
        <f t="shared" si="19"/>
        <v>493.62812101131749</v>
      </c>
      <c r="Y18" s="368">
        <f t="shared" si="19"/>
        <v>474.64242404934373</v>
      </c>
      <c r="Z18" s="368">
        <f t="shared" si="19"/>
        <v>456.38694620129206</v>
      </c>
      <c r="AA18" s="368">
        <f t="shared" si="19"/>
        <v>438.83360211662688</v>
      </c>
      <c r="AB18" s="368">
        <f t="shared" si="19"/>
        <v>421.9553866506028</v>
      </c>
      <c r="AC18" s="368">
        <f t="shared" si="19"/>
        <v>405.72633331788734</v>
      </c>
      <c r="AD18" s="368">
        <f t="shared" si="19"/>
        <v>390.12147434412242</v>
      </c>
      <c r="AE18" s="477">
        <f t="shared" ref="AE18:AE25" si="20">SUM(F18:AD18)</f>
        <v>22959.087234845087</v>
      </c>
      <c r="AF18" s="9"/>
    </row>
    <row r="19" spans="1:33" s="32" customFormat="1" ht="12.75" hidden="1" x14ac:dyDescent="0.2">
      <c r="A19" s="93"/>
      <c r="B19" s="32" t="s">
        <v>55</v>
      </c>
      <c r="C19" s="32" t="s">
        <v>116</v>
      </c>
      <c r="E19" s="94" t="s">
        <v>146</v>
      </c>
      <c r="F19" s="363" t="e">
        <f>#REF!*F$17</f>
        <v>#REF!</v>
      </c>
      <c r="G19" s="307" t="e">
        <f>#REF!*G$17</f>
        <v>#REF!</v>
      </c>
      <c r="H19" s="307" t="e">
        <f>#REF!*H$17</f>
        <v>#REF!</v>
      </c>
      <c r="I19" s="307" t="e">
        <f>#REF!*I$17</f>
        <v>#REF!</v>
      </c>
      <c r="J19" s="307" t="e">
        <f>#REF!*J$17</f>
        <v>#REF!</v>
      </c>
      <c r="K19" s="307" t="e">
        <f>#REF!*K$17</f>
        <v>#REF!</v>
      </c>
      <c r="L19" s="307" t="e">
        <f>#REF!*L$17</f>
        <v>#REF!</v>
      </c>
      <c r="M19" s="307" t="e">
        <f>#REF!*M$17</f>
        <v>#REF!</v>
      </c>
      <c r="N19" s="307" t="e">
        <f>#REF!*N$17</f>
        <v>#REF!</v>
      </c>
      <c r="O19" s="307" t="e">
        <f>#REF!*O$17</f>
        <v>#REF!</v>
      </c>
      <c r="P19" s="307" t="e">
        <f>#REF!*P$17</f>
        <v>#REF!</v>
      </c>
      <c r="Q19" s="307" t="e">
        <f>#REF!*Q$17</f>
        <v>#REF!</v>
      </c>
      <c r="R19" s="307" t="e">
        <f>#REF!*R$17</f>
        <v>#REF!</v>
      </c>
      <c r="S19" s="307" t="e">
        <f>#REF!*S$17</f>
        <v>#REF!</v>
      </c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 t="e">
        <f>#REF!*AD$17</f>
        <v>#REF!</v>
      </c>
      <c r="AE19" s="476" t="e">
        <f t="shared" si="20"/>
        <v>#REF!</v>
      </c>
      <c r="AF19" s="9"/>
    </row>
    <row r="20" spans="1:33" s="32" customFormat="1" ht="12.75" x14ac:dyDescent="0.2">
      <c r="A20" s="93"/>
      <c r="B20" s="32" t="s">
        <v>52</v>
      </c>
      <c r="C20" s="32" t="s">
        <v>147</v>
      </c>
      <c r="E20" s="94" t="s">
        <v>20</v>
      </c>
      <c r="F20" s="363">
        <f t="shared" ref="F20:AD25" si="21">F7*F$17</f>
        <v>0</v>
      </c>
      <c r="G20" s="307">
        <f t="shared" si="21"/>
        <v>0</v>
      </c>
      <c r="H20" s="307">
        <f t="shared" si="21"/>
        <v>0</v>
      </c>
      <c r="I20" s="307">
        <f t="shared" si="21"/>
        <v>0</v>
      </c>
      <c r="J20" s="307">
        <f t="shared" si="21"/>
        <v>0</v>
      </c>
      <c r="K20" s="307">
        <f t="shared" si="21"/>
        <v>0</v>
      </c>
      <c r="L20" s="307">
        <f t="shared" si="21"/>
        <v>0</v>
      </c>
      <c r="M20" s="307">
        <f t="shared" si="21"/>
        <v>0</v>
      </c>
      <c r="N20" s="307">
        <f t="shared" si="21"/>
        <v>0</v>
      </c>
      <c r="O20" s="307">
        <f t="shared" si="21"/>
        <v>0</v>
      </c>
      <c r="P20" s="307">
        <f t="shared" si="21"/>
        <v>0</v>
      </c>
      <c r="Q20" s="307">
        <f t="shared" si="21"/>
        <v>0</v>
      </c>
      <c r="R20" s="307">
        <f t="shared" si="21"/>
        <v>0</v>
      </c>
      <c r="S20" s="307">
        <f t="shared" si="21"/>
        <v>0</v>
      </c>
      <c r="T20" s="307">
        <f t="shared" si="21"/>
        <v>0</v>
      </c>
      <c r="U20" s="307">
        <f t="shared" si="21"/>
        <v>0</v>
      </c>
      <c r="V20" s="307">
        <f t="shared" si="21"/>
        <v>0</v>
      </c>
      <c r="W20" s="307">
        <f t="shared" si="21"/>
        <v>0</v>
      </c>
      <c r="X20" s="307">
        <f t="shared" si="21"/>
        <v>0</v>
      </c>
      <c r="Y20" s="307">
        <f t="shared" si="21"/>
        <v>0</v>
      </c>
      <c r="Z20" s="307">
        <f t="shared" si="21"/>
        <v>0</v>
      </c>
      <c r="AA20" s="307">
        <f t="shared" si="21"/>
        <v>0</v>
      </c>
      <c r="AB20" s="307">
        <f t="shared" si="21"/>
        <v>0</v>
      </c>
      <c r="AC20" s="307">
        <f t="shared" si="21"/>
        <v>0</v>
      </c>
      <c r="AD20" s="307">
        <f t="shared" si="21"/>
        <v>0</v>
      </c>
      <c r="AE20" s="476">
        <f t="shared" si="20"/>
        <v>0</v>
      </c>
      <c r="AF20" s="9"/>
    </row>
    <row r="21" spans="1:33" s="32" customFormat="1" ht="12.75" x14ac:dyDescent="0.2">
      <c r="A21" s="93"/>
      <c r="B21" s="32" t="s">
        <v>53</v>
      </c>
      <c r="C21" s="32" t="s">
        <v>117</v>
      </c>
      <c r="E21" s="94" t="s">
        <v>20</v>
      </c>
      <c r="F21" s="363">
        <f t="shared" si="21"/>
        <v>0</v>
      </c>
      <c r="G21" s="307">
        <f t="shared" si="21"/>
        <v>0</v>
      </c>
      <c r="H21" s="307">
        <f t="shared" si="21"/>
        <v>0</v>
      </c>
      <c r="I21" s="307">
        <f t="shared" si="21"/>
        <v>0</v>
      </c>
      <c r="J21" s="307">
        <f t="shared" si="21"/>
        <v>0</v>
      </c>
      <c r="K21" s="307">
        <f t="shared" si="21"/>
        <v>0</v>
      </c>
      <c r="L21" s="307">
        <f t="shared" si="21"/>
        <v>0</v>
      </c>
      <c r="M21" s="307">
        <f t="shared" si="21"/>
        <v>0</v>
      </c>
      <c r="N21" s="307">
        <f t="shared" si="21"/>
        <v>0</v>
      </c>
      <c r="O21" s="307">
        <f t="shared" si="21"/>
        <v>0</v>
      </c>
      <c r="P21" s="307">
        <f t="shared" si="21"/>
        <v>0</v>
      </c>
      <c r="Q21" s="307">
        <f t="shared" si="21"/>
        <v>0</v>
      </c>
      <c r="R21" s="307">
        <f t="shared" si="21"/>
        <v>0</v>
      </c>
      <c r="S21" s="307">
        <f t="shared" si="21"/>
        <v>0</v>
      </c>
      <c r="T21" s="307">
        <f t="shared" si="21"/>
        <v>0</v>
      </c>
      <c r="U21" s="307">
        <f t="shared" si="21"/>
        <v>0</v>
      </c>
      <c r="V21" s="307">
        <f t="shared" si="21"/>
        <v>0</v>
      </c>
      <c r="W21" s="307">
        <f t="shared" si="21"/>
        <v>0</v>
      </c>
      <c r="X21" s="307">
        <f t="shared" si="21"/>
        <v>0</v>
      </c>
      <c r="Y21" s="307">
        <f t="shared" si="21"/>
        <v>0</v>
      </c>
      <c r="Z21" s="307">
        <f t="shared" si="21"/>
        <v>0</v>
      </c>
      <c r="AA21" s="307">
        <f t="shared" si="21"/>
        <v>0</v>
      </c>
      <c r="AB21" s="307">
        <f t="shared" si="21"/>
        <v>0</v>
      </c>
      <c r="AC21" s="307">
        <f t="shared" si="21"/>
        <v>0</v>
      </c>
      <c r="AD21" s="307">
        <f t="shared" si="21"/>
        <v>0</v>
      </c>
      <c r="AE21" s="476">
        <f t="shared" si="20"/>
        <v>0</v>
      </c>
      <c r="AF21" s="9"/>
    </row>
    <row r="22" spans="1:33" s="32" customFormat="1" ht="12.75" x14ac:dyDescent="0.2">
      <c r="A22" s="93"/>
      <c r="B22" s="32" t="s">
        <v>54</v>
      </c>
      <c r="C22" s="32" t="s">
        <v>148</v>
      </c>
      <c r="E22" s="94" t="s">
        <v>20</v>
      </c>
      <c r="F22" s="363">
        <f t="shared" si="21"/>
        <v>0</v>
      </c>
      <c r="G22" s="307">
        <f t="shared" si="21"/>
        <v>0</v>
      </c>
      <c r="H22" s="307">
        <f t="shared" si="21"/>
        <v>0</v>
      </c>
      <c r="I22" s="307">
        <f t="shared" si="21"/>
        <v>0</v>
      </c>
      <c r="J22" s="307">
        <f t="shared" si="21"/>
        <v>0</v>
      </c>
      <c r="K22" s="307">
        <f t="shared" si="21"/>
        <v>0</v>
      </c>
      <c r="L22" s="307">
        <f t="shared" si="21"/>
        <v>0</v>
      </c>
      <c r="M22" s="307">
        <f t="shared" si="21"/>
        <v>0</v>
      </c>
      <c r="N22" s="307">
        <f t="shared" si="21"/>
        <v>0</v>
      </c>
      <c r="O22" s="307">
        <f t="shared" si="21"/>
        <v>0</v>
      </c>
      <c r="P22" s="307">
        <f t="shared" si="21"/>
        <v>0</v>
      </c>
      <c r="Q22" s="307">
        <f t="shared" si="21"/>
        <v>0</v>
      </c>
      <c r="R22" s="307">
        <f t="shared" si="21"/>
        <v>0</v>
      </c>
      <c r="S22" s="307">
        <f t="shared" si="21"/>
        <v>0</v>
      </c>
      <c r="T22" s="307">
        <f t="shared" si="21"/>
        <v>0</v>
      </c>
      <c r="U22" s="307">
        <f t="shared" si="21"/>
        <v>0</v>
      </c>
      <c r="V22" s="307">
        <f t="shared" si="21"/>
        <v>0</v>
      </c>
      <c r="W22" s="307">
        <f t="shared" si="21"/>
        <v>0</v>
      </c>
      <c r="X22" s="307">
        <f t="shared" si="21"/>
        <v>0</v>
      </c>
      <c r="Y22" s="307">
        <f t="shared" si="21"/>
        <v>0</v>
      </c>
      <c r="Z22" s="307">
        <f t="shared" si="21"/>
        <v>0</v>
      </c>
      <c r="AA22" s="307">
        <f t="shared" si="21"/>
        <v>0</v>
      </c>
      <c r="AB22" s="307">
        <f t="shared" si="21"/>
        <v>0</v>
      </c>
      <c r="AC22" s="307">
        <f t="shared" si="21"/>
        <v>0</v>
      </c>
      <c r="AD22" s="307">
        <f t="shared" si="21"/>
        <v>0</v>
      </c>
      <c r="AE22" s="476">
        <f t="shared" si="20"/>
        <v>0</v>
      </c>
      <c r="AF22" s="9"/>
    </row>
    <row r="23" spans="1:33" s="32" customFormat="1" ht="13.5" customHeight="1" x14ac:dyDescent="0.2">
      <c r="A23" s="93"/>
      <c r="B23" s="32" t="s">
        <v>55</v>
      </c>
      <c r="C23" s="32" t="s">
        <v>149</v>
      </c>
      <c r="E23" s="94" t="s">
        <v>20</v>
      </c>
      <c r="F23" s="363">
        <f t="shared" si="21"/>
        <v>0</v>
      </c>
      <c r="G23" s="307">
        <f t="shared" si="21"/>
        <v>0</v>
      </c>
      <c r="H23" s="307">
        <f t="shared" si="21"/>
        <v>110.94674556213016</v>
      </c>
      <c r="I23" s="307">
        <f t="shared" si="21"/>
        <v>104.90157032316796</v>
      </c>
      <c r="J23" s="307">
        <f t="shared" si="21"/>
        <v>99.157286159448176</v>
      </c>
      <c r="K23" s="307">
        <f t="shared" si="21"/>
        <v>93.699690170566072</v>
      </c>
      <c r="L23" s="307">
        <f t="shared" si="21"/>
        <v>88.515226881776314</v>
      </c>
      <c r="M23" s="307">
        <f t="shared" si="21"/>
        <v>83.590959452226969</v>
      </c>
      <c r="N23" s="307">
        <f t="shared" si="21"/>
        <v>78.914542140214252</v>
      </c>
      <c r="O23" s="307">
        <f t="shared" si="21"/>
        <v>74.47419397135603</v>
      </c>
      <c r="P23" s="307">
        <f t="shared" si="21"/>
        <v>70.258673557883043</v>
      </c>
      <c r="Q23" s="307">
        <f t="shared" si="21"/>
        <v>66.257255019453325</v>
      </c>
      <c r="R23" s="307">
        <f t="shared" si="21"/>
        <v>0</v>
      </c>
      <c r="S23" s="307">
        <f t="shared" si="21"/>
        <v>0</v>
      </c>
      <c r="T23" s="307">
        <f t="shared" si="21"/>
        <v>0</v>
      </c>
      <c r="U23" s="307">
        <f t="shared" si="21"/>
        <v>0</v>
      </c>
      <c r="V23" s="307">
        <f t="shared" si="21"/>
        <v>0</v>
      </c>
      <c r="W23" s="307">
        <f t="shared" si="21"/>
        <v>0</v>
      </c>
      <c r="X23" s="307">
        <f t="shared" si="21"/>
        <v>0</v>
      </c>
      <c r="Y23" s="307">
        <f t="shared" si="21"/>
        <v>0</v>
      </c>
      <c r="Z23" s="307">
        <f t="shared" si="21"/>
        <v>0</v>
      </c>
      <c r="AA23" s="307">
        <f t="shared" si="21"/>
        <v>0</v>
      </c>
      <c r="AB23" s="307">
        <f t="shared" si="21"/>
        <v>0</v>
      </c>
      <c r="AC23" s="307">
        <f t="shared" si="21"/>
        <v>0</v>
      </c>
      <c r="AD23" s="307">
        <f t="shared" si="21"/>
        <v>0</v>
      </c>
      <c r="AE23" s="476">
        <f t="shared" si="20"/>
        <v>870.71614323822234</v>
      </c>
    </row>
    <row r="24" spans="1:33" s="32" customFormat="1" ht="12.75" x14ac:dyDescent="0.2">
      <c r="A24" s="93"/>
      <c r="B24" s="32" t="s">
        <v>56</v>
      </c>
      <c r="C24" s="26" t="s">
        <v>150</v>
      </c>
      <c r="D24" s="26"/>
      <c r="E24" s="94" t="s">
        <v>20</v>
      </c>
      <c r="F24" s="363">
        <f t="shared" si="21"/>
        <v>29141.25</v>
      </c>
      <c r="G24" s="307">
        <f t="shared" si="21"/>
        <v>24882.451923076922</v>
      </c>
      <c r="H24" s="307">
        <f t="shared" si="21"/>
        <v>58050.573224852065</v>
      </c>
      <c r="I24" s="307">
        <f t="shared" si="21"/>
        <v>0</v>
      </c>
      <c r="J24" s="307">
        <f t="shared" si="21"/>
        <v>0</v>
      </c>
      <c r="K24" s="307">
        <f t="shared" si="21"/>
        <v>0</v>
      </c>
      <c r="L24" s="307">
        <f t="shared" si="21"/>
        <v>0</v>
      </c>
      <c r="M24" s="307">
        <f t="shared" si="21"/>
        <v>0</v>
      </c>
      <c r="N24" s="307">
        <f t="shared" si="21"/>
        <v>0</v>
      </c>
      <c r="O24" s="307">
        <f t="shared" si="21"/>
        <v>0</v>
      </c>
      <c r="P24" s="307">
        <f t="shared" si="21"/>
        <v>0</v>
      </c>
      <c r="Q24" s="307">
        <f t="shared" si="21"/>
        <v>0</v>
      </c>
      <c r="R24" s="307">
        <f t="shared" si="21"/>
        <v>0</v>
      </c>
      <c r="S24" s="307">
        <f t="shared" si="21"/>
        <v>0</v>
      </c>
      <c r="T24" s="307">
        <f t="shared" si="21"/>
        <v>0</v>
      </c>
      <c r="U24" s="307">
        <f t="shared" si="21"/>
        <v>0</v>
      </c>
      <c r="V24" s="307">
        <f t="shared" si="21"/>
        <v>0</v>
      </c>
      <c r="W24" s="307">
        <f t="shared" si="21"/>
        <v>0</v>
      </c>
      <c r="X24" s="307">
        <f t="shared" si="21"/>
        <v>0</v>
      </c>
      <c r="Y24" s="307">
        <f t="shared" si="21"/>
        <v>0</v>
      </c>
      <c r="Z24" s="307">
        <f t="shared" si="21"/>
        <v>0</v>
      </c>
      <c r="AA24" s="307">
        <f t="shared" si="21"/>
        <v>0</v>
      </c>
      <c r="AB24" s="307">
        <f t="shared" si="21"/>
        <v>0</v>
      </c>
      <c r="AC24" s="307">
        <f t="shared" si="21"/>
        <v>0</v>
      </c>
      <c r="AD24" s="307">
        <f t="shared" si="21"/>
        <v>0</v>
      </c>
      <c r="AE24" s="476">
        <f t="shared" si="20"/>
        <v>112074.27514792899</v>
      </c>
    </row>
    <row r="25" spans="1:33" s="32" customFormat="1" ht="12.75" x14ac:dyDescent="0.2">
      <c r="A25" s="105"/>
      <c r="B25" s="59" t="s">
        <v>151</v>
      </c>
      <c r="C25" s="59" t="s">
        <v>120</v>
      </c>
      <c r="D25" s="59"/>
      <c r="E25" s="109" t="s">
        <v>20</v>
      </c>
      <c r="F25" s="369">
        <f t="shared" si="21"/>
        <v>-27141.25</v>
      </c>
      <c r="G25" s="370">
        <f t="shared" si="21"/>
        <v>-21997.836538461535</v>
      </c>
      <c r="H25" s="370">
        <f t="shared" si="21"/>
        <v>-53520.247781065082</v>
      </c>
      <c r="I25" s="370">
        <f t="shared" si="21"/>
        <v>800.09672280382335</v>
      </c>
      <c r="J25" s="370">
        <f t="shared" si="21"/>
        <v>769.32377192675312</v>
      </c>
      <c r="K25" s="370">
        <f t="shared" si="21"/>
        <v>739.73439608341641</v>
      </c>
      <c r="L25" s="370">
        <f t="shared" si="21"/>
        <v>711.28307315713118</v>
      </c>
      <c r="M25" s="370">
        <f t="shared" si="21"/>
        <v>683.92603188185694</v>
      </c>
      <c r="N25" s="370">
        <f t="shared" si="21"/>
        <v>657.62118450178536</v>
      </c>
      <c r="O25" s="370">
        <f t="shared" si="21"/>
        <v>632.32806202094741</v>
      </c>
      <c r="P25" s="370">
        <f t="shared" si="21"/>
        <v>608.00775194321864</v>
      </c>
      <c r="Q25" s="370">
        <f t="shared" si="21"/>
        <v>584.62283840694113</v>
      </c>
      <c r="R25" s="370">
        <f t="shared" si="21"/>
        <v>624.59704958006512</v>
      </c>
      <c r="S25" s="370">
        <f t="shared" si="21"/>
        <v>600.57408613467805</v>
      </c>
      <c r="T25" s="370">
        <f t="shared" si="21"/>
        <v>577.47508282180581</v>
      </c>
      <c r="U25" s="370">
        <f t="shared" si="21"/>
        <v>555.26450271327474</v>
      </c>
      <c r="V25" s="370">
        <f t="shared" si="21"/>
        <v>533.908175685841</v>
      </c>
      <c r="W25" s="370">
        <f t="shared" si="21"/>
        <v>513.37324585177021</v>
      </c>
      <c r="X25" s="370">
        <f t="shared" si="21"/>
        <v>493.62812101131749</v>
      </c>
      <c r="Y25" s="370">
        <f t="shared" si="21"/>
        <v>474.64242404934373</v>
      </c>
      <c r="Z25" s="370">
        <f t="shared" si="21"/>
        <v>456.38694620129206</v>
      </c>
      <c r="AA25" s="370">
        <f t="shared" si="21"/>
        <v>438.83360211662688</v>
      </c>
      <c r="AB25" s="370">
        <f t="shared" si="21"/>
        <v>421.9553866506028</v>
      </c>
      <c r="AC25" s="370">
        <f t="shared" si="21"/>
        <v>405.72633331788734</v>
      </c>
      <c r="AD25" s="370">
        <f t="shared" si="21"/>
        <v>390.12147434412242</v>
      </c>
      <c r="AE25" s="478">
        <f t="shared" si="20"/>
        <v>-89985.904056322121</v>
      </c>
    </row>
    <row r="26" spans="1:33" s="32" customFormat="1" ht="12.75" x14ac:dyDescent="0.2">
      <c r="A26" s="105"/>
      <c r="B26" s="59"/>
      <c r="C26" s="59"/>
      <c r="D26" s="59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479"/>
    </row>
    <row r="27" spans="1:33" s="35" customFormat="1" ht="12.75" x14ac:dyDescent="0.2">
      <c r="A27" s="20">
        <v>3</v>
      </c>
      <c r="B27" s="21" t="s">
        <v>121</v>
      </c>
      <c r="C27" s="21"/>
      <c r="D27" s="21"/>
      <c r="E27" s="21"/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3"/>
      <c r="AF27" s="36"/>
      <c r="AG27" s="112"/>
    </row>
    <row r="28" spans="1:33" s="34" customFormat="1" ht="12.75" x14ac:dyDescent="0.2">
      <c r="A28" s="54"/>
      <c r="B28" s="55"/>
      <c r="C28" s="55"/>
      <c r="D28" s="55"/>
      <c r="G28" s="113" t="s">
        <v>122</v>
      </c>
      <c r="H28" s="114"/>
      <c r="I28" s="115" t="s">
        <v>123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9"/>
    </row>
    <row r="29" spans="1:33" s="32" customFormat="1" ht="12.75" x14ac:dyDescent="0.2">
      <c r="A29" s="90"/>
      <c r="B29" s="91" t="s">
        <v>31</v>
      </c>
      <c r="C29" s="91" t="s">
        <v>78</v>
      </c>
      <c r="D29" s="116"/>
      <c r="E29" s="117"/>
      <c r="F29" s="118"/>
      <c r="G29" s="480">
        <f>AE6</f>
        <v>32110</v>
      </c>
      <c r="H29" s="336"/>
      <c r="I29" s="480">
        <f t="shared" ref="I29:I35" si="22">AE18</f>
        <v>22959.087234845087</v>
      </c>
      <c r="J29" s="67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G29" s="9"/>
    </row>
    <row r="30" spans="1:33" s="32" customFormat="1" ht="12.75" hidden="1" x14ac:dyDescent="0.2">
      <c r="A30" s="93"/>
      <c r="B30" s="32" t="s">
        <v>32</v>
      </c>
      <c r="C30" s="32" t="s">
        <v>152</v>
      </c>
      <c r="D30" s="119"/>
      <c r="E30" s="117"/>
      <c r="F30" s="118"/>
      <c r="G30" s="481" t="e">
        <f>#REF!</f>
        <v>#REF!</v>
      </c>
      <c r="H30" s="336"/>
      <c r="I30" s="481" t="e">
        <f t="shared" si="22"/>
        <v>#REF!</v>
      </c>
      <c r="J30" s="67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G30" s="9"/>
    </row>
    <row r="31" spans="1:33" s="32" customFormat="1" ht="12.75" x14ac:dyDescent="0.2">
      <c r="A31" s="93"/>
      <c r="B31" s="32" t="s">
        <v>32</v>
      </c>
      <c r="C31" s="32" t="s">
        <v>75</v>
      </c>
      <c r="D31" s="119"/>
      <c r="E31" s="117"/>
      <c r="F31" s="118"/>
      <c r="G31" s="481">
        <f t="shared" ref="G31:G36" si="23">AE7</f>
        <v>0</v>
      </c>
      <c r="H31" s="336"/>
      <c r="I31" s="481">
        <f t="shared" si="22"/>
        <v>0</v>
      </c>
      <c r="J31" s="67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G31" s="9"/>
    </row>
    <row r="32" spans="1:33" s="32" customFormat="1" ht="12.75" x14ac:dyDescent="0.2">
      <c r="A32" s="93"/>
      <c r="B32" s="32" t="s">
        <v>124</v>
      </c>
      <c r="C32" s="32" t="s">
        <v>108</v>
      </c>
      <c r="D32" s="119"/>
      <c r="E32" s="117"/>
      <c r="F32" s="118"/>
      <c r="G32" s="481">
        <f t="shared" si="23"/>
        <v>0</v>
      </c>
      <c r="H32" s="336"/>
      <c r="I32" s="481">
        <f t="shared" si="22"/>
        <v>0</v>
      </c>
      <c r="J32" s="67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G32" s="9"/>
    </row>
    <row r="33" spans="1:33" s="32" customFormat="1" ht="12.75" x14ac:dyDescent="0.2">
      <c r="A33" s="93"/>
      <c r="B33" s="32" t="s">
        <v>125</v>
      </c>
      <c r="C33" s="32" t="s">
        <v>86</v>
      </c>
      <c r="D33" s="119"/>
      <c r="E33" s="120"/>
      <c r="F33" s="71"/>
      <c r="G33" s="481">
        <f t="shared" si="23"/>
        <v>0</v>
      </c>
      <c r="H33" s="336"/>
      <c r="I33" s="481">
        <f t="shared" si="22"/>
        <v>0</v>
      </c>
      <c r="J33" s="67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G33" s="9"/>
    </row>
    <row r="34" spans="1:33" s="32" customFormat="1" ht="12.75" x14ac:dyDescent="0.2">
      <c r="A34" s="93"/>
      <c r="B34" s="32" t="s">
        <v>126</v>
      </c>
      <c r="C34" s="32" t="s">
        <v>143</v>
      </c>
      <c r="D34" s="119"/>
      <c r="E34" s="120"/>
      <c r="F34" s="71"/>
      <c r="G34" s="481">
        <f t="shared" si="23"/>
        <v>1110</v>
      </c>
      <c r="H34" s="336"/>
      <c r="I34" s="481">
        <f t="shared" si="22"/>
        <v>870.71614323822234</v>
      </c>
      <c r="J34" s="67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G34" s="9"/>
    </row>
    <row r="35" spans="1:33" s="32" customFormat="1" ht="12.75" x14ac:dyDescent="0.2">
      <c r="A35" s="93"/>
      <c r="B35" s="32" t="s">
        <v>153</v>
      </c>
      <c r="C35" s="32" t="str">
        <f>C11</f>
        <v xml:space="preserve">Projektā ieguldītais kapitāls </v>
      </c>
      <c r="D35" s="119"/>
      <c r="E35" s="120"/>
      <c r="F35" s="71"/>
      <c r="G35" s="481">
        <f t="shared" si="23"/>
        <v>117806.5</v>
      </c>
      <c r="H35" s="336"/>
      <c r="I35" s="481">
        <f t="shared" si="22"/>
        <v>112074.27514792899</v>
      </c>
      <c r="J35" s="67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G35" s="9"/>
    </row>
    <row r="36" spans="1:33" s="32" customFormat="1" ht="12.75" x14ac:dyDescent="0.2">
      <c r="A36" s="105"/>
      <c r="B36" s="59" t="s">
        <v>154</v>
      </c>
      <c r="C36" s="59" t="s">
        <v>89</v>
      </c>
      <c r="D36" s="121"/>
      <c r="E36" s="120"/>
      <c r="F36" s="71"/>
      <c r="G36" s="482">
        <f t="shared" si="23"/>
        <v>-86806.5</v>
      </c>
      <c r="H36" s="336"/>
      <c r="I36" s="482">
        <f>AE25</f>
        <v>-89985.904056322121</v>
      </c>
      <c r="J36" s="67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G36" s="9"/>
    </row>
    <row r="37" spans="1:33" s="32" customFormat="1" ht="12.75" x14ac:dyDescent="0.2">
      <c r="A37" s="9"/>
      <c r="B37" s="9"/>
      <c r="C37" s="9"/>
      <c r="D37" s="9"/>
      <c r="E37" s="71"/>
      <c r="F37" s="71"/>
      <c r="G37" s="483"/>
      <c r="H37" s="46"/>
      <c r="I37" s="483"/>
      <c r="J37" s="67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G37" s="9"/>
    </row>
    <row r="38" spans="1:33" s="35" customFormat="1" ht="12.75" x14ac:dyDescent="0.2">
      <c r="A38" s="20">
        <v>4</v>
      </c>
      <c r="B38" s="21" t="s">
        <v>127</v>
      </c>
      <c r="C38" s="21"/>
      <c r="D38" s="21"/>
      <c r="E38" s="21"/>
      <c r="F38" s="2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3"/>
      <c r="AF38" s="36"/>
      <c r="AG38" s="112"/>
    </row>
    <row r="39" spans="1:33" s="32" customFormat="1" ht="12.75" x14ac:dyDescent="0.2">
      <c r="A39" s="90"/>
      <c r="B39" s="91" t="s">
        <v>74</v>
      </c>
      <c r="C39" s="91" t="s">
        <v>155</v>
      </c>
      <c r="D39" s="116"/>
      <c r="E39" s="122"/>
      <c r="F39" s="123"/>
      <c r="G39" s="480">
        <f>I36</f>
        <v>-89985.904056322121</v>
      </c>
      <c r="H39" s="9"/>
      <c r="I39" s="9"/>
      <c r="J39" s="9"/>
      <c r="K39" s="9"/>
      <c r="L39" s="9"/>
      <c r="M39" s="9"/>
      <c r="N39" s="7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G39" s="9"/>
    </row>
    <row r="40" spans="1:33" s="32" customFormat="1" ht="12.75" x14ac:dyDescent="0.2">
      <c r="A40" s="105"/>
      <c r="B40" s="59" t="s">
        <v>99</v>
      </c>
      <c r="C40" s="59" t="s">
        <v>156</v>
      </c>
      <c r="D40" s="121"/>
      <c r="E40" s="122"/>
      <c r="F40" s="123"/>
      <c r="G40" s="484">
        <f>IRR(F12:AD12,'7.DL Jutīguma analīze_Invest'!K52)</f>
        <v>-0.10606705946752182</v>
      </c>
      <c r="H40" s="158" t="s">
        <v>472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G40" s="9"/>
    </row>
  </sheetData>
  <sheetProtection algorithmName="SHA-512" hashValue="lZVFqdwVoZAGTR/9qVZXKAKSv/zT+Bsz2bviYMc6kzzYY6ctMdvwZ5pus56PLs2ms9Xj7yn2JVevAnULp3YENA==" saltValue="XatAtU0y1bDZSp1Pr29zqQ==" spinCount="100000" sheet="1" formatCells="0" formatColumns="0" formatRows="0"/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</sheetPr>
  <dimension ref="A1:AI39"/>
  <sheetViews>
    <sheetView topLeftCell="A4" workbookViewId="0">
      <selection activeCell="C8" sqref="C8"/>
    </sheetView>
  </sheetViews>
  <sheetFormatPr defaultColWidth="9.140625" defaultRowHeight="15" x14ac:dyDescent="0.25"/>
  <cols>
    <col min="1" max="2" width="9.140625" style="428"/>
    <col min="3" max="3" width="42.7109375" style="428" customWidth="1"/>
    <col min="4" max="4" width="9.140625" style="428"/>
    <col min="5" max="5" width="12.42578125" style="428" bestFit="1" customWidth="1"/>
    <col min="6" max="7" width="13.5703125" style="428" bestFit="1" customWidth="1"/>
    <col min="8" max="8" width="20" style="428" customWidth="1"/>
    <col min="9" max="9" width="11.140625" style="428" customWidth="1"/>
    <col min="10" max="10" width="11" style="428" customWidth="1"/>
    <col min="11" max="11" width="10.5703125" style="428" customWidth="1"/>
    <col min="12" max="12" width="10.85546875" style="428" customWidth="1"/>
    <col min="13" max="13" width="11.5703125" style="428" customWidth="1"/>
    <col min="14" max="14" width="11" style="428" customWidth="1"/>
    <col min="15" max="15" width="10" style="428" customWidth="1"/>
    <col min="16" max="16" width="11.28515625" style="428" customWidth="1"/>
    <col min="17" max="29" width="9.140625" style="428"/>
    <col min="30" max="30" width="12" style="428" customWidth="1"/>
    <col min="31" max="16384" width="9.140625" style="428"/>
  </cols>
  <sheetData>
    <row r="1" spans="1:35" s="25" customFormat="1" ht="27" customHeight="1" x14ac:dyDescent="0.2">
      <c r="A1" s="1017" t="s">
        <v>402</v>
      </c>
      <c r="B1" s="1017"/>
      <c r="C1" s="1017"/>
      <c r="D1" s="1017"/>
      <c r="E1" s="1017"/>
      <c r="F1" s="1017"/>
      <c r="G1" s="32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32"/>
    </row>
    <row r="2" spans="1:35" s="25" customFormat="1" ht="24.95" customHeight="1" x14ac:dyDescent="0.35">
      <c r="A2" s="1018" t="s">
        <v>157</v>
      </c>
      <c r="B2" s="1018"/>
      <c r="C2" s="1018"/>
      <c r="D2" s="1018"/>
      <c r="E2" s="1019"/>
      <c r="F2" s="1019"/>
      <c r="G2" s="32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32"/>
    </row>
    <row r="3" spans="1:35" s="25" customFormat="1" ht="12.75" customHeight="1" x14ac:dyDescent="0.2">
      <c r="A3" s="125"/>
      <c r="B3" s="11"/>
      <c r="C3" s="12"/>
      <c r="D3" s="13"/>
      <c r="E3" s="84">
        <v>0</v>
      </c>
      <c r="F3" s="84">
        <f>1+E3</f>
        <v>1</v>
      </c>
      <c r="G3" s="84">
        <f t="shared" ref="G3:P3" si="0">1+F3</f>
        <v>2</v>
      </c>
      <c r="H3" s="84">
        <f t="shared" si="0"/>
        <v>3</v>
      </c>
      <c r="I3" s="84">
        <f t="shared" si="0"/>
        <v>4</v>
      </c>
      <c r="J3" s="84">
        <f t="shared" si="0"/>
        <v>5</v>
      </c>
      <c r="K3" s="84">
        <f t="shared" si="0"/>
        <v>6</v>
      </c>
      <c r="L3" s="84">
        <f t="shared" si="0"/>
        <v>7</v>
      </c>
      <c r="M3" s="84">
        <f t="shared" si="0"/>
        <v>8</v>
      </c>
      <c r="N3" s="84">
        <f t="shared" si="0"/>
        <v>9</v>
      </c>
      <c r="O3" s="84">
        <f t="shared" si="0"/>
        <v>10</v>
      </c>
      <c r="P3" s="84">
        <f t="shared" si="0"/>
        <v>11</v>
      </c>
      <c r="Q3" s="84">
        <f t="shared" ref="Q3:AC3" si="1">1+P3</f>
        <v>12</v>
      </c>
      <c r="R3" s="84">
        <f t="shared" si="1"/>
        <v>13</v>
      </c>
      <c r="S3" s="84">
        <f t="shared" si="1"/>
        <v>14</v>
      </c>
      <c r="T3" s="84">
        <f t="shared" si="1"/>
        <v>15</v>
      </c>
      <c r="U3" s="84">
        <f t="shared" si="1"/>
        <v>16</v>
      </c>
      <c r="V3" s="84">
        <f t="shared" si="1"/>
        <v>17</v>
      </c>
      <c r="W3" s="84">
        <f t="shared" si="1"/>
        <v>18</v>
      </c>
      <c r="X3" s="84">
        <f t="shared" si="1"/>
        <v>19</v>
      </c>
      <c r="Y3" s="84">
        <f t="shared" si="1"/>
        <v>20</v>
      </c>
      <c r="Z3" s="84">
        <f t="shared" si="1"/>
        <v>21</v>
      </c>
      <c r="AA3" s="84">
        <f t="shared" si="1"/>
        <v>22</v>
      </c>
      <c r="AB3" s="84">
        <f t="shared" si="1"/>
        <v>23</v>
      </c>
      <c r="AC3" s="84">
        <f t="shared" si="1"/>
        <v>24</v>
      </c>
      <c r="AD3" s="126"/>
      <c r="AE3" s="9"/>
    </row>
    <row r="4" spans="1:35" s="25" customFormat="1" ht="12.75" x14ac:dyDescent="0.2">
      <c r="A4" s="14"/>
      <c r="B4" s="15"/>
      <c r="C4" s="15"/>
      <c r="D4" s="16" t="s">
        <v>39</v>
      </c>
      <c r="E4" s="87">
        <f>Titullapa!D10</f>
        <v>2021</v>
      </c>
      <c r="F4" s="87">
        <f>1+E4</f>
        <v>2022</v>
      </c>
      <c r="G4" s="87">
        <f t="shared" ref="G4:P4" si="2">1+F4</f>
        <v>2023</v>
      </c>
      <c r="H4" s="87">
        <f t="shared" si="2"/>
        <v>2024</v>
      </c>
      <c r="I4" s="87">
        <f t="shared" si="2"/>
        <v>2025</v>
      </c>
      <c r="J4" s="87">
        <f t="shared" si="2"/>
        <v>2026</v>
      </c>
      <c r="K4" s="87">
        <f t="shared" si="2"/>
        <v>2027</v>
      </c>
      <c r="L4" s="87">
        <f t="shared" si="2"/>
        <v>2028</v>
      </c>
      <c r="M4" s="87">
        <f t="shared" si="2"/>
        <v>2029</v>
      </c>
      <c r="N4" s="87">
        <f t="shared" si="2"/>
        <v>2030</v>
      </c>
      <c r="O4" s="87">
        <f t="shared" si="2"/>
        <v>2031</v>
      </c>
      <c r="P4" s="87">
        <f t="shared" si="2"/>
        <v>2032</v>
      </c>
      <c r="Q4" s="87">
        <f t="shared" ref="Q4:AC4" si="3">1+P4</f>
        <v>2033</v>
      </c>
      <c r="R4" s="87">
        <f t="shared" si="3"/>
        <v>2034</v>
      </c>
      <c r="S4" s="87">
        <f t="shared" si="3"/>
        <v>2035</v>
      </c>
      <c r="T4" s="87">
        <f t="shared" si="3"/>
        <v>2036</v>
      </c>
      <c r="U4" s="87">
        <f t="shared" si="3"/>
        <v>2037</v>
      </c>
      <c r="V4" s="87">
        <f t="shared" si="3"/>
        <v>2038</v>
      </c>
      <c r="W4" s="87">
        <f t="shared" si="3"/>
        <v>2039</v>
      </c>
      <c r="X4" s="87">
        <f t="shared" si="3"/>
        <v>2040</v>
      </c>
      <c r="Y4" s="87">
        <f t="shared" si="3"/>
        <v>2041</v>
      </c>
      <c r="Z4" s="87">
        <f t="shared" si="3"/>
        <v>2042</v>
      </c>
      <c r="AA4" s="87">
        <f t="shared" si="3"/>
        <v>2043</v>
      </c>
      <c r="AB4" s="87">
        <f t="shared" si="3"/>
        <v>2044</v>
      </c>
      <c r="AC4" s="87">
        <f t="shared" si="3"/>
        <v>2045</v>
      </c>
      <c r="AD4" s="127" t="s">
        <v>40</v>
      </c>
      <c r="AE4" s="9"/>
      <c r="AF4" s="86"/>
      <c r="AG4" s="86"/>
      <c r="AH4" s="86"/>
      <c r="AI4" s="86"/>
    </row>
    <row r="5" spans="1:35" s="41" customFormat="1" x14ac:dyDescent="0.25">
      <c r="A5" s="37">
        <v>1</v>
      </c>
      <c r="B5" s="38" t="s">
        <v>41</v>
      </c>
      <c r="C5" s="38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40"/>
      <c r="AE5" s="33"/>
    </row>
    <row r="6" spans="1:35" s="32" customFormat="1" ht="12.75" x14ac:dyDescent="0.2">
      <c r="A6" s="90"/>
      <c r="B6" s="688" t="s">
        <v>27</v>
      </c>
      <c r="C6" s="91" t="s">
        <v>78</v>
      </c>
      <c r="D6" s="91" t="s">
        <v>20</v>
      </c>
      <c r="E6" s="371">
        <f>'11.AL Alternatīvu analīze'!B16</f>
        <v>2000</v>
      </c>
      <c r="F6" s="372">
        <f>'11.AL Alternatīvu analīze'!C16</f>
        <v>3000</v>
      </c>
      <c r="G6" s="372">
        <f>'11.AL Alternatīvu analīze'!D16</f>
        <v>5020</v>
      </c>
      <c r="H6" s="372">
        <f>'11.AL Alternatīvu analīze'!E16</f>
        <v>1018</v>
      </c>
      <c r="I6" s="372">
        <f>'11.AL Alternatīvu analīze'!F16</f>
        <v>1016</v>
      </c>
      <c r="J6" s="372">
        <f>'11.AL Alternatīvu analīze'!G16</f>
        <v>1014</v>
      </c>
      <c r="K6" s="372">
        <f>'11.AL Alternatīvu analīze'!H16</f>
        <v>1012</v>
      </c>
      <c r="L6" s="372">
        <f>'11.AL Alternatīvu analīze'!I16</f>
        <v>1010</v>
      </c>
      <c r="M6" s="372">
        <f>'11.AL Alternatīvu analīze'!J16</f>
        <v>1008</v>
      </c>
      <c r="N6" s="372">
        <f>'11.AL Alternatīvu analīze'!K16</f>
        <v>1006</v>
      </c>
      <c r="O6" s="372">
        <f>'11.AL Alternatīvu analīze'!L16</f>
        <v>1004</v>
      </c>
      <c r="P6" s="372">
        <f>'11.AL Alternatīvu analīze'!M16</f>
        <v>1002</v>
      </c>
      <c r="Q6" s="372">
        <f>'11.AL Alternatīvu analīze'!N16</f>
        <v>1000</v>
      </c>
      <c r="R6" s="372">
        <f>'11.AL Alternatīvu analīze'!O16</f>
        <v>1000</v>
      </c>
      <c r="S6" s="372">
        <f>'11.AL Alternatīvu analīze'!P16</f>
        <v>1000</v>
      </c>
      <c r="T6" s="372">
        <f>'11.AL Alternatīvu analīze'!Q16</f>
        <v>1000</v>
      </c>
      <c r="U6" s="372">
        <f>'11.AL Alternatīvu analīze'!R16</f>
        <v>1000</v>
      </c>
      <c r="V6" s="372">
        <f>'11.AL Alternatīvu analīze'!S16</f>
        <v>1000</v>
      </c>
      <c r="W6" s="372">
        <f>'11.AL Alternatīvu analīze'!T16</f>
        <v>1000</v>
      </c>
      <c r="X6" s="372">
        <f>'11.AL Alternatīvu analīze'!U16</f>
        <v>1000</v>
      </c>
      <c r="Y6" s="372">
        <f>'11.AL Alternatīvu analīze'!V16</f>
        <v>1000</v>
      </c>
      <c r="Z6" s="372">
        <f>'11.AL Alternatīvu analīze'!W16</f>
        <v>1000</v>
      </c>
      <c r="AA6" s="372">
        <f>'11.AL Alternatīvu analīze'!X16</f>
        <v>1000</v>
      </c>
      <c r="AB6" s="372">
        <f>'11.AL Alternatīvu analīze'!Y16</f>
        <v>1000</v>
      </c>
      <c r="AC6" s="372">
        <f>'11.AL Alternatīvu analīze'!Z16</f>
        <v>1000</v>
      </c>
      <c r="AD6" s="373">
        <f>SUM(E6:AC6)</f>
        <v>32110</v>
      </c>
      <c r="AE6" s="33"/>
      <c r="AF6" s="89"/>
    </row>
    <row r="7" spans="1:35" s="32" customFormat="1" ht="12.75" x14ac:dyDescent="0.2">
      <c r="A7" s="93"/>
      <c r="B7" s="69" t="s">
        <v>28</v>
      </c>
      <c r="C7" s="32" t="s">
        <v>108</v>
      </c>
      <c r="D7" s="32" t="s">
        <v>20</v>
      </c>
      <c r="E7" s="374">
        <f>'11.AL Alternatīvu analīze'!B15</f>
        <v>0</v>
      </c>
      <c r="F7" s="375">
        <f>'11.AL Alternatīvu analīze'!C15</f>
        <v>0</v>
      </c>
      <c r="G7" s="375">
        <f>'11.AL Alternatīvu analīze'!D15</f>
        <v>0</v>
      </c>
      <c r="H7" s="375">
        <f>'11.AL Alternatīvu analīze'!E15</f>
        <v>0</v>
      </c>
      <c r="I7" s="375">
        <f>'11.AL Alternatīvu analīze'!F15</f>
        <v>0</v>
      </c>
      <c r="J7" s="375">
        <f>'11.AL Alternatīvu analīze'!G15</f>
        <v>0</v>
      </c>
      <c r="K7" s="375">
        <f>'11.AL Alternatīvu analīze'!H15</f>
        <v>0</v>
      </c>
      <c r="L7" s="375">
        <f>'11.AL Alternatīvu analīze'!I15</f>
        <v>0</v>
      </c>
      <c r="M7" s="375">
        <f>'11.AL Alternatīvu analīze'!J15</f>
        <v>0</v>
      </c>
      <c r="N7" s="375">
        <f>'11.AL Alternatīvu analīze'!K15</f>
        <v>0</v>
      </c>
      <c r="O7" s="375">
        <f>'11.AL Alternatīvu analīze'!L15</f>
        <v>0</v>
      </c>
      <c r="P7" s="375">
        <f>'11.AL Alternatīvu analīze'!M15</f>
        <v>0</v>
      </c>
      <c r="Q7" s="375">
        <f>'11.AL Alternatīvu analīze'!N15</f>
        <v>0</v>
      </c>
      <c r="R7" s="375">
        <f>'11.AL Alternatīvu analīze'!O15</f>
        <v>0</v>
      </c>
      <c r="S7" s="375">
        <f>'11.AL Alternatīvu analīze'!P15</f>
        <v>0</v>
      </c>
      <c r="T7" s="375">
        <f>'11.AL Alternatīvu analīze'!Q15</f>
        <v>0</v>
      </c>
      <c r="U7" s="375">
        <f>'11.AL Alternatīvu analīze'!R15</f>
        <v>0</v>
      </c>
      <c r="V7" s="375">
        <f>'11.AL Alternatīvu analīze'!S15</f>
        <v>0</v>
      </c>
      <c r="W7" s="375">
        <f>'11.AL Alternatīvu analīze'!T15</f>
        <v>0</v>
      </c>
      <c r="X7" s="375">
        <f>'11.AL Alternatīvu analīze'!U15</f>
        <v>0</v>
      </c>
      <c r="Y7" s="375">
        <f>'11.AL Alternatīvu analīze'!V15</f>
        <v>0</v>
      </c>
      <c r="Z7" s="375">
        <f>'11.AL Alternatīvu analīze'!W15</f>
        <v>0</v>
      </c>
      <c r="AA7" s="375">
        <f>'11.AL Alternatīvu analīze'!X15</f>
        <v>0</v>
      </c>
      <c r="AB7" s="375">
        <f>'11.AL Alternatīvu analīze'!Y15</f>
        <v>0</v>
      </c>
      <c r="AC7" s="375">
        <f>'11.AL Alternatīvu analīze'!Z15</f>
        <v>0</v>
      </c>
      <c r="AD7" s="376">
        <f>SUM(E7:AC7)</f>
        <v>0</v>
      </c>
      <c r="AE7" s="33"/>
    </row>
    <row r="8" spans="1:35" s="32" customFormat="1" ht="12.75" x14ac:dyDescent="0.2">
      <c r="A8" s="93"/>
      <c r="B8" s="69" t="s">
        <v>80</v>
      </c>
      <c r="C8" s="69" t="s">
        <v>85</v>
      </c>
      <c r="D8" s="69" t="s">
        <v>20</v>
      </c>
      <c r="E8" s="374">
        <f>'3.DL Naudas plūsma ar projektu'!E55</f>
        <v>99500</v>
      </c>
      <c r="F8" s="375">
        <f>'3.DL Naudas plūsma ar projektu'!F55</f>
        <v>83500</v>
      </c>
      <c r="G8" s="375">
        <f>'3.DL Naudas plūsma ar projektu'!G55</f>
        <v>25000</v>
      </c>
      <c r="H8" s="375">
        <f>'3.DL Naudas plūsma ar projektu'!H55</f>
        <v>0</v>
      </c>
      <c r="I8" s="375">
        <f>'3.DL Naudas plūsma ar projektu'!I55</f>
        <v>0</v>
      </c>
      <c r="J8" s="375">
        <f>'3.DL Naudas plūsma ar projektu'!J55</f>
        <v>0</v>
      </c>
      <c r="K8" s="375">
        <f>'3.DL Naudas plūsma ar projektu'!K55</f>
        <v>0</v>
      </c>
      <c r="L8" s="375">
        <f>'3.DL Naudas plūsma ar projektu'!L55</f>
        <v>0</v>
      </c>
      <c r="M8" s="375">
        <f>'3.DL Naudas plūsma ar projektu'!M55</f>
        <v>0</v>
      </c>
      <c r="N8" s="375">
        <f>'3.DL Naudas plūsma ar projektu'!N55</f>
        <v>0</v>
      </c>
      <c r="O8" s="375">
        <f>'3.DL Naudas plūsma ar projektu'!O55</f>
        <v>0</v>
      </c>
      <c r="P8" s="375">
        <f>'3.DL Naudas plūsma ar projektu'!P55</f>
        <v>0</v>
      </c>
      <c r="Q8" s="375">
        <f>'3.DL Naudas plūsma ar projektu'!Q55</f>
        <v>0</v>
      </c>
      <c r="R8" s="375">
        <f>'3.DL Naudas plūsma ar projektu'!R55</f>
        <v>0</v>
      </c>
      <c r="S8" s="375">
        <f>'3.DL Naudas plūsma ar projektu'!S55</f>
        <v>0</v>
      </c>
      <c r="T8" s="375">
        <f>'3.DL Naudas plūsma ar projektu'!T55</f>
        <v>0</v>
      </c>
      <c r="U8" s="375">
        <f>'3.DL Naudas plūsma ar projektu'!U55</f>
        <v>0</v>
      </c>
      <c r="V8" s="375">
        <f>'3.DL Naudas plūsma ar projektu'!V55</f>
        <v>0</v>
      </c>
      <c r="W8" s="375">
        <f>'3.DL Naudas plūsma ar projektu'!W55</f>
        <v>0</v>
      </c>
      <c r="X8" s="375">
        <f>'3.DL Naudas plūsma ar projektu'!X55</f>
        <v>0</v>
      </c>
      <c r="Y8" s="375">
        <f>'3.DL Naudas plūsma ar projektu'!Y55</f>
        <v>0</v>
      </c>
      <c r="Z8" s="375">
        <f>'3.DL Naudas plūsma ar projektu'!Z55</f>
        <v>0</v>
      </c>
      <c r="AA8" s="375">
        <f>'3.DL Naudas plūsma ar projektu'!AA55</f>
        <v>0</v>
      </c>
      <c r="AB8" s="375">
        <f>'3.DL Naudas plūsma ar projektu'!AB55</f>
        <v>0</v>
      </c>
      <c r="AC8" s="375">
        <f>'3.DL Naudas plūsma ar projektu'!AC55</f>
        <v>0</v>
      </c>
      <c r="AD8" s="376">
        <f>SUM(E8:AC8)</f>
        <v>208000</v>
      </c>
      <c r="AE8" s="33"/>
      <c r="AF8" s="45"/>
    </row>
    <row r="9" spans="1:35" s="133" customFormat="1" ht="12.75" x14ac:dyDescent="0.2">
      <c r="A9" s="128"/>
      <c r="B9" s="129" t="s">
        <v>158</v>
      </c>
      <c r="C9" s="129" t="s">
        <v>159</v>
      </c>
      <c r="D9" s="130" t="s">
        <v>20</v>
      </c>
      <c r="E9" s="377">
        <f>'3.DL Naudas plūsma ar projektu'!E56</f>
        <v>97000</v>
      </c>
      <c r="F9" s="378">
        <f>'3.DL Naudas plūsma ar projektu'!F56</f>
        <v>81000</v>
      </c>
      <c r="G9" s="378">
        <f>'3.DL Naudas plūsma ar projektu'!G56</f>
        <v>25000</v>
      </c>
      <c r="H9" s="378">
        <f>'3.DL Naudas plūsma ar projektu'!H56-'1.DL Projekta budžets'!S17</f>
        <v>0</v>
      </c>
      <c r="I9" s="378">
        <f>'3.DL Naudas plūsma ar projektu'!I56-'1.DL Projekta budžets'!U17</f>
        <v>0</v>
      </c>
      <c r="J9" s="378">
        <f>'3.DL Naudas plūsma ar projektu'!J56-'1.DL Projekta budžets'!W17</f>
        <v>0</v>
      </c>
      <c r="K9" s="378">
        <f>'3.DL Naudas plūsma ar projektu'!K56</f>
        <v>0</v>
      </c>
      <c r="L9" s="378">
        <f>'3.DL Naudas plūsma ar projektu'!L56</f>
        <v>0</v>
      </c>
      <c r="M9" s="378">
        <f>'3.DL Naudas plūsma ar projektu'!M56</f>
        <v>0</v>
      </c>
      <c r="N9" s="378">
        <f>'3.DL Naudas plūsma ar projektu'!N56</f>
        <v>0</v>
      </c>
      <c r="O9" s="378">
        <f>'3.DL Naudas plūsma ar projektu'!O56</f>
        <v>0</v>
      </c>
      <c r="P9" s="378">
        <f>'3.DL Naudas plūsma ar projektu'!P56</f>
        <v>0</v>
      </c>
      <c r="Q9" s="378">
        <f>'3.DL Naudas plūsma ar projektu'!Q56</f>
        <v>0</v>
      </c>
      <c r="R9" s="378">
        <f>'3.DL Naudas plūsma ar projektu'!R56</f>
        <v>0</v>
      </c>
      <c r="S9" s="378">
        <f>'3.DL Naudas plūsma ar projektu'!S56</f>
        <v>0</v>
      </c>
      <c r="T9" s="378">
        <f>'3.DL Naudas plūsma ar projektu'!T56</f>
        <v>0</v>
      </c>
      <c r="U9" s="378">
        <f>'3.DL Naudas plūsma ar projektu'!U56</f>
        <v>0</v>
      </c>
      <c r="V9" s="378">
        <f>'3.DL Naudas plūsma ar projektu'!V56</f>
        <v>0</v>
      </c>
      <c r="W9" s="378">
        <f>'3.DL Naudas plūsma ar projektu'!W56</f>
        <v>0</v>
      </c>
      <c r="X9" s="378">
        <f>'3.DL Naudas plūsma ar projektu'!X56</f>
        <v>0</v>
      </c>
      <c r="Y9" s="378">
        <f>'3.DL Naudas plūsma ar projektu'!Y56</f>
        <v>0</v>
      </c>
      <c r="Z9" s="378">
        <f>'3.DL Naudas plūsma ar projektu'!Z56</f>
        <v>0</v>
      </c>
      <c r="AA9" s="378">
        <f>'3.DL Naudas plūsma ar projektu'!AA56</f>
        <v>0</v>
      </c>
      <c r="AB9" s="378">
        <f>'3.DL Naudas plūsma ar projektu'!AB56</f>
        <v>0</v>
      </c>
      <c r="AC9" s="378">
        <f>'3.DL Naudas plūsma ar projektu'!AC56</f>
        <v>0</v>
      </c>
      <c r="AD9" s="376">
        <f t="shared" ref="AD9:AD11" si="4">SUM(E9:AC9)</f>
        <v>203000</v>
      </c>
      <c r="AE9" s="131"/>
      <c r="AF9" s="132"/>
    </row>
    <row r="10" spans="1:35" s="133" customFormat="1" ht="25.5" x14ac:dyDescent="0.2">
      <c r="A10" s="128"/>
      <c r="B10" s="129" t="s">
        <v>267</v>
      </c>
      <c r="C10" s="161" t="s">
        <v>266</v>
      </c>
      <c r="D10" s="130" t="s">
        <v>20</v>
      </c>
      <c r="E10" s="377">
        <f>'10.AL Budžets_kopā'!L18+'10.AL Budžets_kopā'!J18-'10.AL Budžets_kopā'!L15-'10.AL Budžets_kopā'!J15</f>
        <v>75000</v>
      </c>
      <c r="F10" s="378">
        <f>'10.AL Budžets_kopā'!N18-'10.AL Budžets_kopā'!N15</f>
        <v>26000</v>
      </c>
      <c r="G10" s="378">
        <f>'10.AL Budžets_kopā'!P18-'10.AL Budžets_kopā'!P15</f>
        <v>25000</v>
      </c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6">
        <f t="shared" si="4"/>
        <v>126000</v>
      </c>
      <c r="AE10" s="131"/>
      <c r="AF10" s="132"/>
    </row>
    <row r="11" spans="1:35" s="67" customFormat="1" ht="12.75" x14ac:dyDescent="0.2">
      <c r="A11" s="134"/>
      <c r="B11" s="32" t="s">
        <v>142</v>
      </c>
      <c r="C11" s="69" t="s">
        <v>75</v>
      </c>
      <c r="D11" s="69" t="s">
        <v>20</v>
      </c>
      <c r="E11" s="380">
        <f>'3.DL Naudas plūsma ar projektu'!E60</f>
        <v>0</v>
      </c>
      <c r="F11" s="381">
        <f>'3.DL Naudas plūsma ar projektu'!F60</f>
        <v>0</v>
      </c>
      <c r="G11" s="381">
        <f>'3.DL Naudas plūsma ar projektu'!G60</f>
        <v>0</v>
      </c>
      <c r="H11" s="381">
        <f>'3.DL Naudas plūsma ar projektu'!H60</f>
        <v>0</v>
      </c>
      <c r="I11" s="381">
        <f>'3.DL Naudas plūsma ar projektu'!I60</f>
        <v>0</v>
      </c>
      <c r="J11" s="381">
        <f>'3.DL Naudas plūsma ar projektu'!J60</f>
        <v>0</v>
      </c>
      <c r="K11" s="381">
        <f>'3.DL Naudas plūsma ar projektu'!K60</f>
        <v>0</v>
      </c>
      <c r="L11" s="381">
        <f>'3.DL Naudas plūsma ar projektu'!L60</f>
        <v>0</v>
      </c>
      <c r="M11" s="381">
        <f>'3.DL Naudas plūsma ar projektu'!M60</f>
        <v>0</v>
      </c>
      <c r="N11" s="381">
        <f>'3.DL Naudas plūsma ar projektu'!N60</f>
        <v>0</v>
      </c>
      <c r="O11" s="381">
        <f>'3.DL Naudas plūsma ar projektu'!O60</f>
        <v>0</v>
      </c>
      <c r="P11" s="381">
        <f>'3.DL Naudas plūsma ar projektu'!P60</f>
        <v>0</v>
      </c>
      <c r="Q11" s="381">
        <f>'3.DL Naudas plūsma ar projektu'!Q60</f>
        <v>0</v>
      </c>
      <c r="R11" s="381">
        <f>'3.DL Naudas plūsma ar projektu'!R60</f>
        <v>0</v>
      </c>
      <c r="S11" s="381">
        <f>'3.DL Naudas plūsma ar projektu'!S60</f>
        <v>0</v>
      </c>
      <c r="T11" s="381">
        <f>'3.DL Naudas plūsma ar projektu'!T60</f>
        <v>0</v>
      </c>
      <c r="U11" s="381">
        <f>'3.DL Naudas plūsma ar projektu'!U60</f>
        <v>0</v>
      </c>
      <c r="V11" s="381">
        <f>'3.DL Naudas plūsma ar projektu'!V60</f>
        <v>0</v>
      </c>
      <c r="W11" s="381">
        <f>'3.DL Naudas plūsma ar projektu'!W60</f>
        <v>0</v>
      </c>
      <c r="X11" s="381">
        <f>'3.DL Naudas plūsma ar projektu'!X60</f>
        <v>0</v>
      </c>
      <c r="Y11" s="381">
        <f>'3.DL Naudas plūsma ar projektu'!Y60</f>
        <v>0</v>
      </c>
      <c r="Z11" s="381">
        <f>'3.DL Naudas plūsma ar projektu'!Z60</f>
        <v>0</v>
      </c>
      <c r="AA11" s="381">
        <f>'3.DL Naudas plūsma ar projektu'!AA60</f>
        <v>0</v>
      </c>
      <c r="AB11" s="381">
        <f>'3.DL Naudas plūsma ar projektu'!AB60</f>
        <v>0</v>
      </c>
      <c r="AC11" s="381">
        <f>'3.DL Naudas plūsma ar projektu'!AC60</f>
        <v>0</v>
      </c>
      <c r="AD11" s="376">
        <f t="shared" si="4"/>
        <v>0</v>
      </c>
      <c r="AE11" s="135"/>
    </row>
    <row r="12" spans="1:35" s="67" customFormat="1" ht="12.75" x14ac:dyDescent="0.2">
      <c r="A12" s="136"/>
      <c r="B12" s="59" t="s">
        <v>81</v>
      </c>
      <c r="C12" s="59" t="s">
        <v>89</v>
      </c>
      <c r="D12" s="59" t="s">
        <v>20</v>
      </c>
      <c r="E12" s="382">
        <f t="shared" ref="E12:AC12" si="5">E6-E7-E8+E11</f>
        <v>-97500</v>
      </c>
      <c r="F12" s="383">
        <f t="shared" si="5"/>
        <v>-80500</v>
      </c>
      <c r="G12" s="383">
        <f t="shared" si="5"/>
        <v>-19980</v>
      </c>
      <c r="H12" s="383">
        <f t="shared" si="5"/>
        <v>1018</v>
      </c>
      <c r="I12" s="383">
        <f t="shared" si="5"/>
        <v>1016</v>
      </c>
      <c r="J12" s="383">
        <f t="shared" si="5"/>
        <v>1014</v>
      </c>
      <c r="K12" s="383">
        <f t="shared" si="5"/>
        <v>1012</v>
      </c>
      <c r="L12" s="383">
        <f t="shared" si="5"/>
        <v>1010</v>
      </c>
      <c r="M12" s="383">
        <f t="shared" si="5"/>
        <v>1008</v>
      </c>
      <c r="N12" s="383">
        <f t="shared" si="5"/>
        <v>1006</v>
      </c>
      <c r="O12" s="383">
        <f t="shared" si="5"/>
        <v>1004</v>
      </c>
      <c r="P12" s="383">
        <f t="shared" si="5"/>
        <v>1002</v>
      </c>
      <c r="Q12" s="383">
        <f t="shared" si="5"/>
        <v>1000</v>
      </c>
      <c r="R12" s="383">
        <f t="shared" si="5"/>
        <v>1000</v>
      </c>
      <c r="S12" s="383">
        <f t="shared" si="5"/>
        <v>1000</v>
      </c>
      <c r="T12" s="383">
        <f t="shared" si="5"/>
        <v>1000</v>
      </c>
      <c r="U12" s="383">
        <f t="shared" si="5"/>
        <v>1000</v>
      </c>
      <c r="V12" s="383">
        <f t="shared" si="5"/>
        <v>1000</v>
      </c>
      <c r="W12" s="383">
        <f t="shared" si="5"/>
        <v>1000</v>
      </c>
      <c r="X12" s="383">
        <f t="shared" si="5"/>
        <v>1000</v>
      </c>
      <c r="Y12" s="383">
        <f t="shared" si="5"/>
        <v>1000</v>
      </c>
      <c r="Z12" s="383">
        <f t="shared" si="5"/>
        <v>1000</v>
      </c>
      <c r="AA12" s="383">
        <f t="shared" si="5"/>
        <v>1000</v>
      </c>
      <c r="AB12" s="383">
        <f t="shared" si="5"/>
        <v>1000</v>
      </c>
      <c r="AC12" s="383">
        <f t="shared" si="5"/>
        <v>1000</v>
      </c>
      <c r="AD12" s="384">
        <f>SUM(E12:AC12)</f>
        <v>-175890</v>
      </c>
      <c r="AE12" s="135"/>
    </row>
    <row r="13" spans="1:35" s="67" customFormat="1" ht="12.75" x14ac:dyDescent="0.2"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5"/>
    </row>
    <row r="14" spans="1:35" s="41" customFormat="1" x14ac:dyDescent="0.25">
      <c r="A14" s="138">
        <v>2</v>
      </c>
      <c r="B14" s="139" t="s">
        <v>109</v>
      </c>
      <c r="C14" s="139"/>
      <c r="D14" s="1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  <c r="AE14" s="9"/>
    </row>
    <row r="15" spans="1:35" s="32" customFormat="1" ht="12.75" x14ac:dyDescent="0.2">
      <c r="A15" s="140"/>
      <c r="B15" s="141"/>
      <c r="C15" s="11" t="s">
        <v>110</v>
      </c>
      <c r="D15" s="98" t="s">
        <v>21</v>
      </c>
      <c r="E15" s="689">
        <f>Titullapa!B24</f>
        <v>0.04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E15" s="9"/>
    </row>
    <row r="16" spans="1:35" s="67" customFormat="1" ht="12.75" x14ac:dyDescent="0.2">
      <c r="A16" s="143"/>
      <c r="B16" s="690"/>
      <c r="C16" s="24" t="s">
        <v>111</v>
      </c>
      <c r="D16" s="144" t="s">
        <v>112</v>
      </c>
      <c r="E16" s="145">
        <v>0</v>
      </c>
      <c r="F16" s="145">
        <v>1</v>
      </c>
      <c r="G16" s="145">
        <v>2</v>
      </c>
      <c r="H16" s="145">
        <v>3</v>
      </c>
      <c r="I16" s="145">
        <v>4</v>
      </c>
      <c r="J16" s="145">
        <v>5</v>
      </c>
      <c r="K16" s="145">
        <v>6</v>
      </c>
      <c r="L16" s="145">
        <v>7</v>
      </c>
      <c r="M16" s="145">
        <v>8</v>
      </c>
      <c r="N16" s="145">
        <v>9</v>
      </c>
      <c r="O16" s="145">
        <v>10</v>
      </c>
      <c r="P16" s="145">
        <v>11</v>
      </c>
      <c r="Q16" s="145">
        <v>12</v>
      </c>
      <c r="R16" s="145">
        <v>13</v>
      </c>
      <c r="S16" s="145">
        <v>14</v>
      </c>
      <c r="T16" s="145">
        <v>15</v>
      </c>
      <c r="U16" s="145">
        <v>16</v>
      </c>
      <c r="V16" s="145">
        <v>17</v>
      </c>
      <c r="W16" s="145">
        <v>18</v>
      </c>
      <c r="X16" s="145">
        <v>19</v>
      </c>
      <c r="Y16" s="145">
        <v>20</v>
      </c>
      <c r="Z16" s="145">
        <v>21</v>
      </c>
      <c r="AA16" s="145">
        <v>22</v>
      </c>
      <c r="AB16" s="145">
        <v>23</v>
      </c>
      <c r="AC16" s="145">
        <v>24</v>
      </c>
      <c r="AD16" s="126"/>
      <c r="AE16" s="46"/>
      <c r="AF16" s="147"/>
    </row>
    <row r="17" spans="1:32" s="67" customFormat="1" ht="12.75" x14ac:dyDescent="0.2">
      <c r="A17" s="148"/>
      <c r="B17" s="691"/>
      <c r="C17" s="16" t="s">
        <v>113</v>
      </c>
      <c r="D17" s="149" t="s">
        <v>114</v>
      </c>
      <c r="E17" s="150">
        <f t="shared" ref="E17:P17" si="6">1/(1+$E$15)^E16</f>
        <v>1</v>
      </c>
      <c r="F17" s="150">
        <f t="shared" si="6"/>
        <v>0.96153846153846145</v>
      </c>
      <c r="G17" s="150">
        <f t="shared" si="6"/>
        <v>0.92455621301775137</v>
      </c>
      <c r="H17" s="150">
        <f t="shared" si="6"/>
        <v>0.88899635867091487</v>
      </c>
      <c r="I17" s="150">
        <f t="shared" si="6"/>
        <v>0.85480419102972571</v>
      </c>
      <c r="J17" s="150">
        <f t="shared" si="6"/>
        <v>0.82192710675935154</v>
      </c>
      <c r="K17" s="150">
        <f t="shared" si="6"/>
        <v>0.79031452573014571</v>
      </c>
      <c r="L17" s="150">
        <f t="shared" si="6"/>
        <v>0.75991781320206331</v>
      </c>
      <c r="M17" s="150">
        <f t="shared" si="6"/>
        <v>0.73069020500198378</v>
      </c>
      <c r="N17" s="150">
        <f t="shared" si="6"/>
        <v>0.70258673557883045</v>
      </c>
      <c r="O17" s="150">
        <f t="shared" si="6"/>
        <v>0.67556416882579851</v>
      </c>
      <c r="P17" s="150">
        <f t="shared" si="6"/>
        <v>0.6495809315632679</v>
      </c>
      <c r="Q17" s="150">
        <f t="shared" ref="Q17:AC17" si="7">1/(1+$E$15)^Q16</f>
        <v>0.62459704958006512</v>
      </c>
      <c r="R17" s="150">
        <f t="shared" si="7"/>
        <v>0.600574086134678</v>
      </c>
      <c r="S17" s="150">
        <f t="shared" si="7"/>
        <v>0.57747508282180582</v>
      </c>
      <c r="T17" s="150">
        <f t="shared" si="7"/>
        <v>0.55526450271327477</v>
      </c>
      <c r="U17" s="150">
        <f t="shared" si="7"/>
        <v>0.53390817568584104</v>
      </c>
      <c r="V17" s="150">
        <f t="shared" si="7"/>
        <v>0.51337324585177024</v>
      </c>
      <c r="W17" s="150">
        <f t="shared" si="7"/>
        <v>0.49362812101131748</v>
      </c>
      <c r="X17" s="150">
        <f t="shared" si="7"/>
        <v>0.47464242404934376</v>
      </c>
      <c r="Y17" s="150">
        <f t="shared" si="7"/>
        <v>0.45638694620129205</v>
      </c>
      <c r="Z17" s="150">
        <f t="shared" si="7"/>
        <v>0.43883360211662686</v>
      </c>
      <c r="AA17" s="150">
        <f t="shared" si="7"/>
        <v>0.42195538665060278</v>
      </c>
      <c r="AB17" s="150">
        <f t="shared" si="7"/>
        <v>0.40572633331788732</v>
      </c>
      <c r="AC17" s="150">
        <f t="shared" si="7"/>
        <v>0.39012147434412242</v>
      </c>
      <c r="AD17" s="127" t="s">
        <v>40</v>
      </c>
      <c r="AE17" s="46"/>
    </row>
    <row r="18" spans="1:32" s="32" customFormat="1" ht="12.75" x14ac:dyDescent="0.2">
      <c r="A18" s="90"/>
      <c r="B18" s="688" t="s">
        <v>51</v>
      </c>
      <c r="C18" s="91" t="s">
        <v>115</v>
      </c>
      <c r="D18" s="116" t="s">
        <v>20</v>
      </c>
      <c r="E18" s="371">
        <f t="shared" ref="E18:AC18" si="8">E6*E17</f>
        <v>2000</v>
      </c>
      <c r="F18" s="372">
        <f t="shared" si="8"/>
        <v>2884.6153846153843</v>
      </c>
      <c r="G18" s="372">
        <f t="shared" si="8"/>
        <v>4641.2721893491116</v>
      </c>
      <c r="H18" s="372">
        <f t="shared" si="8"/>
        <v>904.99829312699137</v>
      </c>
      <c r="I18" s="372">
        <f t="shared" si="8"/>
        <v>868.4810580862013</v>
      </c>
      <c r="J18" s="372">
        <f t="shared" si="8"/>
        <v>833.43408625398251</v>
      </c>
      <c r="K18" s="372">
        <f t="shared" si="8"/>
        <v>799.79830003890743</v>
      </c>
      <c r="L18" s="372">
        <f t="shared" si="8"/>
        <v>767.51699133408397</v>
      </c>
      <c r="M18" s="372">
        <f t="shared" si="8"/>
        <v>736.53572664199964</v>
      </c>
      <c r="N18" s="372">
        <f t="shared" si="8"/>
        <v>706.80225599230346</v>
      </c>
      <c r="O18" s="372">
        <f t="shared" si="8"/>
        <v>678.26642550110171</v>
      </c>
      <c r="P18" s="372">
        <f t="shared" si="8"/>
        <v>650.88009342639441</v>
      </c>
      <c r="Q18" s="372">
        <f t="shared" si="8"/>
        <v>624.59704958006512</v>
      </c>
      <c r="R18" s="372">
        <f t="shared" si="8"/>
        <v>600.57408613467805</v>
      </c>
      <c r="S18" s="372">
        <f t="shared" si="8"/>
        <v>577.47508282180581</v>
      </c>
      <c r="T18" s="372">
        <f t="shared" si="8"/>
        <v>555.26450271327474</v>
      </c>
      <c r="U18" s="372">
        <f t="shared" si="8"/>
        <v>533.908175685841</v>
      </c>
      <c r="V18" s="372">
        <f t="shared" si="8"/>
        <v>513.37324585177021</v>
      </c>
      <c r="W18" s="372">
        <f t="shared" si="8"/>
        <v>493.62812101131749</v>
      </c>
      <c r="X18" s="372">
        <f t="shared" si="8"/>
        <v>474.64242404934373</v>
      </c>
      <c r="Y18" s="372">
        <f t="shared" si="8"/>
        <v>456.38694620129206</v>
      </c>
      <c r="Z18" s="372">
        <f t="shared" si="8"/>
        <v>438.83360211662688</v>
      </c>
      <c r="AA18" s="372">
        <f t="shared" si="8"/>
        <v>421.9553866506028</v>
      </c>
      <c r="AB18" s="372">
        <f t="shared" si="8"/>
        <v>405.72633331788734</v>
      </c>
      <c r="AC18" s="372">
        <f t="shared" si="8"/>
        <v>390.12147434412242</v>
      </c>
      <c r="AD18" s="373">
        <f t="shared" ref="AD18:AD24" si="9">SUM(E18:AC18)</f>
        <v>22959.087234845087</v>
      </c>
      <c r="AE18" s="9"/>
      <c r="AF18" s="89"/>
    </row>
    <row r="19" spans="1:32" s="32" customFormat="1" ht="12.75" x14ac:dyDescent="0.2">
      <c r="A19" s="93"/>
      <c r="B19" s="69" t="s">
        <v>52</v>
      </c>
      <c r="C19" s="32" t="s">
        <v>117</v>
      </c>
      <c r="D19" s="119" t="s">
        <v>20</v>
      </c>
      <c r="E19" s="374">
        <f t="shared" ref="E19:AC19" si="10">E7*E17</f>
        <v>0</v>
      </c>
      <c r="F19" s="375">
        <f t="shared" si="10"/>
        <v>0</v>
      </c>
      <c r="G19" s="375">
        <f t="shared" si="10"/>
        <v>0</v>
      </c>
      <c r="H19" s="375">
        <f t="shared" si="10"/>
        <v>0</v>
      </c>
      <c r="I19" s="375">
        <f t="shared" si="10"/>
        <v>0</v>
      </c>
      <c r="J19" s="375">
        <f t="shared" si="10"/>
        <v>0</v>
      </c>
      <c r="K19" s="375">
        <f t="shared" si="10"/>
        <v>0</v>
      </c>
      <c r="L19" s="375">
        <f t="shared" si="10"/>
        <v>0</v>
      </c>
      <c r="M19" s="375">
        <f t="shared" si="10"/>
        <v>0</v>
      </c>
      <c r="N19" s="375">
        <f t="shared" si="10"/>
        <v>0</v>
      </c>
      <c r="O19" s="375">
        <f t="shared" si="10"/>
        <v>0</v>
      </c>
      <c r="P19" s="375">
        <f t="shared" si="10"/>
        <v>0</v>
      </c>
      <c r="Q19" s="375">
        <f t="shared" si="10"/>
        <v>0</v>
      </c>
      <c r="R19" s="375">
        <f t="shared" si="10"/>
        <v>0</v>
      </c>
      <c r="S19" s="375">
        <f t="shared" si="10"/>
        <v>0</v>
      </c>
      <c r="T19" s="375">
        <f t="shared" si="10"/>
        <v>0</v>
      </c>
      <c r="U19" s="375">
        <f t="shared" si="10"/>
        <v>0</v>
      </c>
      <c r="V19" s="375">
        <f t="shared" si="10"/>
        <v>0</v>
      </c>
      <c r="W19" s="375">
        <f t="shared" si="10"/>
        <v>0</v>
      </c>
      <c r="X19" s="375">
        <f t="shared" si="10"/>
        <v>0</v>
      </c>
      <c r="Y19" s="375">
        <f t="shared" si="10"/>
        <v>0</v>
      </c>
      <c r="Z19" s="375">
        <f t="shared" si="10"/>
        <v>0</v>
      </c>
      <c r="AA19" s="375">
        <f t="shared" si="10"/>
        <v>0</v>
      </c>
      <c r="AB19" s="375">
        <f t="shared" si="10"/>
        <v>0</v>
      </c>
      <c r="AC19" s="375">
        <f t="shared" si="10"/>
        <v>0</v>
      </c>
      <c r="AD19" s="376">
        <f t="shared" si="9"/>
        <v>0</v>
      </c>
      <c r="AE19" s="9"/>
    </row>
    <row r="20" spans="1:32" s="32" customFormat="1" ht="12.75" x14ac:dyDescent="0.2">
      <c r="A20" s="93"/>
      <c r="B20" s="69" t="s">
        <v>53</v>
      </c>
      <c r="C20" s="69" t="s">
        <v>118</v>
      </c>
      <c r="D20" s="151" t="s">
        <v>20</v>
      </c>
      <c r="E20" s="374">
        <f t="shared" ref="E20:AC20" si="11">E8*E17</f>
        <v>99500</v>
      </c>
      <c r="F20" s="375">
        <f t="shared" si="11"/>
        <v>80288.461538461532</v>
      </c>
      <c r="G20" s="375">
        <f t="shared" si="11"/>
        <v>23113.905325443786</v>
      </c>
      <c r="H20" s="375">
        <f t="shared" si="11"/>
        <v>0</v>
      </c>
      <c r="I20" s="375">
        <f t="shared" si="11"/>
        <v>0</v>
      </c>
      <c r="J20" s="375">
        <f t="shared" si="11"/>
        <v>0</v>
      </c>
      <c r="K20" s="375">
        <f t="shared" si="11"/>
        <v>0</v>
      </c>
      <c r="L20" s="375">
        <f t="shared" si="11"/>
        <v>0</v>
      </c>
      <c r="M20" s="375">
        <f t="shared" si="11"/>
        <v>0</v>
      </c>
      <c r="N20" s="375">
        <f t="shared" si="11"/>
        <v>0</v>
      </c>
      <c r="O20" s="375">
        <f t="shared" si="11"/>
        <v>0</v>
      </c>
      <c r="P20" s="375">
        <f t="shared" si="11"/>
        <v>0</v>
      </c>
      <c r="Q20" s="375">
        <f t="shared" si="11"/>
        <v>0</v>
      </c>
      <c r="R20" s="375">
        <f t="shared" si="11"/>
        <v>0</v>
      </c>
      <c r="S20" s="375">
        <f t="shared" si="11"/>
        <v>0</v>
      </c>
      <c r="T20" s="375">
        <f t="shared" si="11"/>
        <v>0</v>
      </c>
      <c r="U20" s="375">
        <f t="shared" si="11"/>
        <v>0</v>
      </c>
      <c r="V20" s="375">
        <f t="shared" si="11"/>
        <v>0</v>
      </c>
      <c r="W20" s="375">
        <f t="shared" si="11"/>
        <v>0</v>
      </c>
      <c r="X20" s="375">
        <f t="shared" si="11"/>
        <v>0</v>
      </c>
      <c r="Y20" s="375">
        <f t="shared" si="11"/>
        <v>0</v>
      </c>
      <c r="Z20" s="375">
        <f t="shared" si="11"/>
        <v>0</v>
      </c>
      <c r="AA20" s="375">
        <f t="shared" si="11"/>
        <v>0</v>
      </c>
      <c r="AB20" s="375">
        <f t="shared" si="11"/>
        <v>0</v>
      </c>
      <c r="AC20" s="375">
        <f t="shared" si="11"/>
        <v>0</v>
      </c>
      <c r="AD20" s="376">
        <f t="shared" si="9"/>
        <v>202902.36686390531</v>
      </c>
      <c r="AE20" s="9"/>
      <c r="AF20" s="45"/>
    </row>
    <row r="21" spans="1:32" s="133" customFormat="1" ht="25.5" x14ac:dyDescent="0.2">
      <c r="A21" s="128"/>
      <c r="B21" s="129" t="s">
        <v>160</v>
      </c>
      <c r="C21" s="161" t="s">
        <v>161</v>
      </c>
      <c r="D21" s="130" t="s">
        <v>20</v>
      </c>
      <c r="E21" s="377">
        <f>E9*'14.RL Investīciju naudas plūsma'!E17</f>
        <v>97000</v>
      </c>
      <c r="F21" s="378">
        <f>F9*'14.RL Investīciju naudas plūsma'!F17</f>
        <v>77884.615384615376</v>
      </c>
      <c r="G21" s="378">
        <f>G9*'14.RL Investīciju naudas plūsma'!G17</f>
        <v>23113.905325443786</v>
      </c>
      <c r="H21" s="378">
        <f>H9*'14.RL Investīciju naudas plūsma'!H17</f>
        <v>0</v>
      </c>
      <c r="I21" s="378">
        <f>I9*'14.RL Investīciju naudas plūsma'!I17</f>
        <v>0</v>
      </c>
      <c r="J21" s="378">
        <f>J9*'14.RL Investīciju naudas plūsma'!J17</f>
        <v>0</v>
      </c>
      <c r="K21" s="378">
        <f>K9*'14.RL Investīciju naudas plūsma'!K17</f>
        <v>0</v>
      </c>
      <c r="L21" s="378">
        <f>L9*'14.RL Investīciju naudas plūsma'!L17</f>
        <v>0</v>
      </c>
      <c r="M21" s="378">
        <f>M9*'14.RL Investīciju naudas plūsma'!M17</f>
        <v>0</v>
      </c>
      <c r="N21" s="378">
        <f>N9*'14.RL Investīciju naudas plūsma'!N17</f>
        <v>0</v>
      </c>
      <c r="O21" s="378">
        <f>O9*'14.RL Investīciju naudas plūsma'!O17</f>
        <v>0</v>
      </c>
      <c r="P21" s="378">
        <f>P9*'14.RL Investīciju naudas plūsma'!P17</f>
        <v>0</v>
      </c>
      <c r="Q21" s="378">
        <f>Q9*'14.RL Investīciju naudas plūsma'!Q17</f>
        <v>0</v>
      </c>
      <c r="R21" s="378">
        <f>R9*'14.RL Investīciju naudas plūsma'!R17</f>
        <v>0</v>
      </c>
      <c r="S21" s="378">
        <f>S9*'14.RL Investīciju naudas plūsma'!S17</f>
        <v>0</v>
      </c>
      <c r="T21" s="378">
        <f>T9*'14.RL Investīciju naudas plūsma'!T17</f>
        <v>0</v>
      </c>
      <c r="U21" s="378">
        <f>U9*'14.RL Investīciju naudas plūsma'!U17</f>
        <v>0</v>
      </c>
      <c r="V21" s="378">
        <f>V9*'14.RL Investīciju naudas plūsma'!V17</f>
        <v>0</v>
      </c>
      <c r="W21" s="378">
        <f>W9*'14.RL Investīciju naudas plūsma'!W17</f>
        <v>0</v>
      </c>
      <c r="X21" s="378">
        <f>X9*'14.RL Investīciju naudas plūsma'!X17</f>
        <v>0</v>
      </c>
      <c r="Y21" s="378">
        <f>Y9*'14.RL Investīciju naudas plūsma'!Y17</f>
        <v>0</v>
      </c>
      <c r="Z21" s="378">
        <f>Z9*'14.RL Investīciju naudas plūsma'!Z17</f>
        <v>0</v>
      </c>
      <c r="AA21" s="378">
        <f>AA9*'14.RL Investīciju naudas plūsma'!AA17</f>
        <v>0</v>
      </c>
      <c r="AB21" s="378">
        <f>AB9*'14.RL Investīciju naudas plūsma'!AB17</f>
        <v>0</v>
      </c>
      <c r="AC21" s="378">
        <f>AC9*'14.RL Investīciju naudas plūsma'!AC17</f>
        <v>0</v>
      </c>
      <c r="AD21" s="385">
        <f t="shared" si="9"/>
        <v>197998.52071005915</v>
      </c>
      <c r="AE21" s="131"/>
      <c r="AF21" s="132"/>
    </row>
    <row r="22" spans="1:32" s="133" customFormat="1" ht="24" customHeight="1" x14ac:dyDescent="0.2">
      <c r="A22" s="128"/>
      <c r="B22" s="129" t="s">
        <v>268</v>
      </c>
      <c r="C22" s="161" t="s">
        <v>269</v>
      </c>
      <c r="D22" s="130" t="s">
        <v>20</v>
      </c>
      <c r="E22" s="377">
        <f>E17*E10</f>
        <v>75000</v>
      </c>
      <c r="F22" s="378">
        <f>F17*F10</f>
        <v>24999.999999999996</v>
      </c>
      <c r="G22" s="378">
        <f t="shared" ref="G22" si="12">G17*G10</f>
        <v>23113.905325443786</v>
      </c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  <c r="AC22" s="379"/>
      <c r="AD22" s="385">
        <f t="shared" si="9"/>
        <v>123113.90532544379</v>
      </c>
      <c r="AE22" s="131"/>
      <c r="AF22" s="132"/>
    </row>
    <row r="23" spans="1:32" s="67" customFormat="1" ht="12.75" x14ac:dyDescent="0.2">
      <c r="A23" s="134"/>
      <c r="B23" s="32" t="s">
        <v>54</v>
      </c>
      <c r="C23" s="69" t="s">
        <v>119</v>
      </c>
      <c r="D23" s="151" t="s">
        <v>20</v>
      </c>
      <c r="E23" s="380">
        <f t="shared" ref="E23:P23" si="13">E11*E17</f>
        <v>0</v>
      </c>
      <c r="F23" s="381">
        <f t="shared" si="13"/>
        <v>0</v>
      </c>
      <c r="G23" s="381">
        <f t="shared" si="13"/>
        <v>0</v>
      </c>
      <c r="H23" s="381">
        <f t="shared" si="13"/>
        <v>0</v>
      </c>
      <c r="I23" s="381">
        <f t="shared" si="13"/>
        <v>0</v>
      </c>
      <c r="J23" s="381">
        <f t="shared" si="13"/>
        <v>0</v>
      </c>
      <c r="K23" s="381">
        <f t="shared" si="13"/>
        <v>0</v>
      </c>
      <c r="L23" s="381">
        <f t="shared" si="13"/>
        <v>0</v>
      </c>
      <c r="M23" s="381">
        <f t="shared" si="13"/>
        <v>0</v>
      </c>
      <c r="N23" s="381">
        <f t="shared" si="13"/>
        <v>0</v>
      </c>
      <c r="O23" s="381">
        <f t="shared" si="13"/>
        <v>0</v>
      </c>
      <c r="P23" s="381">
        <f t="shared" si="13"/>
        <v>0</v>
      </c>
      <c r="Q23" s="381">
        <f t="shared" ref="Q23:AC23" si="14">Q11*Q17</f>
        <v>0</v>
      </c>
      <c r="R23" s="381">
        <f t="shared" si="14"/>
        <v>0</v>
      </c>
      <c r="S23" s="381">
        <f t="shared" si="14"/>
        <v>0</v>
      </c>
      <c r="T23" s="381">
        <f t="shared" si="14"/>
        <v>0</v>
      </c>
      <c r="U23" s="381">
        <f t="shared" si="14"/>
        <v>0</v>
      </c>
      <c r="V23" s="381">
        <f t="shared" si="14"/>
        <v>0</v>
      </c>
      <c r="W23" s="381">
        <f t="shared" si="14"/>
        <v>0</v>
      </c>
      <c r="X23" s="381">
        <f t="shared" si="14"/>
        <v>0</v>
      </c>
      <c r="Y23" s="381">
        <f t="shared" si="14"/>
        <v>0</v>
      </c>
      <c r="Z23" s="381">
        <f t="shared" si="14"/>
        <v>0</v>
      </c>
      <c r="AA23" s="381">
        <f t="shared" si="14"/>
        <v>0</v>
      </c>
      <c r="AB23" s="381">
        <f t="shared" si="14"/>
        <v>0</v>
      </c>
      <c r="AC23" s="381">
        <f t="shared" si="14"/>
        <v>0</v>
      </c>
      <c r="AD23" s="376">
        <f t="shared" si="9"/>
        <v>0</v>
      </c>
      <c r="AE23" s="46"/>
    </row>
    <row r="24" spans="1:32" s="67" customFormat="1" ht="12.75" x14ac:dyDescent="0.2">
      <c r="A24" s="136"/>
      <c r="B24" s="59" t="s">
        <v>55</v>
      </c>
      <c r="C24" s="59" t="s">
        <v>120</v>
      </c>
      <c r="D24" s="121" t="s">
        <v>20</v>
      </c>
      <c r="E24" s="382">
        <f t="shared" ref="E24:P24" si="15">E12*E17</f>
        <v>-97500</v>
      </c>
      <c r="F24" s="383">
        <f t="shared" si="15"/>
        <v>-77403.846153846142</v>
      </c>
      <c r="G24" s="383">
        <f t="shared" si="15"/>
        <v>-18472.633136094671</v>
      </c>
      <c r="H24" s="383">
        <f t="shared" si="15"/>
        <v>904.99829312699137</v>
      </c>
      <c r="I24" s="383">
        <f t="shared" si="15"/>
        <v>868.4810580862013</v>
      </c>
      <c r="J24" s="383">
        <f t="shared" si="15"/>
        <v>833.43408625398251</v>
      </c>
      <c r="K24" s="383">
        <f t="shared" si="15"/>
        <v>799.79830003890743</v>
      </c>
      <c r="L24" s="383">
        <f t="shared" si="15"/>
        <v>767.51699133408397</v>
      </c>
      <c r="M24" s="383">
        <f t="shared" si="15"/>
        <v>736.53572664199964</v>
      </c>
      <c r="N24" s="383">
        <f t="shared" si="15"/>
        <v>706.80225599230346</v>
      </c>
      <c r="O24" s="383">
        <f t="shared" si="15"/>
        <v>678.26642550110171</v>
      </c>
      <c r="P24" s="383">
        <f t="shared" si="15"/>
        <v>650.88009342639441</v>
      </c>
      <c r="Q24" s="383">
        <f t="shared" ref="Q24:AC24" si="16">Q12*Q17</f>
        <v>624.59704958006512</v>
      </c>
      <c r="R24" s="383">
        <f t="shared" si="16"/>
        <v>600.57408613467805</v>
      </c>
      <c r="S24" s="383">
        <f t="shared" si="16"/>
        <v>577.47508282180581</v>
      </c>
      <c r="T24" s="383">
        <f t="shared" si="16"/>
        <v>555.26450271327474</v>
      </c>
      <c r="U24" s="383">
        <f t="shared" si="16"/>
        <v>533.908175685841</v>
      </c>
      <c r="V24" s="383">
        <f t="shared" si="16"/>
        <v>513.37324585177021</v>
      </c>
      <c r="W24" s="383">
        <f t="shared" si="16"/>
        <v>493.62812101131749</v>
      </c>
      <c r="X24" s="383">
        <f t="shared" si="16"/>
        <v>474.64242404934373</v>
      </c>
      <c r="Y24" s="383">
        <f t="shared" si="16"/>
        <v>456.38694620129206</v>
      </c>
      <c r="Z24" s="383">
        <f t="shared" si="16"/>
        <v>438.83360211662688</v>
      </c>
      <c r="AA24" s="383">
        <f t="shared" si="16"/>
        <v>421.9553866506028</v>
      </c>
      <c r="AB24" s="383">
        <f t="shared" si="16"/>
        <v>405.72633331788734</v>
      </c>
      <c r="AC24" s="383">
        <f t="shared" si="16"/>
        <v>390.12147434412242</v>
      </c>
      <c r="AD24" s="384">
        <f t="shared" si="9"/>
        <v>-179943.27962906018</v>
      </c>
      <c r="AE24" s="65"/>
    </row>
    <row r="25" spans="1:32" s="67" customFormat="1" ht="12.75" x14ac:dyDescent="0.2"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46"/>
    </row>
    <row r="26" spans="1:32" s="41" customFormat="1" x14ac:dyDescent="0.25">
      <c r="A26" s="37">
        <v>3</v>
      </c>
      <c r="B26" s="38" t="s">
        <v>121</v>
      </c>
      <c r="C26" s="38"/>
      <c r="D26" s="38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40"/>
      <c r="AE26" s="9"/>
    </row>
    <row r="27" spans="1:32" s="25" customFormat="1" ht="12.75" x14ac:dyDescent="0.2">
      <c r="A27" s="32"/>
      <c r="B27" s="32"/>
      <c r="C27" s="32"/>
      <c r="D27" s="118"/>
      <c r="E27" s="118"/>
      <c r="F27" s="113" t="s">
        <v>122</v>
      </c>
      <c r="G27" s="114"/>
      <c r="H27" s="115" t="s">
        <v>123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9"/>
      <c r="AF27" s="112"/>
    </row>
    <row r="28" spans="1:32" s="27" customFormat="1" ht="12.75" x14ac:dyDescent="0.2">
      <c r="A28" s="67"/>
      <c r="B28" s="69" t="s">
        <v>31</v>
      </c>
      <c r="C28" s="32" t="s">
        <v>78</v>
      </c>
      <c r="D28" s="32" t="s">
        <v>20</v>
      </c>
      <c r="E28" s="146"/>
      <c r="F28" s="692">
        <f>AD6</f>
        <v>32110</v>
      </c>
      <c r="G28" s="386"/>
      <c r="H28" s="692">
        <f>AD18</f>
        <v>22959.087234845087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67"/>
      <c r="AE28" s="67"/>
      <c r="AF28" s="152"/>
    </row>
    <row r="29" spans="1:32" s="27" customFormat="1" ht="12.75" x14ac:dyDescent="0.2">
      <c r="A29" s="67"/>
      <c r="B29" s="69" t="s">
        <v>32</v>
      </c>
      <c r="C29" s="32" t="s">
        <v>108</v>
      </c>
      <c r="D29" s="32" t="s">
        <v>20</v>
      </c>
      <c r="E29" s="146"/>
      <c r="F29" s="481">
        <f>AD7</f>
        <v>0</v>
      </c>
      <c r="G29" s="386"/>
      <c r="H29" s="481">
        <f>AD19</f>
        <v>0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67"/>
      <c r="AE29" s="67"/>
    </row>
    <row r="30" spans="1:32" s="27" customFormat="1" ht="12.75" x14ac:dyDescent="0.2">
      <c r="A30" s="67"/>
      <c r="B30" s="69" t="s">
        <v>124</v>
      </c>
      <c r="C30" s="153" t="s">
        <v>159</v>
      </c>
      <c r="D30" s="69" t="s">
        <v>20</v>
      </c>
      <c r="E30" s="146"/>
      <c r="F30" s="481">
        <f>AD9</f>
        <v>203000</v>
      </c>
      <c r="G30" s="386"/>
      <c r="H30" s="481">
        <f>AD21</f>
        <v>197998.52071005915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67"/>
      <c r="AE30" s="67"/>
      <c r="AF30" s="154"/>
    </row>
    <row r="31" spans="1:32" s="27" customFormat="1" ht="12.75" x14ac:dyDescent="0.2">
      <c r="A31" s="67"/>
      <c r="B31" s="32" t="s">
        <v>125</v>
      </c>
      <c r="C31" s="69" t="s">
        <v>75</v>
      </c>
      <c r="D31" s="69" t="s">
        <v>20</v>
      </c>
      <c r="E31" s="146"/>
      <c r="F31" s="481">
        <f>AD11</f>
        <v>0</v>
      </c>
      <c r="G31" s="386"/>
      <c r="H31" s="481">
        <f>AD23</f>
        <v>0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67"/>
      <c r="AE31" s="67"/>
    </row>
    <row r="32" spans="1:32" s="27" customFormat="1" ht="12.75" x14ac:dyDescent="0.2">
      <c r="A32" s="67"/>
      <c r="B32" s="32" t="s">
        <v>153</v>
      </c>
      <c r="C32" s="32" t="s">
        <v>89</v>
      </c>
      <c r="D32" s="32" t="s">
        <v>20</v>
      </c>
      <c r="E32" s="146"/>
      <c r="F32" s="481">
        <f>AD12</f>
        <v>-175890</v>
      </c>
      <c r="G32" s="386"/>
      <c r="H32" s="481">
        <f>AD24</f>
        <v>-179943.27962906018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67"/>
      <c r="AE32" s="67"/>
    </row>
    <row r="33" spans="1:32" s="67" customFormat="1" ht="12.75" x14ac:dyDescent="0.2">
      <c r="E33" s="146"/>
      <c r="F33" s="192"/>
      <c r="G33" s="137"/>
      <c r="H33" s="19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spans="1:32" s="41" customFormat="1" x14ac:dyDescent="0.25">
      <c r="A34" s="37">
        <v>4</v>
      </c>
      <c r="B34" s="38" t="s">
        <v>127</v>
      </c>
      <c r="C34" s="38"/>
      <c r="D34" s="39"/>
      <c r="E34" s="39"/>
      <c r="F34" s="39"/>
      <c r="G34" s="39"/>
      <c r="H34" s="40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67"/>
      <c r="AE34" s="67"/>
      <c r="AF34" s="9"/>
    </row>
    <row r="35" spans="1:32" s="32" customFormat="1" ht="25.5" x14ac:dyDescent="0.2">
      <c r="D35" s="118"/>
      <c r="E35" s="118"/>
      <c r="F35" s="155" t="s">
        <v>162</v>
      </c>
      <c r="G35" s="156" t="s">
        <v>163</v>
      </c>
      <c r="H35" s="118"/>
      <c r="AD35" s="67"/>
      <c r="AE35" s="67"/>
      <c r="AF35" s="9"/>
    </row>
    <row r="36" spans="1:32" s="67" customFormat="1" ht="12.75" x14ac:dyDescent="0.2">
      <c r="B36" s="693" t="s">
        <v>74</v>
      </c>
      <c r="C36" s="91" t="s">
        <v>164</v>
      </c>
      <c r="D36" s="157"/>
      <c r="E36" s="157"/>
      <c r="F36" s="694">
        <f>H32</f>
        <v>-179943.27962906018</v>
      </c>
      <c r="G36" s="340">
        <f>F36</f>
        <v>-179943.27962906018</v>
      </c>
      <c r="H36" s="158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1:32" s="67" customFormat="1" ht="12.75" x14ac:dyDescent="0.2">
      <c r="B37" s="68" t="s">
        <v>99</v>
      </c>
      <c r="C37" s="69" t="s">
        <v>165</v>
      </c>
      <c r="D37" s="123"/>
      <c r="E37" s="123"/>
      <c r="F37" s="695">
        <f>IRR(E12:AC12,'7.DL Jutīguma analīze_Invest'!K52)</f>
        <v>-0.13203717817915472</v>
      </c>
      <c r="G37" s="696">
        <f>F37</f>
        <v>-0.13203717817915472</v>
      </c>
      <c r="H37" s="158" t="s">
        <v>473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F37" s="66"/>
    </row>
    <row r="38" spans="1:32" s="67" customFormat="1" ht="12.75" x14ac:dyDescent="0.2">
      <c r="B38" s="68" t="s">
        <v>100</v>
      </c>
      <c r="C38" s="32" t="s">
        <v>166</v>
      </c>
      <c r="D38" s="123"/>
      <c r="E38" s="123"/>
      <c r="F38" s="697">
        <f>$H$28-$H$29+$H$31</f>
        <v>22959.087234845087</v>
      </c>
      <c r="G38" s="342">
        <f>F38</f>
        <v>22959.087234845087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spans="1:32" s="32" customFormat="1" x14ac:dyDescent="0.25">
      <c r="A39" s="37"/>
      <c r="B39" s="38"/>
      <c r="C39" s="38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40"/>
      <c r="AE39" s="9"/>
    </row>
  </sheetData>
  <sheetProtection algorithmName="SHA-512" hashValue="Yna9cPqzEQ3c4xovDhbeGOSRNGZvcc8ZvzmkaaO//3u723ThLmytPSWLl0NCZYXVZGO/eHS5w2rtmwzvNES/Lw==" saltValue="jBDE0/oBeBg+4kCKbpEOeg==" spinCount="100000" sheet="1" formatCells="0" formatColumns="0" formatRows="0"/>
  <mergeCells count="2">
    <mergeCell ref="A1:F1"/>
    <mergeCell ref="A2:F2"/>
  </mergeCells>
  <dataValidations count="1">
    <dataValidation type="decimal" allowBlank="1" showInputMessage="1" showErrorMessage="1" sqref="E15" xr:uid="{00000000-0002-0000-0F00-000000000000}">
      <formula1>0</formula1>
      <formula2>100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</sheetPr>
  <dimension ref="A1:AE61"/>
  <sheetViews>
    <sheetView topLeftCell="A43" workbookViewId="0">
      <selection activeCell="J52" sqref="J52"/>
    </sheetView>
  </sheetViews>
  <sheetFormatPr defaultColWidth="9.140625" defaultRowHeight="15" x14ac:dyDescent="0.25"/>
  <cols>
    <col min="1" max="3" width="9.140625" style="428"/>
    <col min="4" max="4" width="23.28515625" style="428" customWidth="1"/>
    <col min="5" max="5" width="9.140625" style="428"/>
    <col min="6" max="6" width="12.42578125" style="428" bestFit="1" customWidth="1"/>
    <col min="7" max="7" width="13.5703125" style="428" customWidth="1"/>
    <col min="8" max="8" width="13" style="428" customWidth="1"/>
    <col min="9" max="9" width="14" style="428" customWidth="1"/>
    <col min="10" max="19" width="11.5703125" style="428" customWidth="1"/>
    <col min="20" max="30" width="9.42578125" style="428" bestFit="1" customWidth="1"/>
    <col min="31" max="31" width="13.42578125" style="428" customWidth="1"/>
    <col min="32" max="16384" width="9.140625" style="428"/>
  </cols>
  <sheetData>
    <row r="1" spans="1:31" ht="26.25" x14ac:dyDescent="0.25">
      <c r="A1" s="1017" t="s">
        <v>408</v>
      </c>
      <c r="B1" s="1017"/>
      <c r="C1" s="1017"/>
      <c r="D1" s="1017"/>
      <c r="E1" s="1017"/>
      <c r="F1" s="1017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21" x14ac:dyDescent="0.35">
      <c r="A2" s="1018" t="s">
        <v>363</v>
      </c>
      <c r="B2" s="1018"/>
      <c r="C2" s="1018"/>
      <c r="D2" s="1018"/>
      <c r="E2" s="1018"/>
      <c r="F2" s="101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15.75" x14ac:dyDescent="0.25">
      <c r="A3" s="184"/>
      <c r="B3" s="280"/>
      <c r="C3" s="280"/>
      <c r="D3" s="280"/>
      <c r="E3" s="281"/>
      <c r="F3" s="84">
        <f>'14.RL Investīciju naudas plūsma'!E3</f>
        <v>0</v>
      </c>
      <c r="G3" s="84">
        <f>'14.RL Investīciju naudas plūsma'!F3</f>
        <v>1</v>
      </c>
      <c r="H3" s="84">
        <f>'14.RL Investīciju naudas plūsma'!G3</f>
        <v>2</v>
      </c>
      <c r="I3" s="84">
        <f>'14.RL Investīciju naudas plūsma'!H3</f>
        <v>3</v>
      </c>
      <c r="J3" s="84">
        <f>'14.RL Investīciju naudas plūsma'!I3</f>
        <v>4</v>
      </c>
      <c r="K3" s="84">
        <f>'14.RL Investīciju naudas plūsma'!J3</f>
        <v>5</v>
      </c>
      <c r="L3" s="84">
        <f>'14.RL Investīciju naudas plūsma'!K3</f>
        <v>6</v>
      </c>
      <c r="M3" s="84">
        <f>'14.RL Investīciju naudas plūsma'!L3</f>
        <v>7</v>
      </c>
      <c r="N3" s="84">
        <f>'14.RL Investīciju naudas plūsma'!M3</f>
        <v>8</v>
      </c>
      <c r="O3" s="84">
        <f>'14.RL Investīciju naudas plūsma'!N3</f>
        <v>9</v>
      </c>
      <c r="P3" s="84">
        <f>'14.RL Investīciju naudas plūsma'!O3</f>
        <v>10</v>
      </c>
      <c r="Q3" s="84">
        <f>'14.RL Investīciju naudas plūsma'!P3</f>
        <v>11</v>
      </c>
      <c r="R3" s="84">
        <f>'14.RL Investīciju naudas plūsma'!Q3</f>
        <v>12</v>
      </c>
      <c r="S3" s="84">
        <f>'14.RL Investīciju naudas plūsma'!R3</f>
        <v>13</v>
      </c>
      <c r="T3" s="84">
        <f>'14.RL Investīciju naudas plūsma'!S3</f>
        <v>14</v>
      </c>
      <c r="U3" s="84">
        <f>'14.RL Investīciju naudas plūsma'!T3</f>
        <v>15</v>
      </c>
      <c r="V3" s="84">
        <f>'14.RL Investīciju naudas plūsma'!U3</f>
        <v>16</v>
      </c>
      <c r="W3" s="84">
        <f>'14.RL Investīciju naudas plūsma'!V3</f>
        <v>17</v>
      </c>
      <c r="X3" s="84">
        <f>'14.RL Investīciju naudas plūsma'!W3</f>
        <v>18</v>
      </c>
      <c r="Y3" s="84">
        <f>'14.RL Investīciju naudas plūsma'!X3</f>
        <v>19</v>
      </c>
      <c r="Z3" s="84">
        <f>'14.RL Investīciju naudas plūsma'!Y3</f>
        <v>20</v>
      </c>
      <c r="AA3" s="84">
        <f>'14.RL Investīciju naudas plūsma'!Z3</f>
        <v>21</v>
      </c>
      <c r="AB3" s="84">
        <f>'14.RL Investīciju naudas plūsma'!AA3</f>
        <v>22</v>
      </c>
      <c r="AC3" s="84">
        <f>'14.RL Investīciju naudas plūsma'!AB3</f>
        <v>23</v>
      </c>
      <c r="AD3" s="84">
        <f>'14.RL Investīciju naudas plūsma'!AC3</f>
        <v>24</v>
      </c>
      <c r="AE3" s="282"/>
    </row>
    <row r="4" spans="1:31" x14ac:dyDescent="0.25">
      <c r="A4" s="14"/>
      <c r="B4" s="15"/>
      <c r="C4" s="15"/>
      <c r="D4" s="16"/>
      <c r="E4" s="283" t="s">
        <v>39</v>
      </c>
      <c r="F4" s="87">
        <f>'14.RL Investīciju naudas plūsma'!E4</f>
        <v>2021</v>
      </c>
      <c r="G4" s="87">
        <f>'14.RL Investīciju naudas plūsma'!F4</f>
        <v>2022</v>
      </c>
      <c r="H4" s="87">
        <f>'14.RL Investīciju naudas plūsma'!G4</f>
        <v>2023</v>
      </c>
      <c r="I4" s="87">
        <f>'14.RL Investīciju naudas plūsma'!H4</f>
        <v>2024</v>
      </c>
      <c r="J4" s="87">
        <f>'14.RL Investīciju naudas plūsma'!I4</f>
        <v>2025</v>
      </c>
      <c r="K4" s="87">
        <f>'14.RL Investīciju naudas plūsma'!J4</f>
        <v>2026</v>
      </c>
      <c r="L4" s="87">
        <f>'14.RL Investīciju naudas plūsma'!K4</f>
        <v>2027</v>
      </c>
      <c r="M4" s="87">
        <f>'14.RL Investīciju naudas plūsma'!L4</f>
        <v>2028</v>
      </c>
      <c r="N4" s="87">
        <f>'14.RL Investīciju naudas plūsma'!M4</f>
        <v>2029</v>
      </c>
      <c r="O4" s="87">
        <f>'14.RL Investīciju naudas plūsma'!N4</f>
        <v>2030</v>
      </c>
      <c r="P4" s="87">
        <f>'14.RL Investīciju naudas plūsma'!O4</f>
        <v>2031</v>
      </c>
      <c r="Q4" s="87">
        <f>'14.RL Investīciju naudas plūsma'!P4</f>
        <v>2032</v>
      </c>
      <c r="R4" s="87">
        <f>'14.RL Investīciju naudas plūsma'!Q4</f>
        <v>2033</v>
      </c>
      <c r="S4" s="87">
        <f>'14.RL Investīciju naudas plūsma'!R4</f>
        <v>2034</v>
      </c>
      <c r="T4" s="87">
        <f>'14.RL Investīciju naudas plūsma'!S4</f>
        <v>2035</v>
      </c>
      <c r="U4" s="87">
        <f>'14.RL Investīciju naudas plūsma'!T4</f>
        <v>2036</v>
      </c>
      <c r="V4" s="87">
        <f>'14.RL Investīciju naudas plūsma'!U4</f>
        <v>2037</v>
      </c>
      <c r="W4" s="87">
        <f>'14.RL Investīciju naudas plūsma'!V4</f>
        <v>2038</v>
      </c>
      <c r="X4" s="87">
        <f>'14.RL Investīciju naudas plūsma'!W4</f>
        <v>2039</v>
      </c>
      <c r="Y4" s="87">
        <f>'14.RL Investīciju naudas plūsma'!X4</f>
        <v>2040</v>
      </c>
      <c r="Z4" s="87">
        <f>'14.RL Investīciju naudas plūsma'!Y4</f>
        <v>2041</v>
      </c>
      <c r="AA4" s="87">
        <f>'14.RL Investīciju naudas plūsma'!Z4</f>
        <v>2042</v>
      </c>
      <c r="AB4" s="87">
        <f>'14.RL Investīciju naudas plūsma'!AA4</f>
        <v>2043</v>
      </c>
      <c r="AC4" s="87">
        <f>'14.RL Investīciju naudas plūsma'!AB4</f>
        <v>2044</v>
      </c>
      <c r="AD4" s="87">
        <f>'14.RL Investīciju naudas plūsma'!AC4</f>
        <v>2045</v>
      </c>
      <c r="AE4" s="127" t="s">
        <v>40</v>
      </c>
    </row>
    <row r="5" spans="1:31" x14ac:dyDescent="0.25">
      <c r="A5" s="37">
        <v>1</v>
      </c>
      <c r="B5" s="38" t="s">
        <v>41</v>
      </c>
      <c r="C5" s="38"/>
      <c r="D5" s="38"/>
      <c r="E5" s="38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40"/>
    </row>
    <row r="6" spans="1:31" x14ac:dyDescent="0.25">
      <c r="A6" s="233"/>
      <c r="B6" s="234" t="s">
        <v>27</v>
      </c>
      <c r="C6" s="234" t="s">
        <v>284</v>
      </c>
      <c r="D6" s="234"/>
      <c r="E6" s="284" t="s">
        <v>20</v>
      </c>
      <c r="F6" s="387">
        <f>'12. AL Soc.ekonom.anal.'!E8</f>
        <v>17500</v>
      </c>
      <c r="G6" s="388">
        <f>'12. AL Soc.ekonom.anal.'!F8</f>
        <v>17500</v>
      </c>
      <c r="H6" s="388">
        <f>'12. AL Soc.ekonom.anal.'!G8</f>
        <v>12500</v>
      </c>
      <c r="I6" s="388">
        <f>'12. AL Soc.ekonom.anal.'!H8</f>
        <v>12500</v>
      </c>
      <c r="J6" s="388">
        <f>'12. AL Soc.ekonom.anal.'!I8</f>
        <v>12500</v>
      </c>
      <c r="K6" s="388">
        <f>'12. AL Soc.ekonom.anal.'!J8</f>
        <v>12500</v>
      </c>
      <c r="L6" s="388">
        <f>'12. AL Soc.ekonom.anal.'!K8</f>
        <v>12500</v>
      </c>
      <c r="M6" s="388">
        <f>'12. AL Soc.ekonom.anal.'!L8</f>
        <v>12500</v>
      </c>
      <c r="N6" s="388">
        <f>'12. AL Soc.ekonom.anal.'!M8</f>
        <v>12500</v>
      </c>
      <c r="O6" s="388">
        <f>'12. AL Soc.ekonom.anal.'!N8</f>
        <v>12500</v>
      </c>
      <c r="P6" s="388">
        <f>'12. AL Soc.ekonom.anal.'!O8</f>
        <v>12500</v>
      </c>
      <c r="Q6" s="388">
        <f>'12. AL Soc.ekonom.anal.'!P8</f>
        <v>12500</v>
      </c>
      <c r="R6" s="388">
        <f>'12. AL Soc.ekonom.anal.'!Q8</f>
        <v>12500</v>
      </c>
      <c r="S6" s="388">
        <f>'12. AL Soc.ekonom.anal.'!R8</f>
        <v>12500</v>
      </c>
      <c r="T6" s="388">
        <f>'12. AL Soc.ekonom.anal.'!S8</f>
        <v>12500</v>
      </c>
      <c r="U6" s="388">
        <f>'12. AL Soc.ekonom.anal.'!T8</f>
        <v>12500</v>
      </c>
      <c r="V6" s="388">
        <f>'12. AL Soc.ekonom.anal.'!U8</f>
        <v>12500</v>
      </c>
      <c r="W6" s="388">
        <f>'12. AL Soc.ekonom.anal.'!V8</f>
        <v>12500</v>
      </c>
      <c r="X6" s="388">
        <f>'12. AL Soc.ekonom.anal.'!W8</f>
        <v>12500</v>
      </c>
      <c r="Y6" s="388">
        <f>'12. AL Soc.ekonom.anal.'!X8</f>
        <v>12500</v>
      </c>
      <c r="Z6" s="388">
        <f>'12. AL Soc.ekonom.anal.'!Y8</f>
        <v>12500</v>
      </c>
      <c r="AA6" s="388">
        <f>'12. AL Soc.ekonom.anal.'!Z8</f>
        <v>12500</v>
      </c>
      <c r="AB6" s="388">
        <f>'12. AL Soc.ekonom.anal.'!AA8</f>
        <v>12500</v>
      </c>
      <c r="AC6" s="388">
        <f>'12. AL Soc.ekonom.anal.'!AB8</f>
        <v>12500</v>
      </c>
      <c r="AD6" s="388">
        <f>'12. AL Soc.ekonom.anal.'!AC8</f>
        <v>12500</v>
      </c>
      <c r="AE6" s="389">
        <f t="shared" ref="AE6:AE13" si="0">SUM(F6:AD6)</f>
        <v>322500</v>
      </c>
    </row>
    <row r="7" spans="1:31" x14ac:dyDescent="0.25">
      <c r="A7" s="209"/>
      <c r="B7" s="25" t="s">
        <v>28</v>
      </c>
      <c r="C7" s="25" t="s">
        <v>346</v>
      </c>
      <c r="D7" s="25"/>
      <c r="E7" s="31" t="s">
        <v>20</v>
      </c>
      <c r="F7" s="353">
        <f>'12. AL Soc.ekonom.anal.'!E9</f>
        <v>2000</v>
      </c>
      <c r="G7" s="310">
        <f>'12. AL Soc.ekonom.anal.'!F9</f>
        <v>3000</v>
      </c>
      <c r="H7" s="310">
        <f>'12. AL Soc.ekonom.anal.'!G9</f>
        <v>5020</v>
      </c>
      <c r="I7" s="310">
        <f>'12. AL Soc.ekonom.anal.'!H9</f>
        <v>1018</v>
      </c>
      <c r="J7" s="310">
        <f>'12. AL Soc.ekonom.anal.'!I9</f>
        <v>1016</v>
      </c>
      <c r="K7" s="310">
        <f>'12. AL Soc.ekonom.anal.'!J9</f>
        <v>1014</v>
      </c>
      <c r="L7" s="310">
        <f>'12. AL Soc.ekonom.anal.'!K9</f>
        <v>1012</v>
      </c>
      <c r="M7" s="310">
        <f>'12. AL Soc.ekonom.anal.'!L9</f>
        <v>1010</v>
      </c>
      <c r="N7" s="310">
        <f>'12. AL Soc.ekonom.anal.'!M9</f>
        <v>1008</v>
      </c>
      <c r="O7" s="310">
        <f>'12. AL Soc.ekonom.anal.'!N9</f>
        <v>1006</v>
      </c>
      <c r="P7" s="310">
        <f>'12. AL Soc.ekonom.anal.'!O9</f>
        <v>1004</v>
      </c>
      <c r="Q7" s="310">
        <f>'12. AL Soc.ekonom.anal.'!P9</f>
        <v>1002</v>
      </c>
      <c r="R7" s="310">
        <f>'12. AL Soc.ekonom.anal.'!Q9</f>
        <v>1000</v>
      </c>
      <c r="S7" s="310">
        <f>'12. AL Soc.ekonom.anal.'!R9</f>
        <v>1000</v>
      </c>
      <c r="T7" s="310">
        <f>'12. AL Soc.ekonom.anal.'!S9</f>
        <v>1000</v>
      </c>
      <c r="U7" s="310">
        <f>'12. AL Soc.ekonom.anal.'!T9</f>
        <v>1000</v>
      </c>
      <c r="V7" s="310">
        <f>'12. AL Soc.ekonom.anal.'!U9</f>
        <v>1000</v>
      </c>
      <c r="W7" s="310">
        <f>'12. AL Soc.ekonom.anal.'!V9</f>
        <v>1000</v>
      </c>
      <c r="X7" s="310">
        <f>'12. AL Soc.ekonom.anal.'!W9</f>
        <v>1000</v>
      </c>
      <c r="Y7" s="310">
        <f>'12. AL Soc.ekonom.anal.'!X9</f>
        <v>1000</v>
      </c>
      <c r="Z7" s="310">
        <f>'12. AL Soc.ekonom.anal.'!Y9</f>
        <v>1000</v>
      </c>
      <c r="AA7" s="310">
        <f>'12. AL Soc.ekonom.anal.'!Z9</f>
        <v>1000</v>
      </c>
      <c r="AB7" s="310">
        <f>'12. AL Soc.ekonom.anal.'!AA9</f>
        <v>1000</v>
      </c>
      <c r="AC7" s="310">
        <f>'12. AL Soc.ekonom.anal.'!AB9</f>
        <v>1000</v>
      </c>
      <c r="AD7" s="310">
        <f>'12. AL Soc.ekonom.anal.'!AC9</f>
        <v>1000</v>
      </c>
      <c r="AE7" s="390">
        <f t="shared" si="0"/>
        <v>32110</v>
      </c>
    </row>
    <row r="8" spans="1:31" x14ac:dyDescent="0.25">
      <c r="A8" s="209"/>
      <c r="B8" s="304" t="s">
        <v>80</v>
      </c>
      <c r="C8" s="27" t="s">
        <v>347</v>
      </c>
      <c r="D8" s="25"/>
      <c r="E8" s="31" t="s">
        <v>20</v>
      </c>
      <c r="F8" s="353">
        <f>'12. AL Soc.ekonom.anal.'!E12</f>
        <v>19500</v>
      </c>
      <c r="G8" s="310">
        <f>'12. AL Soc.ekonom.anal.'!F12</f>
        <v>20500</v>
      </c>
      <c r="H8" s="310">
        <f>'12. AL Soc.ekonom.anal.'!G12</f>
        <v>17520</v>
      </c>
      <c r="I8" s="310">
        <f>'12. AL Soc.ekonom.anal.'!H12</f>
        <v>13518</v>
      </c>
      <c r="J8" s="310">
        <f>'12. AL Soc.ekonom.anal.'!I12</f>
        <v>13516</v>
      </c>
      <c r="K8" s="310">
        <f>'12. AL Soc.ekonom.anal.'!J12</f>
        <v>13514</v>
      </c>
      <c r="L8" s="310">
        <f>'12. AL Soc.ekonom.anal.'!K12</f>
        <v>13512</v>
      </c>
      <c r="M8" s="310">
        <f>'12. AL Soc.ekonom.anal.'!L12</f>
        <v>13510</v>
      </c>
      <c r="N8" s="310">
        <f>'12. AL Soc.ekonom.anal.'!M12</f>
        <v>13508</v>
      </c>
      <c r="O8" s="310">
        <f>'12. AL Soc.ekonom.anal.'!N12</f>
        <v>13506</v>
      </c>
      <c r="P8" s="310">
        <f>'12. AL Soc.ekonom.anal.'!O12</f>
        <v>13504</v>
      </c>
      <c r="Q8" s="310">
        <f>'12. AL Soc.ekonom.anal.'!P12</f>
        <v>13502</v>
      </c>
      <c r="R8" s="310">
        <f>'12. AL Soc.ekonom.anal.'!Q12</f>
        <v>13500</v>
      </c>
      <c r="S8" s="310">
        <f>'12. AL Soc.ekonom.anal.'!R12</f>
        <v>13500</v>
      </c>
      <c r="T8" s="310">
        <f>'12. AL Soc.ekonom.anal.'!S12</f>
        <v>13500</v>
      </c>
      <c r="U8" s="310">
        <f>'12. AL Soc.ekonom.anal.'!T12</f>
        <v>13500</v>
      </c>
      <c r="V8" s="310">
        <f>'12. AL Soc.ekonom.anal.'!U12</f>
        <v>13500</v>
      </c>
      <c r="W8" s="310">
        <f>'12. AL Soc.ekonom.anal.'!V12</f>
        <v>13500</v>
      </c>
      <c r="X8" s="310">
        <f>'12. AL Soc.ekonom.anal.'!W12</f>
        <v>13500</v>
      </c>
      <c r="Y8" s="310">
        <f>'12. AL Soc.ekonom.anal.'!X12</f>
        <v>13500</v>
      </c>
      <c r="Z8" s="310">
        <f>'12. AL Soc.ekonom.anal.'!Y12</f>
        <v>13500</v>
      </c>
      <c r="AA8" s="310">
        <f>'12. AL Soc.ekonom.anal.'!Z12</f>
        <v>13500</v>
      </c>
      <c r="AB8" s="310">
        <f>'12. AL Soc.ekonom.anal.'!AA12</f>
        <v>13500</v>
      </c>
      <c r="AC8" s="310">
        <f>'12. AL Soc.ekonom.anal.'!AB12</f>
        <v>13500</v>
      </c>
      <c r="AD8" s="310">
        <f>'12. AL Soc.ekonom.anal.'!AC12</f>
        <v>13500</v>
      </c>
      <c r="AE8" s="390">
        <f t="shared" si="0"/>
        <v>354610</v>
      </c>
    </row>
    <row r="9" spans="1:31" x14ac:dyDescent="0.25">
      <c r="A9" s="209"/>
      <c r="B9" s="304" t="s">
        <v>142</v>
      </c>
      <c r="C9" s="25" t="s">
        <v>297</v>
      </c>
      <c r="D9" s="25"/>
      <c r="E9" s="31" t="s">
        <v>20</v>
      </c>
      <c r="F9" s="353">
        <f>'12. AL Soc.ekonom.anal.'!E13</f>
        <v>1500</v>
      </c>
      <c r="G9" s="310">
        <f>'12. AL Soc.ekonom.anal.'!F13</f>
        <v>1500</v>
      </c>
      <c r="H9" s="310">
        <f>'12. AL Soc.ekonom.anal.'!G13</f>
        <v>1500</v>
      </c>
      <c r="I9" s="310">
        <f>'12. AL Soc.ekonom.anal.'!H13</f>
        <v>1500</v>
      </c>
      <c r="J9" s="310">
        <f>'12. AL Soc.ekonom.anal.'!I13</f>
        <v>1500</v>
      </c>
      <c r="K9" s="310">
        <f>'12. AL Soc.ekonom.anal.'!J13</f>
        <v>1500</v>
      </c>
      <c r="L9" s="310">
        <f>'12. AL Soc.ekonom.anal.'!K13</f>
        <v>1500</v>
      </c>
      <c r="M9" s="310">
        <f>'12. AL Soc.ekonom.anal.'!L13</f>
        <v>1500</v>
      </c>
      <c r="N9" s="310">
        <f>'12. AL Soc.ekonom.anal.'!M13</f>
        <v>1500</v>
      </c>
      <c r="O9" s="310">
        <f>'12. AL Soc.ekonom.anal.'!N13</f>
        <v>1500</v>
      </c>
      <c r="P9" s="310">
        <f>'12. AL Soc.ekonom.anal.'!O13</f>
        <v>1500</v>
      </c>
      <c r="Q9" s="310">
        <f>'12. AL Soc.ekonom.anal.'!P13</f>
        <v>1500</v>
      </c>
      <c r="R9" s="310">
        <f>'12. AL Soc.ekonom.anal.'!Q13</f>
        <v>1500</v>
      </c>
      <c r="S9" s="310">
        <f>'12. AL Soc.ekonom.anal.'!R13</f>
        <v>1500</v>
      </c>
      <c r="T9" s="310">
        <f>'12. AL Soc.ekonom.anal.'!S13</f>
        <v>1500</v>
      </c>
      <c r="U9" s="310">
        <f>'12. AL Soc.ekonom.anal.'!T13</f>
        <v>1500</v>
      </c>
      <c r="V9" s="310">
        <f>'12. AL Soc.ekonom.anal.'!U13</f>
        <v>1500</v>
      </c>
      <c r="W9" s="310">
        <f>'12. AL Soc.ekonom.anal.'!V13</f>
        <v>1500</v>
      </c>
      <c r="X9" s="310">
        <f>'12. AL Soc.ekonom.anal.'!W13</f>
        <v>1500</v>
      </c>
      <c r="Y9" s="310">
        <f>'12. AL Soc.ekonom.anal.'!X13</f>
        <v>1500</v>
      </c>
      <c r="Z9" s="310">
        <f>'12. AL Soc.ekonom.anal.'!Y13</f>
        <v>1500</v>
      </c>
      <c r="AA9" s="310">
        <f>'12. AL Soc.ekonom.anal.'!Z13</f>
        <v>1500</v>
      </c>
      <c r="AB9" s="310">
        <f>'12. AL Soc.ekonom.anal.'!AA13</f>
        <v>1500</v>
      </c>
      <c r="AC9" s="310">
        <f>'12. AL Soc.ekonom.anal.'!AB13</f>
        <v>1500</v>
      </c>
      <c r="AD9" s="310">
        <f>'12. AL Soc.ekonom.anal.'!AC13</f>
        <v>1500</v>
      </c>
      <c r="AE9" s="390">
        <f t="shared" si="0"/>
        <v>37500</v>
      </c>
    </row>
    <row r="10" spans="1:31" x14ac:dyDescent="0.25">
      <c r="A10" s="209"/>
      <c r="B10" s="304" t="s">
        <v>81</v>
      </c>
      <c r="C10" s="25" t="s">
        <v>348</v>
      </c>
      <c r="D10" s="25"/>
      <c r="E10" s="31" t="s">
        <v>20</v>
      </c>
      <c r="F10" s="353">
        <f>'12. AL Soc.ekonom.anal.'!E14</f>
        <v>99500</v>
      </c>
      <c r="G10" s="310">
        <f>'12. AL Soc.ekonom.anal.'!F14</f>
        <v>83500</v>
      </c>
      <c r="H10" s="310">
        <f>'12. AL Soc.ekonom.anal.'!G14</f>
        <v>25000</v>
      </c>
      <c r="I10" s="310">
        <f>'12. AL Soc.ekonom.anal.'!H14</f>
        <v>0</v>
      </c>
      <c r="J10" s="310">
        <f>'12. AL Soc.ekonom.anal.'!I14</f>
        <v>0</v>
      </c>
      <c r="K10" s="310">
        <f>'12. AL Soc.ekonom.anal.'!J14</f>
        <v>0</v>
      </c>
      <c r="L10" s="310">
        <f>'12. AL Soc.ekonom.anal.'!K14</f>
        <v>0</v>
      </c>
      <c r="M10" s="310">
        <f>'12. AL Soc.ekonom.anal.'!L14</f>
        <v>0</v>
      </c>
      <c r="N10" s="310">
        <f>'12. AL Soc.ekonom.anal.'!M14</f>
        <v>0</v>
      </c>
      <c r="O10" s="310">
        <f>'12. AL Soc.ekonom.anal.'!N14</f>
        <v>0</v>
      </c>
      <c r="P10" s="310">
        <f>'12. AL Soc.ekonom.anal.'!O14</f>
        <v>0</v>
      </c>
      <c r="Q10" s="310">
        <f>'12. AL Soc.ekonom.anal.'!P14</f>
        <v>0</v>
      </c>
      <c r="R10" s="310">
        <f>'12. AL Soc.ekonom.anal.'!Q14</f>
        <v>0</v>
      </c>
      <c r="S10" s="310">
        <f>'12. AL Soc.ekonom.anal.'!R14</f>
        <v>0</v>
      </c>
      <c r="T10" s="310">
        <f>'12. AL Soc.ekonom.anal.'!S14</f>
        <v>0</v>
      </c>
      <c r="U10" s="310">
        <f>'12. AL Soc.ekonom.anal.'!T14</f>
        <v>0</v>
      </c>
      <c r="V10" s="310">
        <f>'12. AL Soc.ekonom.anal.'!U14</f>
        <v>0</v>
      </c>
      <c r="W10" s="310">
        <f>'12. AL Soc.ekonom.anal.'!V14</f>
        <v>0</v>
      </c>
      <c r="X10" s="310">
        <f>'12. AL Soc.ekonom.anal.'!W14</f>
        <v>0</v>
      </c>
      <c r="Y10" s="310">
        <f>'12. AL Soc.ekonom.anal.'!X14</f>
        <v>0</v>
      </c>
      <c r="Z10" s="310">
        <f>'12. AL Soc.ekonom.anal.'!Y14</f>
        <v>0</v>
      </c>
      <c r="AA10" s="310">
        <f>'12. AL Soc.ekonom.anal.'!Z14</f>
        <v>0</v>
      </c>
      <c r="AB10" s="310">
        <f>'12. AL Soc.ekonom.anal.'!AA14</f>
        <v>0</v>
      </c>
      <c r="AC10" s="310">
        <f>'12. AL Soc.ekonom.anal.'!AB14</f>
        <v>0</v>
      </c>
      <c r="AD10" s="310">
        <f>'12. AL Soc.ekonom.anal.'!AC14</f>
        <v>0</v>
      </c>
      <c r="AE10" s="390">
        <f t="shared" si="0"/>
        <v>208000</v>
      </c>
    </row>
    <row r="11" spans="1:31" x14ac:dyDescent="0.25">
      <c r="A11" s="209"/>
      <c r="B11" s="305" t="s">
        <v>82</v>
      </c>
      <c r="C11" s="25" t="s">
        <v>313</v>
      </c>
      <c r="D11" s="25"/>
      <c r="E11" s="31" t="s">
        <v>20</v>
      </c>
      <c r="F11" s="353">
        <f>'12. AL Soc.ekonom.anal.'!E21</f>
        <v>781.8</v>
      </c>
      <c r="G11" s="310">
        <f>'12. AL Soc.ekonom.anal.'!F21</f>
        <v>781.8</v>
      </c>
      <c r="H11" s="310">
        <f>'12. AL Soc.ekonom.anal.'!G21</f>
        <v>781.8</v>
      </c>
      <c r="I11" s="310">
        <f>'12. AL Soc.ekonom.anal.'!H21</f>
        <v>781.8</v>
      </c>
      <c r="J11" s="310">
        <f>'12. AL Soc.ekonom.anal.'!I21</f>
        <v>781.8</v>
      </c>
      <c r="K11" s="310">
        <f>'12. AL Soc.ekonom.anal.'!J21</f>
        <v>781.8</v>
      </c>
      <c r="L11" s="310">
        <f>'12. AL Soc.ekonom.anal.'!K21</f>
        <v>781.8</v>
      </c>
      <c r="M11" s="310">
        <f>'12. AL Soc.ekonom.anal.'!L21</f>
        <v>781.8</v>
      </c>
      <c r="N11" s="310">
        <f>'12. AL Soc.ekonom.anal.'!M21</f>
        <v>781.8</v>
      </c>
      <c r="O11" s="310">
        <f>'12. AL Soc.ekonom.anal.'!N21</f>
        <v>781.8</v>
      </c>
      <c r="P11" s="310">
        <f>'12. AL Soc.ekonom.anal.'!O21</f>
        <v>781.8</v>
      </c>
      <c r="Q11" s="310">
        <f>'12. AL Soc.ekonom.anal.'!P21</f>
        <v>781.8</v>
      </c>
      <c r="R11" s="310">
        <f>'12. AL Soc.ekonom.anal.'!Q21</f>
        <v>781.8</v>
      </c>
      <c r="S11" s="310">
        <f>'12. AL Soc.ekonom.anal.'!R21</f>
        <v>781.8</v>
      </c>
      <c r="T11" s="310">
        <f>'12. AL Soc.ekonom.anal.'!S21</f>
        <v>781.8</v>
      </c>
      <c r="U11" s="310">
        <f>'12. AL Soc.ekonom.anal.'!T21</f>
        <v>781.8</v>
      </c>
      <c r="V11" s="310">
        <f>'12. AL Soc.ekonom.anal.'!U21</f>
        <v>781.8</v>
      </c>
      <c r="W11" s="310">
        <f>'12. AL Soc.ekonom.anal.'!V21</f>
        <v>781.8</v>
      </c>
      <c r="X11" s="310">
        <f>'12. AL Soc.ekonom.anal.'!W21</f>
        <v>781.8</v>
      </c>
      <c r="Y11" s="310">
        <f>'12. AL Soc.ekonom.anal.'!X21</f>
        <v>781.8</v>
      </c>
      <c r="Z11" s="310">
        <f>'12. AL Soc.ekonom.anal.'!Y21</f>
        <v>781.8</v>
      </c>
      <c r="AA11" s="310">
        <f>'12. AL Soc.ekonom.anal.'!Z21</f>
        <v>781.8</v>
      </c>
      <c r="AB11" s="310">
        <f>'12. AL Soc.ekonom.anal.'!AA21</f>
        <v>781.8</v>
      </c>
      <c r="AC11" s="310">
        <f>'12. AL Soc.ekonom.anal.'!AB21</f>
        <v>781.8</v>
      </c>
      <c r="AD11" s="310">
        <f>'12. AL Soc.ekonom.anal.'!AC21</f>
        <v>781.8</v>
      </c>
      <c r="AE11" s="390">
        <f t="shared" si="0"/>
        <v>19544.999999999993</v>
      </c>
    </row>
    <row r="12" spans="1:31" x14ac:dyDescent="0.25">
      <c r="A12" s="209"/>
      <c r="B12" s="305" t="s">
        <v>145</v>
      </c>
      <c r="C12" s="27" t="s">
        <v>318</v>
      </c>
      <c r="D12" s="25"/>
      <c r="E12" s="31" t="s">
        <v>20</v>
      </c>
      <c r="F12" s="319">
        <f>'12. AL Soc.ekonom.anal.'!E25</f>
        <v>100218.2</v>
      </c>
      <c r="G12" s="320">
        <f>'12. AL Soc.ekonom.anal.'!F25</f>
        <v>84218.2</v>
      </c>
      <c r="H12" s="320">
        <f>'12. AL Soc.ekonom.anal.'!G25</f>
        <v>25718.2</v>
      </c>
      <c r="I12" s="320">
        <f>'12. AL Soc.ekonom.anal.'!H25</f>
        <v>718.2</v>
      </c>
      <c r="J12" s="320">
        <f>'12. AL Soc.ekonom.anal.'!I25</f>
        <v>718.2</v>
      </c>
      <c r="K12" s="320">
        <f>'12. AL Soc.ekonom.anal.'!J25</f>
        <v>718.2</v>
      </c>
      <c r="L12" s="320">
        <f>'12. AL Soc.ekonom.anal.'!K25</f>
        <v>718.2</v>
      </c>
      <c r="M12" s="320">
        <f>'12. AL Soc.ekonom.anal.'!L25</f>
        <v>718.2</v>
      </c>
      <c r="N12" s="320">
        <f>'12. AL Soc.ekonom.anal.'!M25</f>
        <v>718.2</v>
      </c>
      <c r="O12" s="320">
        <f>'12. AL Soc.ekonom.anal.'!N25</f>
        <v>718.2</v>
      </c>
      <c r="P12" s="320">
        <f>'12. AL Soc.ekonom.anal.'!O25</f>
        <v>718.2</v>
      </c>
      <c r="Q12" s="320">
        <f>'12. AL Soc.ekonom.anal.'!P25</f>
        <v>718.2</v>
      </c>
      <c r="R12" s="320">
        <f>'12. AL Soc.ekonom.anal.'!Q25</f>
        <v>718.2</v>
      </c>
      <c r="S12" s="320">
        <f>'12. AL Soc.ekonom.anal.'!R25</f>
        <v>718.2</v>
      </c>
      <c r="T12" s="320">
        <f>'12. AL Soc.ekonom.anal.'!S25</f>
        <v>718.2</v>
      </c>
      <c r="U12" s="320">
        <f>'12. AL Soc.ekonom.anal.'!T25</f>
        <v>718.2</v>
      </c>
      <c r="V12" s="320">
        <f>'12. AL Soc.ekonom.anal.'!U25</f>
        <v>718.2</v>
      </c>
      <c r="W12" s="320">
        <f>'12. AL Soc.ekonom.anal.'!V25</f>
        <v>718.2</v>
      </c>
      <c r="X12" s="320">
        <f>'12. AL Soc.ekonom.anal.'!W25</f>
        <v>718.2</v>
      </c>
      <c r="Y12" s="320">
        <f>'12. AL Soc.ekonom.anal.'!X25</f>
        <v>718.2</v>
      </c>
      <c r="Z12" s="320">
        <f>'12. AL Soc.ekonom.anal.'!Y25</f>
        <v>718.2</v>
      </c>
      <c r="AA12" s="320">
        <f>'12. AL Soc.ekonom.anal.'!Z25</f>
        <v>718.2</v>
      </c>
      <c r="AB12" s="320">
        <f>'12. AL Soc.ekonom.anal.'!AA25</f>
        <v>718.2</v>
      </c>
      <c r="AC12" s="320">
        <f>'12. AL Soc.ekonom.anal.'!AB25</f>
        <v>718.2</v>
      </c>
      <c r="AD12" s="320">
        <f>'12. AL Soc.ekonom.anal.'!AC25</f>
        <v>718.2</v>
      </c>
      <c r="AE12" s="390">
        <f t="shared" si="0"/>
        <v>225955.00000000026</v>
      </c>
    </row>
    <row r="13" spans="1:31" x14ac:dyDescent="0.25">
      <c r="A13" s="25"/>
      <c r="B13" s="305" t="s">
        <v>275</v>
      </c>
      <c r="C13" s="27" t="s">
        <v>89</v>
      </c>
      <c r="D13" s="25"/>
      <c r="E13" s="31" t="s">
        <v>20</v>
      </c>
      <c r="F13" s="322">
        <f>'12. AL Soc.ekonom.anal.'!E26</f>
        <v>-80718.2</v>
      </c>
      <c r="G13" s="323">
        <f>'12. AL Soc.ekonom.anal.'!F26</f>
        <v>-63718.2</v>
      </c>
      <c r="H13" s="323">
        <f>'12. AL Soc.ekonom.anal.'!G26</f>
        <v>-8198.2000000000007</v>
      </c>
      <c r="I13" s="323">
        <f>'12. AL Soc.ekonom.anal.'!H26</f>
        <v>12799.8</v>
      </c>
      <c r="J13" s="323">
        <f>'12. AL Soc.ekonom.anal.'!I26</f>
        <v>12797.8</v>
      </c>
      <c r="K13" s="323">
        <f>'12. AL Soc.ekonom.anal.'!J26</f>
        <v>12795.8</v>
      </c>
      <c r="L13" s="323">
        <f>'12. AL Soc.ekonom.anal.'!K26</f>
        <v>12793.8</v>
      </c>
      <c r="M13" s="323">
        <f>'12. AL Soc.ekonom.anal.'!L26</f>
        <v>12791.8</v>
      </c>
      <c r="N13" s="323">
        <f>'12. AL Soc.ekonom.anal.'!M26</f>
        <v>12789.8</v>
      </c>
      <c r="O13" s="323">
        <f>'12. AL Soc.ekonom.anal.'!N26</f>
        <v>12787.8</v>
      </c>
      <c r="P13" s="323">
        <f>'12. AL Soc.ekonom.anal.'!O26</f>
        <v>12785.8</v>
      </c>
      <c r="Q13" s="323">
        <f>'12. AL Soc.ekonom.anal.'!P26</f>
        <v>12783.8</v>
      </c>
      <c r="R13" s="323">
        <f>'12. AL Soc.ekonom.anal.'!Q26</f>
        <v>12781.8</v>
      </c>
      <c r="S13" s="323">
        <f>'12. AL Soc.ekonom.anal.'!R26</f>
        <v>12781.8</v>
      </c>
      <c r="T13" s="323">
        <f>'12. AL Soc.ekonom.anal.'!S26</f>
        <v>12781.8</v>
      </c>
      <c r="U13" s="323">
        <f>'12. AL Soc.ekonom.anal.'!T26</f>
        <v>12781.8</v>
      </c>
      <c r="V13" s="323">
        <f>'12. AL Soc.ekonom.anal.'!U26</f>
        <v>12781.8</v>
      </c>
      <c r="W13" s="323">
        <f>'12. AL Soc.ekonom.anal.'!V26</f>
        <v>12781.8</v>
      </c>
      <c r="X13" s="323">
        <f>'12. AL Soc.ekonom.anal.'!W26</f>
        <v>12781.8</v>
      </c>
      <c r="Y13" s="323">
        <f>'12. AL Soc.ekonom.anal.'!X26</f>
        <v>12781.8</v>
      </c>
      <c r="Z13" s="323">
        <f>'12. AL Soc.ekonom.anal.'!Y26</f>
        <v>12781.8</v>
      </c>
      <c r="AA13" s="323">
        <f>'12. AL Soc.ekonom.anal.'!Z26</f>
        <v>12781.8</v>
      </c>
      <c r="AB13" s="323">
        <f>'12. AL Soc.ekonom.anal.'!AA26</f>
        <v>12781.8</v>
      </c>
      <c r="AC13" s="323">
        <f>'12. AL Soc.ekonom.anal.'!AB26</f>
        <v>12781.8</v>
      </c>
      <c r="AD13" s="323">
        <f>'12. AL Soc.ekonom.anal.'!AC26</f>
        <v>12781.8</v>
      </c>
      <c r="AE13" s="391">
        <f t="shared" si="0"/>
        <v>128655.00000000001</v>
      </c>
    </row>
    <row r="14" spans="1:31" x14ac:dyDescent="0.25">
      <c r="A14" s="239"/>
      <c r="B14" s="240"/>
      <c r="C14" s="222"/>
      <c r="D14" s="240"/>
      <c r="E14" s="31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6"/>
    </row>
    <row r="15" spans="1:31" x14ac:dyDescent="0.25">
      <c r="A15" s="37">
        <v>2</v>
      </c>
      <c r="B15" s="38" t="s">
        <v>109</v>
      </c>
      <c r="C15" s="38"/>
      <c r="D15" s="38"/>
      <c r="E15" s="38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8"/>
    </row>
    <row r="16" spans="1:31" x14ac:dyDescent="0.25">
      <c r="A16" s="229"/>
      <c r="B16" s="289"/>
      <c r="C16" s="230" t="s">
        <v>364</v>
      </c>
      <c r="D16" s="230"/>
      <c r="E16" s="290" t="s">
        <v>21</v>
      </c>
      <c r="F16" s="291">
        <f>Titullapa!B25</f>
        <v>0.05</v>
      </c>
      <c r="G16" s="190"/>
      <c r="H16" s="9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9"/>
    </row>
    <row r="17" spans="1:31" x14ac:dyDescent="0.25">
      <c r="A17" s="229"/>
      <c r="B17" s="229"/>
      <c r="C17" s="230" t="s">
        <v>111</v>
      </c>
      <c r="D17" s="230"/>
      <c r="E17" s="290" t="s">
        <v>112</v>
      </c>
      <c r="F17" s="292">
        <f>F3</f>
        <v>0</v>
      </c>
      <c r="G17" s="292">
        <f t="shared" ref="G17:AD17" si="1">G3</f>
        <v>1</v>
      </c>
      <c r="H17" s="292">
        <f t="shared" si="1"/>
        <v>2</v>
      </c>
      <c r="I17" s="292">
        <f t="shared" si="1"/>
        <v>3</v>
      </c>
      <c r="J17" s="292">
        <f t="shared" si="1"/>
        <v>4</v>
      </c>
      <c r="K17" s="292">
        <f t="shared" si="1"/>
        <v>5</v>
      </c>
      <c r="L17" s="292">
        <f t="shared" si="1"/>
        <v>6</v>
      </c>
      <c r="M17" s="292">
        <f t="shared" si="1"/>
        <v>7</v>
      </c>
      <c r="N17" s="292">
        <f t="shared" si="1"/>
        <v>8</v>
      </c>
      <c r="O17" s="292">
        <f t="shared" si="1"/>
        <v>9</v>
      </c>
      <c r="P17" s="292">
        <f t="shared" si="1"/>
        <v>10</v>
      </c>
      <c r="Q17" s="292">
        <f t="shared" si="1"/>
        <v>11</v>
      </c>
      <c r="R17" s="292">
        <f t="shared" si="1"/>
        <v>12</v>
      </c>
      <c r="S17" s="292">
        <f t="shared" si="1"/>
        <v>13</v>
      </c>
      <c r="T17" s="292">
        <f t="shared" si="1"/>
        <v>14</v>
      </c>
      <c r="U17" s="292">
        <f t="shared" si="1"/>
        <v>15</v>
      </c>
      <c r="V17" s="292">
        <f t="shared" si="1"/>
        <v>16</v>
      </c>
      <c r="W17" s="292">
        <f t="shared" si="1"/>
        <v>17</v>
      </c>
      <c r="X17" s="292">
        <f t="shared" si="1"/>
        <v>18</v>
      </c>
      <c r="Y17" s="292">
        <f t="shared" si="1"/>
        <v>19</v>
      </c>
      <c r="Z17" s="292">
        <f t="shared" si="1"/>
        <v>20</v>
      </c>
      <c r="AA17" s="292">
        <f t="shared" si="1"/>
        <v>21</v>
      </c>
      <c r="AB17" s="292">
        <f t="shared" si="1"/>
        <v>22</v>
      </c>
      <c r="AC17" s="292">
        <f t="shared" si="1"/>
        <v>23</v>
      </c>
      <c r="AD17" s="292">
        <f t="shared" si="1"/>
        <v>24</v>
      </c>
      <c r="AE17" s="17"/>
    </row>
    <row r="18" spans="1:31" x14ac:dyDescent="0.25">
      <c r="A18" s="229"/>
      <c r="B18" s="229"/>
      <c r="C18" s="230" t="s">
        <v>113</v>
      </c>
      <c r="D18" s="230"/>
      <c r="E18" s="706" t="s">
        <v>114</v>
      </c>
      <c r="F18" s="293">
        <f t="shared" ref="F18:AD18" si="2">1/(1+$F$16)^F17</f>
        <v>1</v>
      </c>
      <c r="G18" s="293">
        <f t="shared" si="2"/>
        <v>0.95238095238095233</v>
      </c>
      <c r="H18" s="293">
        <f t="shared" si="2"/>
        <v>0.90702947845804982</v>
      </c>
      <c r="I18" s="293">
        <f t="shared" si="2"/>
        <v>0.86383759853147601</v>
      </c>
      <c r="J18" s="293">
        <f t="shared" si="2"/>
        <v>0.82270247479188197</v>
      </c>
      <c r="K18" s="293">
        <f t="shared" si="2"/>
        <v>0.78352616646845896</v>
      </c>
      <c r="L18" s="293">
        <f t="shared" si="2"/>
        <v>0.74621539663662761</v>
      </c>
      <c r="M18" s="293">
        <f t="shared" si="2"/>
        <v>0.71068133013012147</v>
      </c>
      <c r="N18" s="293">
        <f t="shared" si="2"/>
        <v>0.67683936202868722</v>
      </c>
      <c r="O18" s="293">
        <f t="shared" si="2"/>
        <v>0.64460891621779726</v>
      </c>
      <c r="P18" s="293">
        <f t="shared" si="2"/>
        <v>0.61391325354075932</v>
      </c>
      <c r="Q18" s="293">
        <f t="shared" si="2"/>
        <v>0.5846792890864374</v>
      </c>
      <c r="R18" s="293">
        <f t="shared" si="2"/>
        <v>0.5568374181775595</v>
      </c>
      <c r="S18" s="293">
        <f t="shared" si="2"/>
        <v>0.53032135064529462</v>
      </c>
      <c r="T18" s="293">
        <f t="shared" si="2"/>
        <v>0.50506795299551888</v>
      </c>
      <c r="U18" s="293">
        <f t="shared" si="2"/>
        <v>0.48101709809097021</v>
      </c>
      <c r="V18" s="293">
        <f t="shared" si="2"/>
        <v>0.45811152199140021</v>
      </c>
      <c r="W18" s="293">
        <f t="shared" si="2"/>
        <v>0.43629668761085727</v>
      </c>
      <c r="X18" s="293">
        <f t="shared" si="2"/>
        <v>0.41552065486748313</v>
      </c>
      <c r="Y18" s="293">
        <f t="shared" si="2"/>
        <v>0.39573395701665059</v>
      </c>
      <c r="Z18" s="293">
        <f t="shared" si="2"/>
        <v>0.37688948287300061</v>
      </c>
      <c r="AA18" s="293">
        <f t="shared" si="2"/>
        <v>0.35894236464095297</v>
      </c>
      <c r="AB18" s="293">
        <f t="shared" si="2"/>
        <v>0.3418498710866219</v>
      </c>
      <c r="AC18" s="293">
        <f t="shared" si="2"/>
        <v>0.32557130579678267</v>
      </c>
      <c r="AD18" s="293">
        <f t="shared" si="2"/>
        <v>0.31006791028265024</v>
      </c>
      <c r="AE18" s="17"/>
    </row>
    <row r="19" spans="1:31" x14ac:dyDescent="0.25">
      <c r="A19" s="233"/>
      <c r="B19" s="234" t="s">
        <v>51</v>
      </c>
      <c r="C19" s="234" t="s">
        <v>320</v>
      </c>
      <c r="D19" s="234"/>
      <c r="E19" s="71" t="s">
        <v>20</v>
      </c>
      <c r="F19" s="316">
        <f t="shared" ref="F19:AD19" si="3">F6*F18</f>
        <v>17500</v>
      </c>
      <c r="G19" s="317">
        <f t="shared" si="3"/>
        <v>16666.666666666664</v>
      </c>
      <c r="H19" s="317">
        <f t="shared" si="3"/>
        <v>11337.868480725623</v>
      </c>
      <c r="I19" s="317">
        <f t="shared" si="3"/>
        <v>10797.96998164345</v>
      </c>
      <c r="J19" s="317">
        <f t="shared" si="3"/>
        <v>10283.780934898525</v>
      </c>
      <c r="K19" s="317">
        <f t="shared" si="3"/>
        <v>9794.0770808557372</v>
      </c>
      <c r="L19" s="317">
        <f t="shared" si="3"/>
        <v>9327.6924579578445</v>
      </c>
      <c r="M19" s="317">
        <f t="shared" si="3"/>
        <v>8883.5166266265187</v>
      </c>
      <c r="N19" s="317">
        <f t="shared" si="3"/>
        <v>8460.4920253585897</v>
      </c>
      <c r="O19" s="317">
        <f t="shared" si="3"/>
        <v>8057.6114527224654</v>
      </c>
      <c r="P19" s="317">
        <f t="shared" si="3"/>
        <v>7673.9156692594916</v>
      </c>
      <c r="Q19" s="317">
        <f t="shared" si="3"/>
        <v>7308.4911135804678</v>
      </c>
      <c r="R19" s="317">
        <f t="shared" si="3"/>
        <v>6960.467727219494</v>
      </c>
      <c r="S19" s="317">
        <f t="shared" si="3"/>
        <v>6629.0168830661823</v>
      </c>
      <c r="T19" s="317">
        <f t="shared" si="3"/>
        <v>6313.3494124439858</v>
      </c>
      <c r="U19" s="317">
        <f t="shared" si="3"/>
        <v>6012.7137261371272</v>
      </c>
      <c r="V19" s="317">
        <f t="shared" si="3"/>
        <v>5726.3940248925028</v>
      </c>
      <c r="W19" s="317">
        <f t="shared" si="3"/>
        <v>5453.7085951357158</v>
      </c>
      <c r="X19" s="317">
        <f t="shared" si="3"/>
        <v>5194.0081858435387</v>
      </c>
      <c r="Y19" s="317">
        <f t="shared" si="3"/>
        <v>4946.6744627081325</v>
      </c>
      <c r="Z19" s="317">
        <f t="shared" si="3"/>
        <v>4711.1185359125075</v>
      </c>
      <c r="AA19" s="317">
        <f t="shared" si="3"/>
        <v>4486.7795580119118</v>
      </c>
      <c r="AB19" s="317">
        <f t="shared" si="3"/>
        <v>4273.1233885827742</v>
      </c>
      <c r="AC19" s="317">
        <f t="shared" si="3"/>
        <v>4069.6413224597836</v>
      </c>
      <c r="AD19" s="317">
        <f t="shared" si="3"/>
        <v>3875.8488785331278</v>
      </c>
      <c r="AE19" s="321">
        <f t="shared" ref="AE19:AE44" si="4">SUM(F19:AD19)</f>
        <v>194744.92719124217</v>
      </c>
    </row>
    <row r="20" spans="1:31" x14ac:dyDescent="0.25">
      <c r="A20" s="209"/>
      <c r="B20" s="294" t="s">
        <v>248</v>
      </c>
      <c r="C20" s="698" t="str">
        <f>'6.DL Soc.ekon.analīze'!B7</f>
        <v>Ieguvums ...</v>
      </c>
      <c r="D20" s="25"/>
      <c r="E20" s="71" t="s">
        <v>20</v>
      </c>
      <c r="F20" s="392">
        <f>'8.DL jut.analīze_Soc'!G9*F$18</f>
        <v>7500</v>
      </c>
      <c r="G20" s="393">
        <f>'8.DL jut.analīze_Soc'!H9*G$18</f>
        <v>7142.8571428571422</v>
      </c>
      <c r="H20" s="393">
        <f>'8.DL jut.analīze_Soc'!I9*H$18</f>
        <v>6802.7210884353735</v>
      </c>
      <c r="I20" s="393">
        <f>'8.DL jut.analīze_Soc'!J9*I$18</f>
        <v>6478.7819889860702</v>
      </c>
      <c r="J20" s="393">
        <f>'8.DL jut.analīze_Soc'!K9*J$18</f>
        <v>6170.2685609391146</v>
      </c>
      <c r="K20" s="393">
        <f>'8.DL jut.analīze_Soc'!L9*K$18</f>
        <v>5876.4462485134418</v>
      </c>
      <c r="L20" s="393">
        <f>'8.DL jut.analīze_Soc'!M9*L$18</f>
        <v>5596.6154747747069</v>
      </c>
      <c r="M20" s="393">
        <f>'8.DL jut.analīze_Soc'!N9*M$18</f>
        <v>5330.1099759759109</v>
      </c>
      <c r="N20" s="393">
        <f>'8.DL jut.analīze_Soc'!O9*N$18</f>
        <v>5076.2952152151538</v>
      </c>
      <c r="O20" s="393">
        <f>'8.DL jut.analīze_Soc'!P9*O$18</f>
        <v>4834.5668716334794</v>
      </c>
      <c r="P20" s="393">
        <f>'8.DL jut.analīze_Soc'!Q9*P$18</f>
        <v>4604.3494015556953</v>
      </c>
      <c r="Q20" s="393">
        <f>'8.DL jut.analīze_Soc'!R9*Q$18</f>
        <v>4385.0946681482801</v>
      </c>
      <c r="R20" s="393">
        <f>'8.DL jut.analīze_Soc'!S9*R$18</f>
        <v>4176.2806363316959</v>
      </c>
      <c r="S20" s="393">
        <f>'8.DL jut.analīze_Soc'!T9*S$18</f>
        <v>3977.4101298397095</v>
      </c>
      <c r="T20" s="393">
        <f>'8.DL jut.analīze_Soc'!U9*T$18</f>
        <v>3788.0096474663915</v>
      </c>
      <c r="U20" s="393">
        <f>'8.DL jut.analīze_Soc'!V9*U$18</f>
        <v>3607.6282356822767</v>
      </c>
      <c r="V20" s="393">
        <f>'8.DL jut.analīze_Soc'!W9*V$18</f>
        <v>3435.8364149355016</v>
      </c>
      <c r="W20" s="393">
        <f>'8.DL jut.analīze_Soc'!X9*W$18</f>
        <v>3272.2251570814296</v>
      </c>
      <c r="X20" s="393">
        <f>'8.DL jut.analīze_Soc'!Y9*X$18</f>
        <v>3116.4049115061234</v>
      </c>
      <c r="Y20" s="393">
        <f>'8.DL jut.analīze_Soc'!Z9*Y$18</f>
        <v>2968.0046776248796</v>
      </c>
      <c r="Z20" s="393">
        <f>'8.DL jut.analīze_Soc'!AA9*Z$18</f>
        <v>2826.6711215475048</v>
      </c>
      <c r="AA20" s="393">
        <f>'8.DL jut.analīze_Soc'!AB9*AA$18</f>
        <v>2692.0677348071472</v>
      </c>
      <c r="AB20" s="393">
        <f>'8.DL jut.analīze_Soc'!AC9*AB$18</f>
        <v>2563.8740331496642</v>
      </c>
      <c r="AC20" s="393">
        <f>'8.DL jut.analīze_Soc'!AD9*AC$18</f>
        <v>2441.7847934758702</v>
      </c>
      <c r="AD20" s="393">
        <f>'8.DL jut.analīze_Soc'!AE9*AD$18</f>
        <v>2325.5093271198766</v>
      </c>
      <c r="AE20" s="321">
        <f t="shared" si="4"/>
        <v>110989.81345760243</v>
      </c>
    </row>
    <row r="21" spans="1:31" x14ac:dyDescent="0.25">
      <c r="A21" s="209"/>
      <c r="B21" s="294" t="s">
        <v>249</v>
      </c>
      <c r="C21" s="698" t="str">
        <f>'6.DL Soc.ekon.analīze'!B8</f>
        <v>Ieguvums ...</v>
      </c>
      <c r="D21" s="25"/>
      <c r="E21" s="71" t="s">
        <v>20</v>
      </c>
      <c r="F21" s="392">
        <f>'8.DL jut.analīze_Soc'!G10*F$18</f>
        <v>10000</v>
      </c>
      <c r="G21" s="393">
        <f>'8.DL jut.analīze_Soc'!H10*G$18</f>
        <v>9523.8095238095229</v>
      </c>
      <c r="H21" s="393">
        <f>'8.DL jut.analīze_Soc'!I10*H$18</f>
        <v>4535.1473922902487</v>
      </c>
      <c r="I21" s="393">
        <f>'8.DL jut.analīze_Soc'!J10*I$18</f>
        <v>4319.1879926573802</v>
      </c>
      <c r="J21" s="393">
        <f>'8.DL jut.analīze_Soc'!K10*J$18</f>
        <v>4113.5123739594101</v>
      </c>
      <c r="K21" s="393">
        <f>'8.DL jut.analīze_Soc'!L10*K$18</f>
        <v>3917.630832342295</v>
      </c>
      <c r="L21" s="393">
        <f>'8.DL jut.analīze_Soc'!M10*L$18</f>
        <v>3731.0769831831381</v>
      </c>
      <c r="M21" s="393">
        <f>'8.DL jut.analīze_Soc'!N10*M$18</f>
        <v>3553.4066506506074</v>
      </c>
      <c r="N21" s="393">
        <f>'8.DL jut.analīze_Soc'!O10*N$18</f>
        <v>3384.1968101434359</v>
      </c>
      <c r="O21" s="393">
        <f>'8.DL jut.analīze_Soc'!P10*O$18</f>
        <v>3223.0445810889864</v>
      </c>
      <c r="P21" s="393">
        <f>'8.DL jut.analīze_Soc'!Q10*P$18</f>
        <v>3069.5662677037967</v>
      </c>
      <c r="Q21" s="393">
        <f>'8.DL jut.analīze_Soc'!R10*Q$18</f>
        <v>2923.3964454321872</v>
      </c>
      <c r="R21" s="393">
        <f>'8.DL jut.analīze_Soc'!S10*R$18</f>
        <v>2784.1870908877977</v>
      </c>
      <c r="S21" s="393">
        <f>'8.DL jut.analīze_Soc'!T10*S$18</f>
        <v>2651.6067532264733</v>
      </c>
      <c r="T21" s="393">
        <f>'8.DL jut.analīze_Soc'!U10*T$18</f>
        <v>2525.3397649775943</v>
      </c>
      <c r="U21" s="393">
        <f>'8.DL jut.analīze_Soc'!V10*U$18</f>
        <v>2405.085490454851</v>
      </c>
      <c r="V21" s="393">
        <f>'8.DL jut.analīze_Soc'!W10*V$18</f>
        <v>2290.5576099570012</v>
      </c>
      <c r="W21" s="393">
        <f>'8.DL jut.analīze_Soc'!X10*W$18</f>
        <v>2181.4834380542861</v>
      </c>
      <c r="X21" s="393">
        <f>'8.DL jut.analīze_Soc'!Y10*X$18</f>
        <v>2077.6032743374158</v>
      </c>
      <c r="Y21" s="393">
        <f>'8.DL jut.analīze_Soc'!Z10*Y$18</f>
        <v>1978.6697850832529</v>
      </c>
      <c r="Z21" s="393">
        <f>'8.DL jut.analīze_Soc'!AA10*Z$18</f>
        <v>1884.4474143650032</v>
      </c>
      <c r="AA21" s="393">
        <f>'8.DL jut.analīze_Soc'!AB10*AA$18</f>
        <v>1794.7118232047649</v>
      </c>
      <c r="AB21" s="393">
        <f>'8.DL jut.analīze_Soc'!AC10*AB$18</f>
        <v>1709.2493554331095</v>
      </c>
      <c r="AC21" s="393">
        <f>'8.DL jut.analīze_Soc'!AD10*AC$18</f>
        <v>1627.8565289839134</v>
      </c>
      <c r="AD21" s="393">
        <f>'8.DL jut.analīze_Soc'!AE10*AD$18</f>
        <v>1550.3395514132512</v>
      </c>
      <c r="AE21" s="321">
        <f t="shared" si="4"/>
        <v>83755.113733639737</v>
      </c>
    </row>
    <row r="22" spans="1:31" x14ac:dyDescent="0.25">
      <c r="A22" s="209"/>
      <c r="B22" s="294" t="s">
        <v>250</v>
      </c>
      <c r="C22" s="698" t="str">
        <f>'6.DL Soc.ekon.analīze'!B9</f>
        <v>Ieguvums ...</v>
      </c>
      <c r="D22" s="25"/>
      <c r="E22" s="71" t="s">
        <v>20</v>
      </c>
      <c r="F22" s="392">
        <f>'8.DL jut.analīze_Soc'!G11*F$18</f>
        <v>0</v>
      </c>
      <c r="G22" s="393">
        <f>'8.DL jut.analīze_Soc'!H11*G$18</f>
        <v>0</v>
      </c>
      <c r="H22" s="393">
        <f>'8.DL jut.analīze_Soc'!I11*H$18</f>
        <v>0</v>
      </c>
      <c r="I22" s="393">
        <f>'8.DL jut.analīze_Soc'!J11*I$18</f>
        <v>0</v>
      </c>
      <c r="J22" s="393">
        <f>'8.DL jut.analīze_Soc'!K11*J$18</f>
        <v>0</v>
      </c>
      <c r="K22" s="393">
        <f>'8.DL jut.analīze_Soc'!L11*K$18</f>
        <v>0</v>
      </c>
      <c r="L22" s="393">
        <f>'8.DL jut.analīze_Soc'!M11*L$18</f>
        <v>0</v>
      </c>
      <c r="M22" s="393">
        <f>'8.DL jut.analīze_Soc'!N11*M$18</f>
        <v>0</v>
      </c>
      <c r="N22" s="393">
        <f>'8.DL jut.analīze_Soc'!O11*N$18</f>
        <v>0</v>
      </c>
      <c r="O22" s="393">
        <f>'8.DL jut.analīze_Soc'!P11*O$18</f>
        <v>0</v>
      </c>
      <c r="P22" s="393">
        <f>'8.DL jut.analīze_Soc'!Q11*P$18</f>
        <v>0</v>
      </c>
      <c r="Q22" s="393">
        <f>'8.DL jut.analīze_Soc'!R11*Q$18</f>
        <v>0</v>
      </c>
      <c r="R22" s="393">
        <f>'8.DL jut.analīze_Soc'!S11*R$18</f>
        <v>0</v>
      </c>
      <c r="S22" s="393">
        <f>'8.DL jut.analīze_Soc'!T11*S$18</f>
        <v>0</v>
      </c>
      <c r="T22" s="393">
        <f>'8.DL jut.analīze_Soc'!U11*T$18</f>
        <v>0</v>
      </c>
      <c r="U22" s="393">
        <f>'8.DL jut.analīze_Soc'!V11*U$18</f>
        <v>0</v>
      </c>
      <c r="V22" s="393">
        <f>'8.DL jut.analīze_Soc'!W11*V$18</f>
        <v>0</v>
      </c>
      <c r="W22" s="393">
        <f>'8.DL jut.analīze_Soc'!X11*W$18</f>
        <v>0</v>
      </c>
      <c r="X22" s="393">
        <f>'8.DL jut.analīze_Soc'!Y11*X$18</f>
        <v>0</v>
      </c>
      <c r="Y22" s="393">
        <f>'8.DL jut.analīze_Soc'!Z11*Y$18</f>
        <v>0</v>
      </c>
      <c r="Z22" s="393">
        <f>'8.DL jut.analīze_Soc'!AA11*Z$18</f>
        <v>0</v>
      </c>
      <c r="AA22" s="393">
        <f>'8.DL jut.analīze_Soc'!AB11*AA$18</f>
        <v>0</v>
      </c>
      <c r="AB22" s="393">
        <f>'8.DL jut.analīze_Soc'!AC11*AB$18</f>
        <v>0</v>
      </c>
      <c r="AC22" s="393">
        <f>'8.DL jut.analīze_Soc'!AD11*AC$18</f>
        <v>0</v>
      </c>
      <c r="AD22" s="393">
        <f>'8.DL jut.analīze_Soc'!AE11*AD$18</f>
        <v>0</v>
      </c>
      <c r="AE22" s="321">
        <f t="shared" si="4"/>
        <v>0</v>
      </c>
    </row>
    <row r="23" spans="1:31" x14ac:dyDescent="0.25">
      <c r="A23" s="209"/>
      <c r="B23" s="294" t="s">
        <v>251</v>
      </c>
      <c r="C23" s="698" t="str">
        <f>'6.DL Soc.ekon.analīze'!B10</f>
        <v>Ieguvums ...</v>
      </c>
      <c r="D23" s="25"/>
      <c r="E23" s="71" t="s">
        <v>20</v>
      </c>
      <c r="F23" s="392">
        <f>'8.DL jut.analīze_Soc'!G12*F$18</f>
        <v>0</v>
      </c>
      <c r="G23" s="393">
        <f>'8.DL jut.analīze_Soc'!H12*G$18</f>
        <v>0</v>
      </c>
      <c r="H23" s="393">
        <f>'8.DL jut.analīze_Soc'!I12*H$18</f>
        <v>0</v>
      </c>
      <c r="I23" s="393">
        <f>'8.DL jut.analīze_Soc'!J12*I$18</f>
        <v>0</v>
      </c>
      <c r="J23" s="393">
        <f>'8.DL jut.analīze_Soc'!K12*J$18</f>
        <v>0</v>
      </c>
      <c r="K23" s="393">
        <f>'8.DL jut.analīze_Soc'!L12*K$18</f>
        <v>0</v>
      </c>
      <c r="L23" s="393">
        <f>'8.DL jut.analīze_Soc'!M12*L$18</f>
        <v>0</v>
      </c>
      <c r="M23" s="393">
        <f>'8.DL jut.analīze_Soc'!N12*M$18</f>
        <v>0</v>
      </c>
      <c r="N23" s="393">
        <f>'8.DL jut.analīze_Soc'!O12*N$18</f>
        <v>0</v>
      </c>
      <c r="O23" s="393">
        <f>'8.DL jut.analīze_Soc'!P12*O$18</f>
        <v>0</v>
      </c>
      <c r="P23" s="393">
        <f>'8.DL jut.analīze_Soc'!Q12*P$18</f>
        <v>0</v>
      </c>
      <c r="Q23" s="393">
        <f>'8.DL jut.analīze_Soc'!R12*Q$18</f>
        <v>0</v>
      </c>
      <c r="R23" s="393">
        <f>'8.DL jut.analīze_Soc'!S12*R$18</f>
        <v>0</v>
      </c>
      <c r="S23" s="393">
        <f>'8.DL jut.analīze_Soc'!T12*S$18</f>
        <v>0</v>
      </c>
      <c r="T23" s="393">
        <f>'8.DL jut.analīze_Soc'!U12*T$18</f>
        <v>0</v>
      </c>
      <c r="U23" s="393">
        <f>'8.DL jut.analīze_Soc'!V12*U$18</f>
        <v>0</v>
      </c>
      <c r="V23" s="393">
        <f>'8.DL jut.analīze_Soc'!W12*V$18</f>
        <v>0</v>
      </c>
      <c r="W23" s="393">
        <f>'8.DL jut.analīze_Soc'!X12*W$18</f>
        <v>0</v>
      </c>
      <c r="X23" s="393">
        <f>'8.DL jut.analīze_Soc'!Y12*X$18</f>
        <v>0</v>
      </c>
      <c r="Y23" s="393">
        <f>'8.DL jut.analīze_Soc'!Z12*Y$18</f>
        <v>0</v>
      </c>
      <c r="Z23" s="393">
        <f>'8.DL jut.analīze_Soc'!AA12*Z$18</f>
        <v>0</v>
      </c>
      <c r="AA23" s="393">
        <f>'8.DL jut.analīze_Soc'!AB12*AA$18</f>
        <v>0</v>
      </c>
      <c r="AB23" s="393">
        <f>'8.DL jut.analīze_Soc'!AC12*AB$18</f>
        <v>0</v>
      </c>
      <c r="AC23" s="393">
        <f>'8.DL jut.analīze_Soc'!AD12*AC$18</f>
        <v>0</v>
      </c>
      <c r="AD23" s="393">
        <f>'8.DL jut.analīze_Soc'!AE12*AD$18</f>
        <v>0</v>
      </c>
      <c r="AE23" s="321">
        <f t="shared" si="4"/>
        <v>0</v>
      </c>
    </row>
    <row r="24" spans="1:31" x14ac:dyDescent="0.25">
      <c r="A24" s="209"/>
      <c r="B24" s="294" t="s">
        <v>252</v>
      </c>
      <c r="C24" s="698" t="str">
        <f>'6.DL Soc.ekon.analīze'!B11</f>
        <v>Ieguvums ...</v>
      </c>
      <c r="D24" s="25"/>
      <c r="E24" s="71" t="s">
        <v>20</v>
      </c>
      <c r="F24" s="392">
        <f>'8.DL jut.analīze_Soc'!G13*F$18</f>
        <v>0</v>
      </c>
      <c r="G24" s="393">
        <f>'8.DL jut.analīze_Soc'!H13*G$18</f>
        <v>0</v>
      </c>
      <c r="H24" s="393">
        <f>'8.DL jut.analīze_Soc'!I13*H$18</f>
        <v>0</v>
      </c>
      <c r="I24" s="393">
        <f>'8.DL jut.analīze_Soc'!J13*I$18</f>
        <v>0</v>
      </c>
      <c r="J24" s="393">
        <f>'8.DL jut.analīze_Soc'!K13*J$18</f>
        <v>0</v>
      </c>
      <c r="K24" s="393">
        <f>'8.DL jut.analīze_Soc'!L13*K$18</f>
        <v>0</v>
      </c>
      <c r="L24" s="393">
        <f>'8.DL jut.analīze_Soc'!M13*L$18</f>
        <v>0</v>
      </c>
      <c r="M24" s="393">
        <f>'8.DL jut.analīze_Soc'!N13*M$18</f>
        <v>0</v>
      </c>
      <c r="N24" s="393">
        <f>'8.DL jut.analīze_Soc'!O13*N$18</f>
        <v>0</v>
      </c>
      <c r="O24" s="393">
        <f>'8.DL jut.analīze_Soc'!P13*O$18</f>
        <v>0</v>
      </c>
      <c r="P24" s="393">
        <f>'8.DL jut.analīze_Soc'!Q13*P$18</f>
        <v>0</v>
      </c>
      <c r="Q24" s="393">
        <f>'8.DL jut.analīze_Soc'!R13*Q$18</f>
        <v>0</v>
      </c>
      <c r="R24" s="393">
        <f>'8.DL jut.analīze_Soc'!S13*R$18</f>
        <v>0</v>
      </c>
      <c r="S24" s="393">
        <f>'8.DL jut.analīze_Soc'!T13*S$18</f>
        <v>0</v>
      </c>
      <c r="T24" s="393">
        <f>'8.DL jut.analīze_Soc'!U13*T$18</f>
        <v>0</v>
      </c>
      <c r="U24" s="393">
        <f>'8.DL jut.analīze_Soc'!V13*U$18</f>
        <v>0</v>
      </c>
      <c r="V24" s="393">
        <f>'8.DL jut.analīze_Soc'!W13*V$18</f>
        <v>0</v>
      </c>
      <c r="W24" s="393">
        <f>'8.DL jut.analīze_Soc'!X13*W$18</f>
        <v>0</v>
      </c>
      <c r="X24" s="393">
        <f>'8.DL jut.analīze_Soc'!Y13*X$18</f>
        <v>0</v>
      </c>
      <c r="Y24" s="393">
        <f>'8.DL jut.analīze_Soc'!Z13*Y$18</f>
        <v>0</v>
      </c>
      <c r="Z24" s="393">
        <f>'8.DL jut.analīze_Soc'!AA13*Z$18</f>
        <v>0</v>
      </c>
      <c r="AA24" s="393">
        <f>'8.DL jut.analīze_Soc'!AB13*AA$18</f>
        <v>0</v>
      </c>
      <c r="AB24" s="393">
        <f>'8.DL jut.analīze_Soc'!AC13*AB$18</f>
        <v>0</v>
      </c>
      <c r="AC24" s="393">
        <f>'8.DL jut.analīze_Soc'!AD13*AC$18</f>
        <v>0</v>
      </c>
      <c r="AD24" s="393">
        <f>'8.DL jut.analīze_Soc'!AE13*AD$18</f>
        <v>0</v>
      </c>
      <c r="AE24" s="321">
        <f t="shared" si="4"/>
        <v>0</v>
      </c>
    </row>
    <row r="25" spans="1:31" x14ac:dyDescent="0.25">
      <c r="A25" s="209"/>
      <c r="B25" s="294" t="s">
        <v>253</v>
      </c>
      <c r="C25" s="698" t="str">
        <f>'6.DL Soc.ekon.analīze'!B12</f>
        <v>Ieguvums ...</v>
      </c>
      <c r="D25" s="25"/>
      <c r="E25" s="71" t="s">
        <v>20</v>
      </c>
      <c r="F25" s="392">
        <f>'8.DL jut.analīze_Soc'!G14*F$18</f>
        <v>0</v>
      </c>
      <c r="G25" s="393">
        <f>'8.DL jut.analīze_Soc'!H14*G$18</f>
        <v>0</v>
      </c>
      <c r="H25" s="393">
        <f>'8.DL jut.analīze_Soc'!I14*H$18</f>
        <v>0</v>
      </c>
      <c r="I25" s="393">
        <f>'8.DL jut.analīze_Soc'!J14*I$18</f>
        <v>0</v>
      </c>
      <c r="J25" s="393">
        <f>'8.DL jut.analīze_Soc'!K14*J$18</f>
        <v>0</v>
      </c>
      <c r="K25" s="393">
        <f>'8.DL jut.analīze_Soc'!L14*K$18</f>
        <v>0</v>
      </c>
      <c r="L25" s="393">
        <f>'8.DL jut.analīze_Soc'!M14*L$18</f>
        <v>0</v>
      </c>
      <c r="M25" s="393">
        <f>'8.DL jut.analīze_Soc'!N14*M$18</f>
        <v>0</v>
      </c>
      <c r="N25" s="393">
        <f>'8.DL jut.analīze_Soc'!O14*N$18</f>
        <v>0</v>
      </c>
      <c r="O25" s="393">
        <f>'8.DL jut.analīze_Soc'!P14*O$18</f>
        <v>0</v>
      </c>
      <c r="P25" s="393">
        <f>'8.DL jut.analīze_Soc'!Q14*P$18</f>
        <v>0</v>
      </c>
      <c r="Q25" s="393">
        <f>'8.DL jut.analīze_Soc'!R14*Q$18</f>
        <v>0</v>
      </c>
      <c r="R25" s="393">
        <f>'8.DL jut.analīze_Soc'!S14*R$18</f>
        <v>0</v>
      </c>
      <c r="S25" s="393">
        <f>'8.DL jut.analīze_Soc'!T14*S$18</f>
        <v>0</v>
      </c>
      <c r="T25" s="393">
        <f>'8.DL jut.analīze_Soc'!U14*T$18</f>
        <v>0</v>
      </c>
      <c r="U25" s="393">
        <f>'8.DL jut.analīze_Soc'!V14*U$18</f>
        <v>0</v>
      </c>
      <c r="V25" s="393">
        <f>'8.DL jut.analīze_Soc'!W14*V$18</f>
        <v>0</v>
      </c>
      <c r="W25" s="393">
        <f>'8.DL jut.analīze_Soc'!X14*W$18</f>
        <v>0</v>
      </c>
      <c r="X25" s="393">
        <f>'8.DL jut.analīze_Soc'!Y14*X$18</f>
        <v>0</v>
      </c>
      <c r="Y25" s="393">
        <f>'8.DL jut.analīze_Soc'!Z14*Y$18</f>
        <v>0</v>
      </c>
      <c r="Z25" s="393">
        <f>'8.DL jut.analīze_Soc'!AA14*Z$18</f>
        <v>0</v>
      </c>
      <c r="AA25" s="393">
        <f>'8.DL jut.analīze_Soc'!AB14*AA$18</f>
        <v>0</v>
      </c>
      <c r="AB25" s="393">
        <f>'8.DL jut.analīze_Soc'!AC14*AB$18</f>
        <v>0</v>
      </c>
      <c r="AC25" s="393">
        <f>'8.DL jut.analīze_Soc'!AD14*AC$18</f>
        <v>0</v>
      </c>
      <c r="AD25" s="393">
        <f>'8.DL jut.analīze_Soc'!AE14*AD$18</f>
        <v>0</v>
      </c>
      <c r="AE25" s="321">
        <f t="shared" si="4"/>
        <v>0</v>
      </c>
    </row>
    <row r="26" spans="1:31" x14ac:dyDescent="0.25">
      <c r="A26" s="209"/>
      <c r="B26" s="294" t="s">
        <v>365</v>
      </c>
      <c r="C26" s="698" t="str">
        <f>'6.DL Soc.ekon.analīze'!B13</f>
        <v>Ieguvums ...</v>
      </c>
      <c r="D26" s="25"/>
      <c r="E26" s="71" t="s">
        <v>20</v>
      </c>
      <c r="F26" s="392">
        <f>'8.DL jut.analīze_Soc'!G15*F$18</f>
        <v>0</v>
      </c>
      <c r="G26" s="393">
        <f>'8.DL jut.analīze_Soc'!H15*G$18</f>
        <v>0</v>
      </c>
      <c r="H26" s="393">
        <f>'8.DL jut.analīze_Soc'!I15*H$18</f>
        <v>0</v>
      </c>
      <c r="I26" s="393">
        <f>'8.DL jut.analīze_Soc'!J15*I$18</f>
        <v>0</v>
      </c>
      <c r="J26" s="393">
        <f>'8.DL jut.analīze_Soc'!K15*J$18</f>
        <v>0</v>
      </c>
      <c r="K26" s="393">
        <f>'8.DL jut.analīze_Soc'!L15*K$18</f>
        <v>0</v>
      </c>
      <c r="L26" s="393">
        <f>'8.DL jut.analīze_Soc'!M15*L$18</f>
        <v>0</v>
      </c>
      <c r="M26" s="393">
        <f>'8.DL jut.analīze_Soc'!N15*M$18</f>
        <v>0</v>
      </c>
      <c r="N26" s="393">
        <f>'8.DL jut.analīze_Soc'!O15*N$18</f>
        <v>0</v>
      </c>
      <c r="O26" s="393">
        <f>'8.DL jut.analīze_Soc'!P15*O$18</f>
        <v>0</v>
      </c>
      <c r="P26" s="393">
        <f>'8.DL jut.analīze_Soc'!Q15*P$18</f>
        <v>0</v>
      </c>
      <c r="Q26" s="393">
        <f>'8.DL jut.analīze_Soc'!R15*Q$18</f>
        <v>0</v>
      </c>
      <c r="R26" s="393">
        <f>'8.DL jut.analīze_Soc'!S15*R$18</f>
        <v>0</v>
      </c>
      <c r="S26" s="393">
        <f>'8.DL jut.analīze_Soc'!T15*S$18</f>
        <v>0</v>
      </c>
      <c r="T26" s="393">
        <f>'8.DL jut.analīze_Soc'!U15*T$18</f>
        <v>0</v>
      </c>
      <c r="U26" s="393">
        <f>'8.DL jut.analīze_Soc'!V15*U$18</f>
        <v>0</v>
      </c>
      <c r="V26" s="393">
        <f>'8.DL jut.analīze_Soc'!W15*V$18</f>
        <v>0</v>
      </c>
      <c r="W26" s="393">
        <f>'8.DL jut.analīze_Soc'!X15*W$18</f>
        <v>0</v>
      </c>
      <c r="X26" s="393">
        <f>'8.DL jut.analīze_Soc'!Y15*X$18</f>
        <v>0</v>
      </c>
      <c r="Y26" s="393">
        <f>'8.DL jut.analīze_Soc'!Z15*Y$18</f>
        <v>0</v>
      </c>
      <c r="Z26" s="393">
        <f>'8.DL jut.analīze_Soc'!AA15*Z$18</f>
        <v>0</v>
      </c>
      <c r="AA26" s="393">
        <f>'8.DL jut.analīze_Soc'!AB15*AA$18</f>
        <v>0</v>
      </c>
      <c r="AB26" s="393">
        <f>'8.DL jut.analīze_Soc'!AC15*AB$18</f>
        <v>0</v>
      </c>
      <c r="AC26" s="393">
        <f>'8.DL jut.analīze_Soc'!AD15*AC$18</f>
        <v>0</v>
      </c>
      <c r="AD26" s="393">
        <f>'8.DL jut.analīze_Soc'!AE15*AD$18</f>
        <v>0</v>
      </c>
      <c r="AE26" s="321">
        <f t="shared" si="4"/>
        <v>0</v>
      </c>
    </row>
    <row r="27" spans="1:31" x14ac:dyDescent="0.25">
      <c r="A27" s="209"/>
      <c r="B27" s="295" t="s">
        <v>366</v>
      </c>
      <c r="C27" s="698" t="str">
        <f>'6.DL Soc.ekon.analīze'!B14</f>
        <v>Ieguvums ...</v>
      </c>
      <c r="D27" s="25"/>
      <c r="E27" s="71" t="s">
        <v>20</v>
      </c>
      <c r="F27" s="392">
        <f>'8.DL jut.analīze_Soc'!G16*F$18</f>
        <v>0</v>
      </c>
      <c r="G27" s="393">
        <f>'8.DL jut.analīze_Soc'!H16*G$18</f>
        <v>0</v>
      </c>
      <c r="H27" s="393">
        <f>'8.DL jut.analīze_Soc'!I16*H$18</f>
        <v>0</v>
      </c>
      <c r="I27" s="393">
        <f>'8.DL jut.analīze_Soc'!J16*I$18</f>
        <v>0</v>
      </c>
      <c r="J27" s="393">
        <f>'8.DL jut.analīze_Soc'!K16*J$18</f>
        <v>0</v>
      </c>
      <c r="K27" s="393">
        <f>'8.DL jut.analīze_Soc'!L16*K$18</f>
        <v>0</v>
      </c>
      <c r="L27" s="393">
        <f>'8.DL jut.analīze_Soc'!M16*L$18</f>
        <v>0</v>
      </c>
      <c r="M27" s="393">
        <f>'8.DL jut.analīze_Soc'!N16*M$18</f>
        <v>0</v>
      </c>
      <c r="N27" s="393">
        <f>'8.DL jut.analīze_Soc'!O16*N$18</f>
        <v>0</v>
      </c>
      <c r="O27" s="393">
        <f>'8.DL jut.analīze_Soc'!P16*O$18</f>
        <v>0</v>
      </c>
      <c r="P27" s="393">
        <f>'8.DL jut.analīze_Soc'!Q16*P$18</f>
        <v>0</v>
      </c>
      <c r="Q27" s="393">
        <f>'8.DL jut.analīze_Soc'!R16*Q$18</f>
        <v>0</v>
      </c>
      <c r="R27" s="393">
        <f>'8.DL jut.analīze_Soc'!S16*R$18</f>
        <v>0</v>
      </c>
      <c r="S27" s="393">
        <f>'8.DL jut.analīze_Soc'!T16*S$18</f>
        <v>0</v>
      </c>
      <c r="T27" s="393">
        <f>'8.DL jut.analīze_Soc'!U16*T$18</f>
        <v>0</v>
      </c>
      <c r="U27" s="393">
        <f>'8.DL jut.analīze_Soc'!V16*U$18</f>
        <v>0</v>
      </c>
      <c r="V27" s="393">
        <f>'8.DL jut.analīze_Soc'!W16*V$18</f>
        <v>0</v>
      </c>
      <c r="W27" s="393">
        <f>'8.DL jut.analīze_Soc'!X16*W$18</f>
        <v>0</v>
      </c>
      <c r="X27" s="393">
        <f>'8.DL jut.analīze_Soc'!Y16*X$18</f>
        <v>0</v>
      </c>
      <c r="Y27" s="393">
        <f>'8.DL jut.analīze_Soc'!Z16*Y$18</f>
        <v>0</v>
      </c>
      <c r="Z27" s="393">
        <f>'8.DL jut.analīze_Soc'!AA16*Z$18</f>
        <v>0</v>
      </c>
      <c r="AA27" s="393">
        <f>'8.DL jut.analīze_Soc'!AB16*AA$18</f>
        <v>0</v>
      </c>
      <c r="AB27" s="393">
        <f>'8.DL jut.analīze_Soc'!AC16*AB$18</f>
        <v>0</v>
      </c>
      <c r="AC27" s="393">
        <f>'8.DL jut.analīze_Soc'!AD16*AC$18</f>
        <v>0</v>
      </c>
      <c r="AD27" s="393">
        <f>'8.DL jut.analīze_Soc'!AE16*AD$18</f>
        <v>0</v>
      </c>
      <c r="AE27" s="321">
        <f t="shared" si="4"/>
        <v>0</v>
      </c>
    </row>
    <row r="28" spans="1:31" x14ac:dyDescent="0.25">
      <c r="A28" s="209"/>
      <c r="B28" s="295" t="s">
        <v>367</v>
      </c>
      <c r="C28" s="698" t="str">
        <f>'6.DL Soc.ekon.analīze'!B15</f>
        <v>Ieguvums ...</v>
      </c>
      <c r="D28" s="25"/>
      <c r="E28" s="71" t="s">
        <v>20</v>
      </c>
      <c r="F28" s="392">
        <f>'8.DL jut.analīze_Soc'!G17*F$18</f>
        <v>0</v>
      </c>
      <c r="G28" s="393">
        <f>'8.DL jut.analīze_Soc'!H17*G$18</f>
        <v>0</v>
      </c>
      <c r="H28" s="393">
        <f>'8.DL jut.analīze_Soc'!I17*H$18</f>
        <v>0</v>
      </c>
      <c r="I28" s="393">
        <f>'8.DL jut.analīze_Soc'!J17*I$18</f>
        <v>0</v>
      </c>
      <c r="J28" s="393">
        <f>'8.DL jut.analīze_Soc'!K17*J$18</f>
        <v>0</v>
      </c>
      <c r="K28" s="393">
        <f>'8.DL jut.analīze_Soc'!L17*K$18</f>
        <v>0</v>
      </c>
      <c r="L28" s="393">
        <f>'8.DL jut.analīze_Soc'!M17*L$18</f>
        <v>0</v>
      </c>
      <c r="M28" s="393">
        <f>'8.DL jut.analīze_Soc'!N17*M$18</f>
        <v>0</v>
      </c>
      <c r="N28" s="393">
        <f>'8.DL jut.analīze_Soc'!O17*N$18</f>
        <v>0</v>
      </c>
      <c r="O28" s="393">
        <f>'8.DL jut.analīze_Soc'!P17*O$18</f>
        <v>0</v>
      </c>
      <c r="P28" s="393">
        <f>'8.DL jut.analīze_Soc'!Q17*P$18</f>
        <v>0</v>
      </c>
      <c r="Q28" s="393">
        <f>'8.DL jut.analīze_Soc'!R17*Q$18</f>
        <v>0</v>
      </c>
      <c r="R28" s="393">
        <f>'8.DL jut.analīze_Soc'!S17*R$18</f>
        <v>0</v>
      </c>
      <c r="S28" s="393">
        <f>'8.DL jut.analīze_Soc'!T17*S$18</f>
        <v>0</v>
      </c>
      <c r="T28" s="393">
        <f>'8.DL jut.analīze_Soc'!U17*T$18</f>
        <v>0</v>
      </c>
      <c r="U28" s="393">
        <f>'8.DL jut.analīze_Soc'!V17*U$18</f>
        <v>0</v>
      </c>
      <c r="V28" s="393">
        <f>'8.DL jut.analīze_Soc'!W17*V$18</f>
        <v>0</v>
      </c>
      <c r="W28" s="393">
        <f>'8.DL jut.analīze_Soc'!X17*W$18</f>
        <v>0</v>
      </c>
      <c r="X28" s="393">
        <f>'8.DL jut.analīze_Soc'!Y17*X$18</f>
        <v>0</v>
      </c>
      <c r="Y28" s="393">
        <f>'8.DL jut.analīze_Soc'!Z17*Y$18</f>
        <v>0</v>
      </c>
      <c r="Z28" s="393">
        <f>'8.DL jut.analīze_Soc'!AA17*Z$18</f>
        <v>0</v>
      </c>
      <c r="AA28" s="393">
        <f>'8.DL jut.analīze_Soc'!AB17*AA$18</f>
        <v>0</v>
      </c>
      <c r="AB28" s="393">
        <f>'8.DL jut.analīze_Soc'!AC17*AB$18</f>
        <v>0</v>
      </c>
      <c r="AC28" s="393">
        <f>'8.DL jut.analīze_Soc'!AD17*AC$18</f>
        <v>0</v>
      </c>
      <c r="AD28" s="393">
        <f>'8.DL jut.analīze_Soc'!AE17*AD$18</f>
        <v>0</v>
      </c>
      <c r="AE28" s="321">
        <f t="shared" si="4"/>
        <v>0</v>
      </c>
    </row>
    <row r="29" spans="1:31" x14ac:dyDescent="0.25">
      <c r="A29" s="209"/>
      <c r="B29" s="296" t="s">
        <v>52</v>
      </c>
      <c r="C29" s="25" t="s">
        <v>368</v>
      </c>
      <c r="D29" s="25"/>
      <c r="E29" s="71" t="s">
        <v>20</v>
      </c>
      <c r="F29" s="319">
        <f t="shared" ref="F29:AD29" si="5">F7*F18</f>
        <v>2000</v>
      </c>
      <c r="G29" s="320">
        <f t="shared" si="5"/>
        <v>2857.1428571428569</v>
      </c>
      <c r="H29" s="320">
        <f t="shared" si="5"/>
        <v>4553.2879818594101</v>
      </c>
      <c r="I29" s="320">
        <f t="shared" si="5"/>
        <v>879.38667530504256</v>
      </c>
      <c r="J29" s="320">
        <f t="shared" si="5"/>
        <v>835.86571438855208</v>
      </c>
      <c r="K29" s="320">
        <f t="shared" si="5"/>
        <v>794.49553279901738</v>
      </c>
      <c r="L29" s="320">
        <f t="shared" si="5"/>
        <v>755.16998139626719</v>
      </c>
      <c r="M29" s="320">
        <f t="shared" si="5"/>
        <v>717.78814343142267</v>
      </c>
      <c r="N29" s="320">
        <f t="shared" si="5"/>
        <v>682.25407692491672</v>
      </c>
      <c r="O29" s="320">
        <f t="shared" si="5"/>
        <v>648.47656971510401</v>
      </c>
      <c r="P29" s="320">
        <f t="shared" si="5"/>
        <v>616.36890655492232</v>
      </c>
      <c r="Q29" s="320">
        <f t="shared" si="5"/>
        <v>585.84864766461033</v>
      </c>
      <c r="R29" s="320">
        <f t="shared" si="5"/>
        <v>556.83741817755947</v>
      </c>
      <c r="S29" s="320">
        <f t="shared" si="5"/>
        <v>530.32135064529461</v>
      </c>
      <c r="T29" s="320">
        <f t="shared" si="5"/>
        <v>505.06795299551885</v>
      </c>
      <c r="U29" s="320">
        <f t="shared" si="5"/>
        <v>481.01709809097019</v>
      </c>
      <c r="V29" s="320">
        <f t="shared" si="5"/>
        <v>458.1115219914002</v>
      </c>
      <c r="W29" s="320">
        <f t="shared" si="5"/>
        <v>436.29668761085725</v>
      </c>
      <c r="X29" s="320">
        <f t="shared" si="5"/>
        <v>415.52065486748313</v>
      </c>
      <c r="Y29" s="320">
        <f t="shared" si="5"/>
        <v>395.73395701665061</v>
      </c>
      <c r="Z29" s="320">
        <f t="shared" si="5"/>
        <v>376.88948287300059</v>
      </c>
      <c r="AA29" s="320">
        <f t="shared" si="5"/>
        <v>358.94236464095297</v>
      </c>
      <c r="AB29" s="320">
        <f t="shared" si="5"/>
        <v>341.84987108662193</v>
      </c>
      <c r="AC29" s="320">
        <f t="shared" si="5"/>
        <v>325.57130579678267</v>
      </c>
      <c r="AD29" s="320">
        <f t="shared" si="5"/>
        <v>310.06791028265025</v>
      </c>
      <c r="AE29" s="321">
        <f t="shared" si="4"/>
        <v>21418.312663257871</v>
      </c>
    </row>
    <row r="30" spans="1:31" x14ac:dyDescent="0.25">
      <c r="A30" s="209"/>
      <c r="B30" s="25" t="s">
        <v>53</v>
      </c>
      <c r="C30" s="27" t="s">
        <v>369</v>
      </c>
      <c r="D30" s="25"/>
      <c r="E30" s="71" t="s">
        <v>20</v>
      </c>
      <c r="F30" s="319">
        <f t="shared" ref="F30:AD30" si="6">F8*F18</f>
        <v>19500</v>
      </c>
      <c r="G30" s="320">
        <f t="shared" si="6"/>
        <v>19523.809523809523</v>
      </c>
      <c r="H30" s="320">
        <f t="shared" si="6"/>
        <v>15891.156462585033</v>
      </c>
      <c r="I30" s="320">
        <f t="shared" si="6"/>
        <v>11677.356656948492</v>
      </c>
      <c r="J30" s="320">
        <f t="shared" si="6"/>
        <v>11119.646649287077</v>
      </c>
      <c r="K30" s="320">
        <f t="shared" si="6"/>
        <v>10588.572613654755</v>
      </c>
      <c r="L30" s="320">
        <f t="shared" si="6"/>
        <v>10082.862439354112</v>
      </c>
      <c r="M30" s="320">
        <f t="shared" si="6"/>
        <v>9601.3047700579409</v>
      </c>
      <c r="N30" s="320">
        <f t="shared" si="6"/>
        <v>9142.7461022835068</v>
      </c>
      <c r="O30" s="320">
        <f t="shared" si="6"/>
        <v>8706.0880224375705</v>
      </c>
      <c r="P30" s="320">
        <f t="shared" si="6"/>
        <v>8290.284575814414</v>
      </c>
      <c r="Q30" s="320">
        <f t="shared" si="6"/>
        <v>7894.3397612450781</v>
      </c>
      <c r="R30" s="320">
        <f t="shared" si="6"/>
        <v>7517.3051453970529</v>
      </c>
      <c r="S30" s="320">
        <f t="shared" si="6"/>
        <v>7159.3382337114772</v>
      </c>
      <c r="T30" s="320">
        <f t="shared" si="6"/>
        <v>6818.4173654395045</v>
      </c>
      <c r="U30" s="320">
        <f t="shared" si="6"/>
        <v>6493.7308242280978</v>
      </c>
      <c r="V30" s="320">
        <f t="shared" si="6"/>
        <v>6184.5055468839028</v>
      </c>
      <c r="W30" s="320">
        <f t="shared" si="6"/>
        <v>5890.0052827465734</v>
      </c>
      <c r="X30" s="320">
        <f t="shared" si="6"/>
        <v>5609.528840711022</v>
      </c>
      <c r="Y30" s="320">
        <f t="shared" si="6"/>
        <v>5342.408419724783</v>
      </c>
      <c r="Z30" s="320">
        <f t="shared" si="6"/>
        <v>5088.0080187855083</v>
      </c>
      <c r="AA30" s="320">
        <f t="shared" si="6"/>
        <v>4845.721922652865</v>
      </c>
      <c r="AB30" s="320">
        <f t="shared" si="6"/>
        <v>4614.9732596693957</v>
      </c>
      <c r="AC30" s="320">
        <f t="shared" si="6"/>
        <v>4395.2126282565659</v>
      </c>
      <c r="AD30" s="320">
        <f t="shared" si="6"/>
        <v>4185.9167888157781</v>
      </c>
      <c r="AE30" s="321">
        <f t="shared" si="4"/>
        <v>216163.23985450005</v>
      </c>
    </row>
    <row r="31" spans="1:31" x14ac:dyDescent="0.25">
      <c r="A31" s="209"/>
      <c r="B31" s="25" t="s">
        <v>54</v>
      </c>
      <c r="C31" s="25" t="s">
        <v>370</v>
      </c>
      <c r="D31" s="25"/>
      <c r="E31" s="71" t="s">
        <v>20</v>
      </c>
      <c r="F31" s="319">
        <f>F9*F18</f>
        <v>1500</v>
      </c>
      <c r="G31" s="320">
        <f t="shared" ref="G31:AD31" si="7">G9*G18</f>
        <v>1428.5714285714284</v>
      </c>
      <c r="H31" s="320">
        <f t="shared" si="7"/>
        <v>1360.5442176870747</v>
      </c>
      <c r="I31" s="320">
        <f t="shared" si="7"/>
        <v>1295.756397797214</v>
      </c>
      <c r="J31" s="320">
        <f t="shared" si="7"/>
        <v>1234.0537121878228</v>
      </c>
      <c r="K31" s="320">
        <f t="shared" si="7"/>
        <v>1175.2892497026885</v>
      </c>
      <c r="L31" s="320">
        <f t="shared" si="7"/>
        <v>1119.3230949549413</v>
      </c>
      <c r="M31" s="320">
        <f t="shared" si="7"/>
        <v>1066.0219951951822</v>
      </c>
      <c r="N31" s="320">
        <f t="shared" si="7"/>
        <v>1015.2590430430308</v>
      </c>
      <c r="O31" s="320">
        <f t="shared" si="7"/>
        <v>966.91337432669593</v>
      </c>
      <c r="P31" s="320">
        <f t="shared" si="7"/>
        <v>920.86988031113901</v>
      </c>
      <c r="Q31" s="320">
        <f t="shared" si="7"/>
        <v>877.01893362965609</v>
      </c>
      <c r="R31" s="320">
        <f t="shared" si="7"/>
        <v>835.25612726633926</v>
      </c>
      <c r="S31" s="320">
        <f t="shared" si="7"/>
        <v>795.48202596794192</v>
      </c>
      <c r="T31" s="320">
        <f t="shared" si="7"/>
        <v>757.60192949327836</v>
      </c>
      <c r="U31" s="320">
        <f t="shared" si="7"/>
        <v>721.52564713645529</v>
      </c>
      <c r="V31" s="320">
        <f t="shared" si="7"/>
        <v>687.16728298710029</v>
      </c>
      <c r="W31" s="320">
        <f t="shared" si="7"/>
        <v>654.44503141628593</v>
      </c>
      <c r="X31" s="320">
        <f t="shared" si="7"/>
        <v>623.28098230122464</v>
      </c>
      <c r="Y31" s="320">
        <f t="shared" si="7"/>
        <v>593.60093552497585</v>
      </c>
      <c r="Z31" s="320">
        <f t="shared" si="7"/>
        <v>565.33422430950088</v>
      </c>
      <c r="AA31" s="320">
        <f t="shared" si="7"/>
        <v>538.41354696142946</v>
      </c>
      <c r="AB31" s="320">
        <f t="shared" si="7"/>
        <v>512.77480662993287</v>
      </c>
      <c r="AC31" s="320">
        <f t="shared" si="7"/>
        <v>488.356958695174</v>
      </c>
      <c r="AD31" s="320">
        <f t="shared" si="7"/>
        <v>465.10186542397537</v>
      </c>
      <c r="AE31" s="321">
        <f t="shared" si="4"/>
        <v>22197.962691520479</v>
      </c>
    </row>
    <row r="32" spans="1:31" x14ac:dyDescent="0.25">
      <c r="A32" s="209"/>
      <c r="B32" s="294" t="s">
        <v>254</v>
      </c>
      <c r="C32" s="698" t="str">
        <f>'6.DL Soc.ekon.analīze'!B17</f>
        <v>Zaudējumi...</v>
      </c>
      <c r="D32" s="25"/>
      <c r="E32" s="71" t="s">
        <v>20</v>
      </c>
      <c r="F32" s="392">
        <f>'8.DL jut.analīze_Soc'!G32*F$18</f>
        <v>1500</v>
      </c>
      <c r="G32" s="393">
        <f>'8.DL jut.analīze_Soc'!H32*G$18</f>
        <v>1428.5714285714284</v>
      </c>
      <c r="H32" s="393">
        <f>'8.DL jut.analīze_Soc'!I32*H$18</f>
        <v>1360.5442176870747</v>
      </c>
      <c r="I32" s="393">
        <f>'8.DL jut.analīze_Soc'!J32*I$18</f>
        <v>1295.756397797214</v>
      </c>
      <c r="J32" s="393">
        <f>'8.DL jut.analīze_Soc'!K32*J$18</f>
        <v>1234.0537121878228</v>
      </c>
      <c r="K32" s="393">
        <f>'8.DL jut.analīze_Soc'!L32*K$18</f>
        <v>1175.2892497026885</v>
      </c>
      <c r="L32" s="393">
        <f>'8.DL jut.analīze_Soc'!M32*L$18</f>
        <v>1119.3230949549413</v>
      </c>
      <c r="M32" s="393">
        <f>'8.DL jut.analīze_Soc'!N32*M$18</f>
        <v>1066.0219951951822</v>
      </c>
      <c r="N32" s="393">
        <f>'8.DL jut.analīze_Soc'!O32*N$18</f>
        <v>1015.2590430430308</v>
      </c>
      <c r="O32" s="393">
        <f>'8.DL jut.analīze_Soc'!P32*O$18</f>
        <v>966.91337432669593</v>
      </c>
      <c r="P32" s="393">
        <f>'8.DL jut.analīze_Soc'!Q32*P$18</f>
        <v>920.86988031113901</v>
      </c>
      <c r="Q32" s="393">
        <f>'8.DL jut.analīze_Soc'!R32*Q$18</f>
        <v>877.01893362965609</v>
      </c>
      <c r="R32" s="393">
        <f>'8.DL jut.analīze_Soc'!S32*R$18</f>
        <v>835.25612726633926</v>
      </c>
      <c r="S32" s="393">
        <f>'8.DL jut.analīze_Soc'!T32*S$18</f>
        <v>795.48202596794192</v>
      </c>
      <c r="T32" s="393">
        <f>'8.DL jut.analīze_Soc'!U32*T$18</f>
        <v>757.60192949327836</v>
      </c>
      <c r="U32" s="393">
        <f>'8.DL jut.analīze_Soc'!V32*U$18</f>
        <v>721.52564713645529</v>
      </c>
      <c r="V32" s="393">
        <f>'8.DL jut.analīze_Soc'!W32*V$18</f>
        <v>687.16728298710029</v>
      </c>
      <c r="W32" s="393">
        <f>'8.DL jut.analīze_Soc'!X32*W$18</f>
        <v>654.44503141628593</v>
      </c>
      <c r="X32" s="393">
        <f>'8.DL jut.analīze_Soc'!Y32*X$18</f>
        <v>623.28098230122464</v>
      </c>
      <c r="Y32" s="393">
        <f>'8.DL jut.analīze_Soc'!Z32*Y$18</f>
        <v>593.60093552497585</v>
      </c>
      <c r="Z32" s="393">
        <f>'8.DL jut.analīze_Soc'!AA32*Z$18</f>
        <v>565.33422430950088</v>
      </c>
      <c r="AA32" s="393">
        <f>'8.DL jut.analīze_Soc'!AB32*AA$18</f>
        <v>538.41354696142946</v>
      </c>
      <c r="AB32" s="393">
        <f>'8.DL jut.analīze_Soc'!AC32*AB$18</f>
        <v>512.77480662993287</v>
      </c>
      <c r="AC32" s="393">
        <f>'8.DL jut.analīze_Soc'!AD32*AC$18</f>
        <v>488.356958695174</v>
      </c>
      <c r="AD32" s="393">
        <f>'8.DL jut.analīze_Soc'!AE32*AD$18</f>
        <v>465.10186542397537</v>
      </c>
      <c r="AE32" s="321">
        <f t="shared" si="4"/>
        <v>22197.962691520479</v>
      </c>
    </row>
    <row r="33" spans="1:31" x14ac:dyDescent="0.25">
      <c r="A33" s="209"/>
      <c r="B33" s="294" t="s">
        <v>255</v>
      </c>
      <c r="C33" s="698" t="str">
        <f>'6.DL Soc.ekon.analīze'!B18</f>
        <v>Zaudējumi...</v>
      </c>
      <c r="D33" s="25"/>
      <c r="E33" s="71" t="s">
        <v>20</v>
      </c>
      <c r="F33" s="392">
        <f>'8.DL jut.analīze_Soc'!G33*F$18</f>
        <v>0</v>
      </c>
      <c r="G33" s="393">
        <f>'8.DL jut.analīze_Soc'!H33*G$18</f>
        <v>0</v>
      </c>
      <c r="H33" s="393">
        <f>'8.DL jut.analīze_Soc'!I33*H$18</f>
        <v>0</v>
      </c>
      <c r="I33" s="393">
        <f>'8.DL jut.analīze_Soc'!J33*I$18</f>
        <v>0</v>
      </c>
      <c r="J33" s="393">
        <f>'8.DL jut.analīze_Soc'!K33*J$18</f>
        <v>0</v>
      </c>
      <c r="K33" s="393">
        <f>'8.DL jut.analīze_Soc'!L33*K$18</f>
        <v>0</v>
      </c>
      <c r="L33" s="393">
        <f>'8.DL jut.analīze_Soc'!M33*L$18</f>
        <v>0</v>
      </c>
      <c r="M33" s="393">
        <f>'8.DL jut.analīze_Soc'!N33*M$18</f>
        <v>0</v>
      </c>
      <c r="N33" s="393">
        <f>'8.DL jut.analīze_Soc'!O33*N$18</f>
        <v>0</v>
      </c>
      <c r="O33" s="393">
        <f>'8.DL jut.analīze_Soc'!P33*O$18</f>
        <v>0</v>
      </c>
      <c r="P33" s="393">
        <f>'8.DL jut.analīze_Soc'!Q33*P$18</f>
        <v>0</v>
      </c>
      <c r="Q33" s="393">
        <f>'8.DL jut.analīze_Soc'!R33*Q$18</f>
        <v>0</v>
      </c>
      <c r="R33" s="393">
        <f>'8.DL jut.analīze_Soc'!S33*R$18</f>
        <v>0</v>
      </c>
      <c r="S33" s="393">
        <f>'8.DL jut.analīze_Soc'!T33*S$18</f>
        <v>0</v>
      </c>
      <c r="T33" s="393">
        <f>'8.DL jut.analīze_Soc'!U33*T$18</f>
        <v>0</v>
      </c>
      <c r="U33" s="393">
        <f>'8.DL jut.analīze_Soc'!V33*U$18</f>
        <v>0</v>
      </c>
      <c r="V33" s="393">
        <f>'8.DL jut.analīze_Soc'!W33*V$18</f>
        <v>0</v>
      </c>
      <c r="W33" s="393">
        <f>'8.DL jut.analīze_Soc'!X33*W$18</f>
        <v>0</v>
      </c>
      <c r="X33" s="393">
        <f>'8.DL jut.analīze_Soc'!Y33*X$18</f>
        <v>0</v>
      </c>
      <c r="Y33" s="393">
        <f>'8.DL jut.analīze_Soc'!Z33*Y$18</f>
        <v>0</v>
      </c>
      <c r="Z33" s="393">
        <f>'8.DL jut.analīze_Soc'!AA33*Z$18</f>
        <v>0</v>
      </c>
      <c r="AA33" s="393">
        <f>'8.DL jut.analīze_Soc'!AB33*AA$18</f>
        <v>0</v>
      </c>
      <c r="AB33" s="393">
        <f>'8.DL jut.analīze_Soc'!AC33*AB$18</f>
        <v>0</v>
      </c>
      <c r="AC33" s="393">
        <f>'8.DL jut.analīze_Soc'!AD33*AC$18</f>
        <v>0</v>
      </c>
      <c r="AD33" s="393">
        <f>'8.DL jut.analīze_Soc'!AE33*AD$18</f>
        <v>0</v>
      </c>
      <c r="AE33" s="321">
        <f t="shared" si="4"/>
        <v>0</v>
      </c>
    </row>
    <row r="34" spans="1:31" x14ac:dyDescent="0.25">
      <c r="A34" s="209"/>
      <c r="B34" s="294" t="s">
        <v>256</v>
      </c>
      <c r="C34" s="698" t="str">
        <f>'6.DL Soc.ekon.analīze'!B19</f>
        <v>Zaudējumi...</v>
      </c>
      <c r="D34" s="25"/>
      <c r="E34" s="71" t="s">
        <v>20</v>
      </c>
      <c r="F34" s="392">
        <f>'8.DL jut.analīze_Soc'!G34*F$18</f>
        <v>0</v>
      </c>
      <c r="G34" s="393">
        <f>'8.DL jut.analīze_Soc'!H34*G$18</f>
        <v>0</v>
      </c>
      <c r="H34" s="393">
        <f>'8.DL jut.analīze_Soc'!I34*H$18</f>
        <v>0</v>
      </c>
      <c r="I34" s="393">
        <f>'8.DL jut.analīze_Soc'!J34*I$18</f>
        <v>0</v>
      </c>
      <c r="J34" s="393">
        <f>'8.DL jut.analīze_Soc'!K34*J$18</f>
        <v>0</v>
      </c>
      <c r="K34" s="393">
        <f>'8.DL jut.analīze_Soc'!L34*K$18</f>
        <v>0</v>
      </c>
      <c r="L34" s="393">
        <f>'8.DL jut.analīze_Soc'!M34*L$18</f>
        <v>0</v>
      </c>
      <c r="M34" s="393">
        <f>'8.DL jut.analīze_Soc'!N34*M$18</f>
        <v>0</v>
      </c>
      <c r="N34" s="393">
        <f>'8.DL jut.analīze_Soc'!O34*N$18</f>
        <v>0</v>
      </c>
      <c r="O34" s="393">
        <f>'8.DL jut.analīze_Soc'!P34*O$18</f>
        <v>0</v>
      </c>
      <c r="P34" s="393">
        <f>'8.DL jut.analīze_Soc'!Q34*P$18</f>
        <v>0</v>
      </c>
      <c r="Q34" s="393">
        <f>'8.DL jut.analīze_Soc'!R34*Q$18</f>
        <v>0</v>
      </c>
      <c r="R34" s="393">
        <f>'8.DL jut.analīze_Soc'!S34*R$18</f>
        <v>0</v>
      </c>
      <c r="S34" s="393">
        <f>'8.DL jut.analīze_Soc'!T34*S$18</f>
        <v>0</v>
      </c>
      <c r="T34" s="393">
        <f>'8.DL jut.analīze_Soc'!U34*T$18</f>
        <v>0</v>
      </c>
      <c r="U34" s="393">
        <f>'8.DL jut.analīze_Soc'!V34*U$18</f>
        <v>0</v>
      </c>
      <c r="V34" s="393">
        <f>'8.DL jut.analīze_Soc'!W34*V$18</f>
        <v>0</v>
      </c>
      <c r="W34" s="393">
        <f>'8.DL jut.analīze_Soc'!X34*W$18</f>
        <v>0</v>
      </c>
      <c r="X34" s="393">
        <f>'8.DL jut.analīze_Soc'!Y34*X$18</f>
        <v>0</v>
      </c>
      <c r="Y34" s="393">
        <f>'8.DL jut.analīze_Soc'!Z34*Y$18</f>
        <v>0</v>
      </c>
      <c r="Z34" s="393">
        <f>'8.DL jut.analīze_Soc'!AA34*Z$18</f>
        <v>0</v>
      </c>
      <c r="AA34" s="393">
        <f>'8.DL jut.analīze_Soc'!AB34*AA$18</f>
        <v>0</v>
      </c>
      <c r="AB34" s="393">
        <f>'8.DL jut.analīze_Soc'!AC34*AB$18</f>
        <v>0</v>
      </c>
      <c r="AC34" s="393">
        <f>'8.DL jut.analīze_Soc'!AD34*AC$18</f>
        <v>0</v>
      </c>
      <c r="AD34" s="393">
        <f>'8.DL jut.analīze_Soc'!AE34*AD$18</f>
        <v>0</v>
      </c>
      <c r="AE34" s="321">
        <f t="shared" si="4"/>
        <v>0</v>
      </c>
    </row>
    <row r="35" spans="1:31" x14ac:dyDescent="0.25">
      <c r="A35" s="209"/>
      <c r="B35" s="294" t="s">
        <v>257</v>
      </c>
      <c r="C35" s="698" t="str">
        <f>'6.DL Soc.ekon.analīze'!B20</f>
        <v>Zaudējumi...</v>
      </c>
      <c r="D35" s="25"/>
      <c r="E35" s="71" t="s">
        <v>20</v>
      </c>
      <c r="F35" s="392">
        <f>'8.DL jut.analīze_Soc'!G35*F$18</f>
        <v>0</v>
      </c>
      <c r="G35" s="393">
        <f>'8.DL jut.analīze_Soc'!H35*G$18</f>
        <v>0</v>
      </c>
      <c r="H35" s="393">
        <f>'8.DL jut.analīze_Soc'!I35*H$18</f>
        <v>0</v>
      </c>
      <c r="I35" s="393">
        <f>'8.DL jut.analīze_Soc'!J35*I$18</f>
        <v>0</v>
      </c>
      <c r="J35" s="393">
        <f>'8.DL jut.analīze_Soc'!K35*J$18</f>
        <v>0</v>
      </c>
      <c r="K35" s="393">
        <f>'8.DL jut.analīze_Soc'!L35*K$18</f>
        <v>0</v>
      </c>
      <c r="L35" s="393">
        <f>'8.DL jut.analīze_Soc'!M35*L$18</f>
        <v>0</v>
      </c>
      <c r="M35" s="393">
        <f>'8.DL jut.analīze_Soc'!N35*M$18</f>
        <v>0</v>
      </c>
      <c r="N35" s="393">
        <f>'8.DL jut.analīze_Soc'!O35*N$18</f>
        <v>0</v>
      </c>
      <c r="O35" s="393">
        <f>'8.DL jut.analīze_Soc'!P35*O$18</f>
        <v>0</v>
      </c>
      <c r="P35" s="393">
        <f>'8.DL jut.analīze_Soc'!Q35*P$18</f>
        <v>0</v>
      </c>
      <c r="Q35" s="393">
        <f>'8.DL jut.analīze_Soc'!R35*Q$18</f>
        <v>0</v>
      </c>
      <c r="R35" s="393">
        <f>'8.DL jut.analīze_Soc'!S35*R$18</f>
        <v>0</v>
      </c>
      <c r="S35" s="393">
        <f>'8.DL jut.analīze_Soc'!T35*S$18</f>
        <v>0</v>
      </c>
      <c r="T35" s="393">
        <f>'8.DL jut.analīze_Soc'!U35*T$18</f>
        <v>0</v>
      </c>
      <c r="U35" s="393">
        <f>'8.DL jut.analīze_Soc'!V35*U$18</f>
        <v>0</v>
      </c>
      <c r="V35" s="393">
        <f>'8.DL jut.analīze_Soc'!W35*V$18</f>
        <v>0</v>
      </c>
      <c r="W35" s="393">
        <f>'8.DL jut.analīze_Soc'!X35*W$18</f>
        <v>0</v>
      </c>
      <c r="X35" s="393">
        <f>'8.DL jut.analīze_Soc'!Y35*X$18</f>
        <v>0</v>
      </c>
      <c r="Y35" s="393">
        <f>'8.DL jut.analīze_Soc'!Z35*Y$18</f>
        <v>0</v>
      </c>
      <c r="Z35" s="393">
        <f>'8.DL jut.analīze_Soc'!AA35*Z$18</f>
        <v>0</v>
      </c>
      <c r="AA35" s="393">
        <f>'8.DL jut.analīze_Soc'!AB35*AA$18</f>
        <v>0</v>
      </c>
      <c r="AB35" s="393">
        <f>'8.DL jut.analīze_Soc'!AC35*AB$18</f>
        <v>0</v>
      </c>
      <c r="AC35" s="393">
        <f>'8.DL jut.analīze_Soc'!AD35*AC$18</f>
        <v>0</v>
      </c>
      <c r="AD35" s="393">
        <f>'8.DL jut.analīze_Soc'!AE35*AD$18</f>
        <v>0</v>
      </c>
      <c r="AE35" s="321">
        <f t="shared" si="4"/>
        <v>0</v>
      </c>
    </row>
    <row r="36" spans="1:31" x14ac:dyDescent="0.25">
      <c r="A36" s="209"/>
      <c r="B36" s="294" t="s">
        <v>258</v>
      </c>
      <c r="C36" s="698" t="str">
        <f>'6.DL Soc.ekon.analīze'!B21</f>
        <v>Zaudējumi...</v>
      </c>
      <c r="D36" s="25"/>
      <c r="E36" s="71" t="s">
        <v>20</v>
      </c>
      <c r="F36" s="392">
        <f>'8.DL jut.analīze_Soc'!G36*F$18</f>
        <v>0</v>
      </c>
      <c r="G36" s="393">
        <f>'8.DL jut.analīze_Soc'!H36*G$18</f>
        <v>0</v>
      </c>
      <c r="H36" s="393">
        <f>'8.DL jut.analīze_Soc'!I36*H$18</f>
        <v>0</v>
      </c>
      <c r="I36" s="393">
        <f>'8.DL jut.analīze_Soc'!J36*I$18</f>
        <v>0</v>
      </c>
      <c r="J36" s="393">
        <f>'8.DL jut.analīze_Soc'!K36*J$18</f>
        <v>0</v>
      </c>
      <c r="K36" s="393">
        <f>'8.DL jut.analīze_Soc'!L36*K$18</f>
        <v>0</v>
      </c>
      <c r="L36" s="393">
        <f>'8.DL jut.analīze_Soc'!M36*L$18</f>
        <v>0</v>
      </c>
      <c r="M36" s="393">
        <f>'8.DL jut.analīze_Soc'!N36*M$18</f>
        <v>0</v>
      </c>
      <c r="N36" s="393">
        <f>'8.DL jut.analīze_Soc'!O36*N$18</f>
        <v>0</v>
      </c>
      <c r="O36" s="393">
        <f>'8.DL jut.analīze_Soc'!P36*O$18</f>
        <v>0</v>
      </c>
      <c r="P36" s="393">
        <f>'8.DL jut.analīze_Soc'!Q36*P$18</f>
        <v>0</v>
      </c>
      <c r="Q36" s="393">
        <f>'8.DL jut.analīze_Soc'!R36*Q$18</f>
        <v>0</v>
      </c>
      <c r="R36" s="393">
        <f>'8.DL jut.analīze_Soc'!S36*R$18</f>
        <v>0</v>
      </c>
      <c r="S36" s="393">
        <f>'8.DL jut.analīze_Soc'!T36*S$18</f>
        <v>0</v>
      </c>
      <c r="T36" s="393">
        <f>'8.DL jut.analīze_Soc'!U36*T$18</f>
        <v>0</v>
      </c>
      <c r="U36" s="393">
        <f>'8.DL jut.analīze_Soc'!V36*U$18</f>
        <v>0</v>
      </c>
      <c r="V36" s="393">
        <f>'8.DL jut.analīze_Soc'!W36*V$18</f>
        <v>0</v>
      </c>
      <c r="W36" s="393">
        <f>'8.DL jut.analīze_Soc'!X36*W$18</f>
        <v>0</v>
      </c>
      <c r="X36" s="393">
        <f>'8.DL jut.analīze_Soc'!Y36*X$18</f>
        <v>0</v>
      </c>
      <c r="Y36" s="393">
        <f>'8.DL jut.analīze_Soc'!Z36*Y$18</f>
        <v>0</v>
      </c>
      <c r="Z36" s="393">
        <f>'8.DL jut.analīze_Soc'!AA36*Z$18</f>
        <v>0</v>
      </c>
      <c r="AA36" s="393">
        <f>'8.DL jut.analīze_Soc'!AB36*AA$18</f>
        <v>0</v>
      </c>
      <c r="AB36" s="393">
        <f>'8.DL jut.analīze_Soc'!AC36*AB$18</f>
        <v>0</v>
      </c>
      <c r="AC36" s="393">
        <f>'8.DL jut.analīze_Soc'!AD36*AC$18</f>
        <v>0</v>
      </c>
      <c r="AD36" s="393">
        <f>'8.DL jut.analīze_Soc'!AE36*AD$18</f>
        <v>0</v>
      </c>
      <c r="AE36" s="321">
        <f t="shared" si="4"/>
        <v>0</v>
      </c>
    </row>
    <row r="37" spans="1:31" x14ac:dyDescent="0.25">
      <c r="A37" s="209"/>
      <c r="B37" s="294" t="s">
        <v>371</v>
      </c>
      <c r="C37" s="698" t="str">
        <f>'6.DL Soc.ekon.analīze'!B22</f>
        <v>Zaudējumi...</v>
      </c>
      <c r="D37" s="25"/>
      <c r="E37" s="71" t="s">
        <v>20</v>
      </c>
      <c r="F37" s="392">
        <f>'8.DL jut.analīze_Soc'!G37*F$18</f>
        <v>0</v>
      </c>
      <c r="G37" s="393">
        <f>'8.DL jut.analīze_Soc'!H37*G$18</f>
        <v>0</v>
      </c>
      <c r="H37" s="393">
        <f>'8.DL jut.analīze_Soc'!I37*H$18</f>
        <v>0</v>
      </c>
      <c r="I37" s="393">
        <f>'8.DL jut.analīze_Soc'!J37*I$18</f>
        <v>0</v>
      </c>
      <c r="J37" s="393">
        <f>'8.DL jut.analīze_Soc'!K37*J$18</f>
        <v>0</v>
      </c>
      <c r="K37" s="393">
        <f>'8.DL jut.analīze_Soc'!L37*K$18</f>
        <v>0</v>
      </c>
      <c r="L37" s="393">
        <f>'8.DL jut.analīze_Soc'!M37*L$18</f>
        <v>0</v>
      </c>
      <c r="M37" s="393">
        <f>'8.DL jut.analīze_Soc'!N37*M$18</f>
        <v>0</v>
      </c>
      <c r="N37" s="393">
        <f>'8.DL jut.analīze_Soc'!O37*N$18</f>
        <v>0</v>
      </c>
      <c r="O37" s="393">
        <f>'8.DL jut.analīze_Soc'!P37*O$18</f>
        <v>0</v>
      </c>
      <c r="P37" s="393">
        <f>'8.DL jut.analīze_Soc'!Q37*P$18</f>
        <v>0</v>
      </c>
      <c r="Q37" s="393">
        <f>'8.DL jut.analīze_Soc'!R37*Q$18</f>
        <v>0</v>
      </c>
      <c r="R37" s="393">
        <f>'8.DL jut.analīze_Soc'!S37*R$18</f>
        <v>0</v>
      </c>
      <c r="S37" s="393">
        <f>'8.DL jut.analīze_Soc'!T37*S$18</f>
        <v>0</v>
      </c>
      <c r="T37" s="393">
        <f>'8.DL jut.analīze_Soc'!U37*T$18</f>
        <v>0</v>
      </c>
      <c r="U37" s="393">
        <f>'8.DL jut.analīze_Soc'!V37*U$18</f>
        <v>0</v>
      </c>
      <c r="V37" s="393">
        <f>'8.DL jut.analīze_Soc'!W37*V$18</f>
        <v>0</v>
      </c>
      <c r="W37" s="393">
        <f>'8.DL jut.analīze_Soc'!X37*W$18</f>
        <v>0</v>
      </c>
      <c r="X37" s="393">
        <f>'8.DL jut.analīze_Soc'!Y37*X$18</f>
        <v>0</v>
      </c>
      <c r="Y37" s="393">
        <f>'8.DL jut.analīze_Soc'!Z37*Y$18</f>
        <v>0</v>
      </c>
      <c r="Z37" s="393">
        <f>'8.DL jut.analīze_Soc'!AA37*Z$18</f>
        <v>0</v>
      </c>
      <c r="AA37" s="393">
        <f>'8.DL jut.analīze_Soc'!AB37*AA$18</f>
        <v>0</v>
      </c>
      <c r="AB37" s="393">
        <f>'8.DL jut.analīze_Soc'!AC37*AB$18</f>
        <v>0</v>
      </c>
      <c r="AC37" s="393">
        <f>'8.DL jut.analīze_Soc'!AD37*AC$18</f>
        <v>0</v>
      </c>
      <c r="AD37" s="393">
        <f>'8.DL jut.analīze_Soc'!AE37*AD$18</f>
        <v>0</v>
      </c>
      <c r="AE37" s="321">
        <f t="shared" si="4"/>
        <v>0</v>
      </c>
    </row>
    <row r="38" spans="1:31" x14ac:dyDescent="0.25">
      <c r="A38" s="209"/>
      <c r="B38" s="294" t="s">
        <v>372</v>
      </c>
      <c r="C38" s="698" t="str">
        <f>'6.DL Soc.ekon.analīze'!B23</f>
        <v>Zaudējumi...</v>
      </c>
      <c r="D38" s="25"/>
      <c r="E38" s="71" t="s">
        <v>20</v>
      </c>
      <c r="F38" s="392">
        <f>'8.DL jut.analīze_Soc'!G38*F$18</f>
        <v>0</v>
      </c>
      <c r="G38" s="393">
        <f>'8.DL jut.analīze_Soc'!H38*G$18</f>
        <v>0</v>
      </c>
      <c r="H38" s="393">
        <f>'8.DL jut.analīze_Soc'!I38*H$18</f>
        <v>0</v>
      </c>
      <c r="I38" s="393">
        <f>'8.DL jut.analīze_Soc'!J38*I$18</f>
        <v>0</v>
      </c>
      <c r="J38" s="393">
        <f>'8.DL jut.analīze_Soc'!K38*J$18</f>
        <v>0</v>
      </c>
      <c r="K38" s="393">
        <f>'8.DL jut.analīze_Soc'!L38*K$18</f>
        <v>0</v>
      </c>
      <c r="L38" s="393">
        <f>'8.DL jut.analīze_Soc'!M38*L$18</f>
        <v>0</v>
      </c>
      <c r="M38" s="393">
        <f>'8.DL jut.analīze_Soc'!N38*M$18</f>
        <v>0</v>
      </c>
      <c r="N38" s="393">
        <f>'8.DL jut.analīze_Soc'!O38*N$18</f>
        <v>0</v>
      </c>
      <c r="O38" s="393">
        <f>'8.DL jut.analīze_Soc'!P38*O$18</f>
        <v>0</v>
      </c>
      <c r="P38" s="393">
        <f>'8.DL jut.analīze_Soc'!Q38*P$18</f>
        <v>0</v>
      </c>
      <c r="Q38" s="393">
        <f>'8.DL jut.analīze_Soc'!R38*Q$18</f>
        <v>0</v>
      </c>
      <c r="R38" s="393">
        <f>'8.DL jut.analīze_Soc'!S38*R$18</f>
        <v>0</v>
      </c>
      <c r="S38" s="393">
        <f>'8.DL jut.analīze_Soc'!T38*S$18</f>
        <v>0</v>
      </c>
      <c r="T38" s="393">
        <f>'8.DL jut.analīze_Soc'!U38*T$18</f>
        <v>0</v>
      </c>
      <c r="U38" s="393">
        <f>'8.DL jut.analīze_Soc'!V38*U$18</f>
        <v>0</v>
      </c>
      <c r="V38" s="393">
        <f>'8.DL jut.analīze_Soc'!W38*V$18</f>
        <v>0</v>
      </c>
      <c r="W38" s="393">
        <f>'8.DL jut.analīze_Soc'!X38*W$18</f>
        <v>0</v>
      </c>
      <c r="X38" s="393">
        <f>'8.DL jut.analīze_Soc'!Y38*X$18</f>
        <v>0</v>
      </c>
      <c r="Y38" s="393">
        <f>'8.DL jut.analīze_Soc'!Z38*Y$18</f>
        <v>0</v>
      </c>
      <c r="Z38" s="393">
        <f>'8.DL jut.analīze_Soc'!AA38*Z$18</f>
        <v>0</v>
      </c>
      <c r="AA38" s="393">
        <f>'8.DL jut.analīze_Soc'!AB38*AA$18</f>
        <v>0</v>
      </c>
      <c r="AB38" s="393">
        <f>'8.DL jut.analīze_Soc'!AC38*AB$18</f>
        <v>0</v>
      </c>
      <c r="AC38" s="393">
        <f>'8.DL jut.analīze_Soc'!AD38*AC$18</f>
        <v>0</v>
      </c>
      <c r="AD38" s="393">
        <f>'8.DL jut.analīze_Soc'!AE38*AD$18</f>
        <v>0</v>
      </c>
      <c r="AE38" s="321">
        <f t="shared" si="4"/>
        <v>0</v>
      </c>
    </row>
    <row r="39" spans="1:31" x14ac:dyDescent="0.25">
      <c r="A39" s="209"/>
      <c r="B39" s="295" t="s">
        <v>373</v>
      </c>
      <c r="C39" s="698" t="str">
        <f>'6.DL Soc.ekon.analīze'!B24</f>
        <v>Zaudējumi...</v>
      </c>
      <c r="D39" s="25"/>
      <c r="E39" s="71" t="s">
        <v>20</v>
      </c>
      <c r="F39" s="392">
        <f>'8.DL jut.analīze_Soc'!G39*F$18</f>
        <v>0</v>
      </c>
      <c r="G39" s="393">
        <f>'8.DL jut.analīze_Soc'!H39*G$18</f>
        <v>0</v>
      </c>
      <c r="H39" s="393">
        <f>'8.DL jut.analīze_Soc'!I39*H$18</f>
        <v>0</v>
      </c>
      <c r="I39" s="393">
        <f>'8.DL jut.analīze_Soc'!J39*I$18</f>
        <v>0</v>
      </c>
      <c r="J39" s="393">
        <f>'8.DL jut.analīze_Soc'!K39*J$18</f>
        <v>0</v>
      </c>
      <c r="K39" s="393">
        <f>'8.DL jut.analīze_Soc'!L39*K$18</f>
        <v>0</v>
      </c>
      <c r="L39" s="393">
        <f>'8.DL jut.analīze_Soc'!M39*L$18</f>
        <v>0</v>
      </c>
      <c r="M39" s="393">
        <f>'8.DL jut.analīze_Soc'!N39*M$18</f>
        <v>0</v>
      </c>
      <c r="N39" s="393">
        <f>'8.DL jut.analīze_Soc'!O39*N$18</f>
        <v>0</v>
      </c>
      <c r="O39" s="393">
        <f>'8.DL jut.analīze_Soc'!P39*O$18</f>
        <v>0</v>
      </c>
      <c r="P39" s="393">
        <f>'8.DL jut.analīze_Soc'!Q39*P$18</f>
        <v>0</v>
      </c>
      <c r="Q39" s="393">
        <f>'8.DL jut.analīze_Soc'!R39*Q$18</f>
        <v>0</v>
      </c>
      <c r="R39" s="393">
        <f>'8.DL jut.analīze_Soc'!S39*R$18</f>
        <v>0</v>
      </c>
      <c r="S39" s="393">
        <f>'8.DL jut.analīze_Soc'!T39*S$18</f>
        <v>0</v>
      </c>
      <c r="T39" s="393">
        <f>'8.DL jut.analīze_Soc'!U39*T$18</f>
        <v>0</v>
      </c>
      <c r="U39" s="393">
        <f>'8.DL jut.analīze_Soc'!V39*U$18</f>
        <v>0</v>
      </c>
      <c r="V39" s="393">
        <f>'8.DL jut.analīze_Soc'!W39*V$18</f>
        <v>0</v>
      </c>
      <c r="W39" s="393">
        <f>'8.DL jut.analīze_Soc'!X39*W$18</f>
        <v>0</v>
      </c>
      <c r="X39" s="393">
        <f>'8.DL jut.analīze_Soc'!Y39*X$18</f>
        <v>0</v>
      </c>
      <c r="Y39" s="393">
        <f>'8.DL jut.analīze_Soc'!Z39*Y$18</f>
        <v>0</v>
      </c>
      <c r="Z39" s="393">
        <f>'8.DL jut.analīze_Soc'!AA39*Z$18</f>
        <v>0</v>
      </c>
      <c r="AA39" s="393">
        <f>'8.DL jut.analīze_Soc'!AB39*AA$18</f>
        <v>0</v>
      </c>
      <c r="AB39" s="393">
        <f>'8.DL jut.analīze_Soc'!AC39*AB$18</f>
        <v>0</v>
      </c>
      <c r="AC39" s="393">
        <f>'8.DL jut.analīze_Soc'!AD39*AC$18</f>
        <v>0</v>
      </c>
      <c r="AD39" s="393">
        <f>'8.DL jut.analīze_Soc'!AE39*AD$18</f>
        <v>0</v>
      </c>
      <c r="AE39" s="321">
        <f t="shared" si="4"/>
        <v>0</v>
      </c>
    </row>
    <row r="40" spans="1:31" x14ac:dyDescent="0.25">
      <c r="A40" s="209"/>
      <c r="B40" s="295" t="s">
        <v>374</v>
      </c>
      <c r="C40" s="698" t="str">
        <f>'6.DL Soc.ekon.analīze'!B25</f>
        <v>Zaudējumi...</v>
      </c>
      <c r="D40" s="25"/>
      <c r="E40" s="71" t="s">
        <v>20</v>
      </c>
      <c r="F40" s="392">
        <f>'8.DL jut.analīze_Soc'!G40*F$18</f>
        <v>0</v>
      </c>
      <c r="G40" s="393">
        <f>'8.DL jut.analīze_Soc'!H40*G$18</f>
        <v>0</v>
      </c>
      <c r="H40" s="393">
        <f>'8.DL jut.analīze_Soc'!I40*H$18</f>
        <v>0</v>
      </c>
      <c r="I40" s="393">
        <f>'8.DL jut.analīze_Soc'!J40*I$18</f>
        <v>0</v>
      </c>
      <c r="J40" s="393">
        <f>'8.DL jut.analīze_Soc'!K40*J$18</f>
        <v>0</v>
      </c>
      <c r="K40" s="393">
        <f>'8.DL jut.analīze_Soc'!L40*K$18</f>
        <v>0</v>
      </c>
      <c r="L40" s="393">
        <f>'8.DL jut.analīze_Soc'!M40*L$18</f>
        <v>0</v>
      </c>
      <c r="M40" s="393">
        <f>'8.DL jut.analīze_Soc'!N40*M$18</f>
        <v>0</v>
      </c>
      <c r="N40" s="393">
        <f>'8.DL jut.analīze_Soc'!O40*N$18</f>
        <v>0</v>
      </c>
      <c r="O40" s="393">
        <f>'8.DL jut.analīze_Soc'!P40*O$18</f>
        <v>0</v>
      </c>
      <c r="P40" s="393">
        <f>'8.DL jut.analīze_Soc'!Q40*P$18</f>
        <v>0</v>
      </c>
      <c r="Q40" s="393">
        <f>'8.DL jut.analīze_Soc'!R40*Q$18</f>
        <v>0</v>
      </c>
      <c r="R40" s="393">
        <f>'8.DL jut.analīze_Soc'!S40*R$18</f>
        <v>0</v>
      </c>
      <c r="S40" s="393">
        <f>'8.DL jut.analīze_Soc'!T40*S$18</f>
        <v>0</v>
      </c>
      <c r="T40" s="393">
        <f>'8.DL jut.analīze_Soc'!U40*T$18</f>
        <v>0</v>
      </c>
      <c r="U40" s="393">
        <f>'8.DL jut.analīze_Soc'!V40*U$18</f>
        <v>0</v>
      </c>
      <c r="V40" s="393">
        <f>'8.DL jut.analīze_Soc'!W40*V$18</f>
        <v>0</v>
      </c>
      <c r="W40" s="393">
        <f>'8.DL jut.analīze_Soc'!X40*W$18</f>
        <v>0</v>
      </c>
      <c r="X40" s="393">
        <f>'8.DL jut.analīze_Soc'!Y40*X$18</f>
        <v>0</v>
      </c>
      <c r="Y40" s="393">
        <f>'8.DL jut.analīze_Soc'!Z40*Y$18</f>
        <v>0</v>
      </c>
      <c r="Z40" s="393">
        <f>'8.DL jut.analīze_Soc'!AA40*Z$18</f>
        <v>0</v>
      </c>
      <c r="AA40" s="393">
        <f>'8.DL jut.analīze_Soc'!AB40*AA$18</f>
        <v>0</v>
      </c>
      <c r="AB40" s="393">
        <f>'8.DL jut.analīze_Soc'!AC40*AB$18</f>
        <v>0</v>
      </c>
      <c r="AC40" s="393">
        <f>'8.DL jut.analīze_Soc'!AD40*AC$18</f>
        <v>0</v>
      </c>
      <c r="AD40" s="393">
        <f>'8.DL jut.analīze_Soc'!AE40*AD$18</f>
        <v>0</v>
      </c>
      <c r="AE40" s="321">
        <f t="shared" si="4"/>
        <v>0</v>
      </c>
    </row>
    <row r="41" spans="1:31" x14ac:dyDescent="0.25">
      <c r="A41" s="209"/>
      <c r="B41" s="25" t="s">
        <v>55</v>
      </c>
      <c r="C41" s="25" t="s">
        <v>375</v>
      </c>
      <c r="D41" s="25"/>
      <c r="E41" s="71" t="s">
        <v>20</v>
      </c>
      <c r="F41" s="319">
        <f>F10*F18</f>
        <v>99500</v>
      </c>
      <c r="G41" s="320">
        <f t="shared" ref="G41:AD41" si="8">G10*G18</f>
        <v>79523.809523809527</v>
      </c>
      <c r="H41" s="320">
        <f t="shared" si="8"/>
        <v>22675.736961451246</v>
      </c>
      <c r="I41" s="320">
        <f t="shared" si="8"/>
        <v>0</v>
      </c>
      <c r="J41" s="320">
        <f t="shared" si="8"/>
        <v>0</v>
      </c>
      <c r="K41" s="320">
        <f t="shared" si="8"/>
        <v>0</v>
      </c>
      <c r="L41" s="320">
        <f t="shared" si="8"/>
        <v>0</v>
      </c>
      <c r="M41" s="320">
        <f t="shared" si="8"/>
        <v>0</v>
      </c>
      <c r="N41" s="320">
        <f t="shared" si="8"/>
        <v>0</v>
      </c>
      <c r="O41" s="320">
        <f t="shared" si="8"/>
        <v>0</v>
      </c>
      <c r="P41" s="320">
        <f t="shared" si="8"/>
        <v>0</v>
      </c>
      <c r="Q41" s="320">
        <f t="shared" si="8"/>
        <v>0</v>
      </c>
      <c r="R41" s="320">
        <f t="shared" si="8"/>
        <v>0</v>
      </c>
      <c r="S41" s="320">
        <f t="shared" si="8"/>
        <v>0</v>
      </c>
      <c r="T41" s="320">
        <f t="shared" si="8"/>
        <v>0</v>
      </c>
      <c r="U41" s="320">
        <f t="shared" si="8"/>
        <v>0</v>
      </c>
      <c r="V41" s="320">
        <f t="shared" si="8"/>
        <v>0</v>
      </c>
      <c r="W41" s="320">
        <f t="shared" si="8"/>
        <v>0</v>
      </c>
      <c r="X41" s="320">
        <f t="shared" si="8"/>
        <v>0</v>
      </c>
      <c r="Y41" s="320">
        <f t="shared" si="8"/>
        <v>0</v>
      </c>
      <c r="Z41" s="320">
        <f t="shared" si="8"/>
        <v>0</v>
      </c>
      <c r="AA41" s="320">
        <f t="shared" si="8"/>
        <v>0</v>
      </c>
      <c r="AB41" s="320">
        <f t="shared" si="8"/>
        <v>0</v>
      </c>
      <c r="AC41" s="320">
        <f t="shared" si="8"/>
        <v>0</v>
      </c>
      <c r="AD41" s="320">
        <f t="shared" si="8"/>
        <v>0</v>
      </c>
      <c r="AE41" s="321">
        <f t="shared" si="4"/>
        <v>201699.54648526077</v>
      </c>
    </row>
    <row r="42" spans="1:31" x14ac:dyDescent="0.25">
      <c r="A42" s="209"/>
      <c r="B42" s="25" t="s">
        <v>56</v>
      </c>
      <c r="C42" s="25" t="s">
        <v>376</v>
      </c>
      <c r="D42" s="25"/>
      <c r="E42" s="71" t="s">
        <v>20</v>
      </c>
      <c r="F42" s="319">
        <f>F11*F18</f>
        <v>781.8</v>
      </c>
      <c r="G42" s="320">
        <f t="shared" ref="G42:AD42" si="9">G11*G18</f>
        <v>744.57142857142844</v>
      </c>
      <c r="H42" s="320">
        <f t="shared" si="9"/>
        <v>709.11564625850326</v>
      </c>
      <c r="I42" s="320">
        <f t="shared" si="9"/>
        <v>675.34823453190791</v>
      </c>
      <c r="J42" s="320">
        <f t="shared" si="9"/>
        <v>643.18879479229327</v>
      </c>
      <c r="K42" s="320">
        <f t="shared" si="9"/>
        <v>612.56075694504113</v>
      </c>
      <c r="L42" s="320">
        <f t="shared" si="9"/>
        <v>583.39119709051545</v>
      </c>
      <c r="M42" s="320">
        <f t="shared" si="9"/>
        <v>555.61066389572898</v>
      </c>
      <c r="N42" s="320">
        <f t="shared" si="9"/>
        <v>529.15301323402764</v>
      </c>
      <c r="O42" s="320">
        <f t="shared" si="9"/>
        <v>503.95525069907387</v>
      </c>
      <c r="P42" s="320">
        <f t="shared" si="9"/>
        <v>479.95738161816558</v>
      </c>
      <c r="Q42" s="320">
        <f t="shared" si="9"/>
        <v>457.10226820777672</v>
      </c>
      <c r="R42" s="320">
        <f t="shared" si="9"/>
        <v>435.335493531216</v>
      </c>
      <c r="S42" s="320">
        <f t="shared" si="9"/>
        <v>414.60523193449131</v>
      </c>
      <c r="T42" s="320">
        <f t="shared" si="9"/>
        <v>394.86212565189663</v>
      </c>
      <c r="U42" s="320">
        <f t="shared" si="9"/>
        <v>376.05916728752049</v>
      </c>
      <c r="V42" s="320">
        <f t="shared" si="9"/>
        <v>358.15158789287665</v>
      </c>
      <c r="W42" s="320">
        <f t="shared" si="9"/>
        <v>341.09675037416821</v>
      </c>
      <c r="X42" s="320">
        <f t="shared" si="9"/>
        <v>324.85404797539832</v>
      </c>
      <c r="Y42" s="320">
        <f t="shared" si="9"/>
        <v>309.38480759561742</v>
      </c>
      <c r="Z42" s="320">
        <f t="shared" si="9"/>
        <v>294.65219771011186</v>
      </c>
      <c r="AA42" s="320">
        <f t="shared" si="9"/>
        <v>280.62114067629699</v>
      </c>
      <c r="AB42" s="320">
        <f t="shared" si="9"/>
        <v>267.258229215521</v>
      </c>
      <c r="AC42" s="320">
        <f t="shared" si="9"/>
        <v>254.53164687192469</v>
      </c>
      <c r="AD42" s="320">
        <f t="shared" si="9"/>
        <v>242.41109225897594</v>
      </c>
      <c r="AE42" s="321">
        <f t="shared" si="4"/>
        <v>11569.578154820476</v>
      </c>
    </row>
    <row r="43" spans="1:31" x14ac:dyDescent="0.25">
      <c r="A43" s="25"/>
      <c r="B43" s="25" t="s">
        <v>151</v>
      </c>
      <c r="C43" s="27" t="s">
        <v>327</v>
      </c>
      <c r="D43" s="25"/>
      <c r="E43" s="71" t="s">
        <v>20</v>
      </c>
      <c r="F43" s="319">
        <f>F12*F18</f>
        <v>100218.2</v>
      </c>
      <c r="G43" s="320">
        <f t="shared" ref="G43:AD43" si="10">G12*G18</f>
        <v>80207.809523809512</v>
      </c>
      <c r="H43" s="320">
        <f t="shared" si="10"/>
        <v>23327.165532879819</v>
      </c>
      <c r="I43" s="320">
        <f t="shared" si="10"/>
        <v>620.40816326530614</v>
      </c>
      <c r="J43" s="320">
        <f t="shared" si="10"/>
        <v>590.86491739552969</v>
      </c>
      <c r="K43" s="320">
        <f t="shared" si="10"/>
        <v>562.72849275764725</v>
      </c>
      <c r="L43" s="320">
        <f t="shared" si="10"/>
        <v>535.93189786442599</v>
      </c>
      <c r="M43" s="320">
        <f t="shared" si="10"/>
        <v>510.41133129945325</v>
      </c>
      <c r="N43" s="320">
        <f t="shared" si="10"/>
        <v>486.10602980900319</v>
      </c>
      <c r="O43" s="320">
        <f t="shared" si="10"/>
        <v>462.958123627622</v>
      </c>
      <c r="P43" s="320">
        <f t="shared" si="10"/>
        <v>440.91249869297337</v>
      </c>
      <c r="Q43" s="320">
        <f t="shared" si="10"/>
        <v>419.91666542187937</v>
      </c>
      <c r="R43" s="320">
        <f t="shared" si="10"/>
        <v>399.92063373512326</v>
      </c>
      <c r="S43" s="320">
        <f t="shared" si="10"/>
        <v>380.87679403345061</v>
      </c>
      <c r="T43" s="320">
        <f t="shared" si="10"/>
        <v>362.73980384138167</v>
      </c>
      <c r="U43" s="320">
        <f t="shared" si="10"/>
        <v>345.46647984893485</v>
      </c>
      <c r="V43" s="320">
        <f t="shared" si="10"/>
        <v>329.01569509422364</v>
      </c>
      <c r="W43" s="320">
        <f t="shared" si="10"/>
        <v>313.34828104211772</v>
      </c>
      <c r="X43" s="320">
        <f t="shared" si="10"/>
        <v>298.42693432582638</v>
      </c>
      <c r="Y43" s="320">
        <f t="shared" si="10"/>
        <v>284.21612792935849</v>
      </c>
      <c r="Z43" s="320">
        <f t="shared" si="10"/>
        <v>270.68202659938908</v>
      </c>
      <c r="AA43" s="320">
        <f t="shared" si="10"/>
        <v>257.79240628513242</v>
      </c>
      <c r="AB43" s="320">
        <f t="shared" si="10"/>
        <v>245.51657741441187</v>
      </c>
      <c r="AC43" s="320">
        <f t="shared" si="10"/>
        <v>233.82531182324934</v>
      </c>
      <c r="AD43" s="320">
        <f t="shared" si="10"/>
        <v>222.69077316499943</v>
      </c>
      <c r="AE43" s="321">
        <f t="shared" si="4"/>
        <v>212327.9310219608</v>
      </c>
    </row>
    <row r="44" spans="1:31" x14ac:dyDescent="0.25">
      <c r="A44" s="25"/>
      <c r="B44" s="25" t="s">
        <v>278</v>
      </c>
      <c r="C44" s="27" t="s">
        <v>120</v>
      </c>
      <c r="D44" s="25"/>
      <c r="E44" s="71" t="s">
        <v>20</v>
      </c>
      <c r="F44" s="322">
        <f>F13*F18</f>
        <v>-80718.2</v>
      </c>
      <c r="G44" s="323">
        <f t="shared" ref="G44:AD44" si="11">G13*G18</f>
        <v>-60683.999999999993</v>
      </c>
      <c r="H44" s="323">
        <f t="shared" si="11"/>
        <v>-7436.0090702947846</v>
      </c>
      <c r="I44" s="323">
        <f t="shared" si="11"/>
        <v>11056.948493683187</v>
      </c>
      <c r="J44" s="323">
        <f t="shared" si="11"/>
        <v>10528.781731891546</v>
      </c>
      <c r="K44" s="323">
        <f t="shared" si="11"/>
        <v>10025.844120897107</v>
      </c>
      <c r="L44" s="323">
        <f t="shared" si="11"/>
        <v>9546.9305414896862</v>
      </c>
      <c r="M44" s="323">
        <f t="shared" si="11"/>
        <v>9090.8934387584868</v>
      </c>
      <c r="N44" s="323">
        <f t="shared" si="11"/>
        <v>8656.6400724745035</v>
      </c>
      <c r="O44" s="323">
        <f t="shared" si="11"/>
        <v>8243.1298988099479</v>
      </c>
      <c r="P44" s="323">
        <f t="shared" si="11"/>
        <v>7849.3720771214403</v>
      </c>
      <c r="Q44" s="323">
        <f t="shared" si="11"/>
        <v>7474.4230958231983</v>
      </c>
      <c r="R44" s="323">
        <f t="shared" si="11"/>
        <v>7117.3845116619295</v>
      </c>
      <c r="S44" s="323">
        <f t="shared" si="11"/>
        <v>6778.4614396780262</v>
      </c>
      <c r="T44" s="323">
        <f t="shared" si="11"/>
        <v>6455.6775615981232</v>
      </c>
      <c r="U44" s="323">
        <f t="shared" si="11"/>
        <v>6148.264344379163</v>
      </c>
      <c r="V44" s="323">
        <f t="shared" si="11"/>
        <v>5855.4898517896791</v>
      </c>
      <c r="W44" s="323">
        <f t="shared" si="11"/>
        <v>5576.6570017044551</v>
      </c>
      <c r="X44" s="323">
        <f t="shared" si="11"/>
        <v>5311.1019063851954</v>
      </c>
      <c r="Y44" s="323">
        <f t="shared" si="11"/>
        <v>5058.1922917954244</v>
      </c>
      <c r="Z44" s="323">
        <f t="shared" si="11"/>
        <v>4817.325992186119</v>
      </c>
      <c r="AA44" s="323">
        <f t="shared" si="11"/>
        <v>4587.9295163677325</v>
      </c>
      <c r="AB44" s="323">
        <f t="shared" si="11"/>
        <v>4369.4566822549832</v>
      </c>
      <c r="AC44" s="323">
        <f t="shared" si="11"/>
        <v>4161.3873164333163</v>
      </c>
      <c r="AD44" s="323">
        <f t="shared" si="11"/>
        <v>3963.2260156507787</v>
      </c>
      <c r="AE44" s="324">
        <f t="shared" si="4"/>
        <v>3835.3088325392378</v>
      </c>
    </row>
    <row r="45" spans="1:31" x14ac:dyDescent="0.25">
      <c r="A45" s="239"/>
      <c r="B45" s="240"/>
      <c r="C45" s="222"/>
      <c r="D45" s="240"/>
      <c r="E45" s="71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6"/>
    </row>
    <row r="46" spans="1:31" x14ac:dyDescent="0.25">
      <c r="A46" s="37">
        <v>3</v>
      </c>
      <c r="B46" s="38" t="s">
        <v>121</v>
      </c>
      <c r="C46" s="38"/>
      <c r="D46" s="38"/>
      <c r="E46" s="38"/>
      <c r="F46" s="38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40"/>
    </row>
    <row r="47" spans="1:31" x14ac:dyDescent="0.25">
      <c r="A47" s="25"/>
      <c r="B47" s="25"/>
      <c r="C47" s="25"/>
      <c r="D47" s="25"/>
      <c r="E47" s="297"/>
      <c r="F47" s="297"/>
      <c r="G47" s="113" t="s">
        <v>122</v>
      </c>
      <c r="H47" s="114"/>
      <c r="I47" s="115" t="s">
        <v>123</v>
      </c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243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x14ac:dyDescent="0.25">
      <c r="A48" s="25"/>
      <c r="B48" s="25" t="s">
        <v>31</v>
      </c>
      <c r="C48" s="25" t="s">
        <v>284</v>
      </c>
      <c r="D48" s="25"/>
      <c r="E48" s="297"/>
      <c r="F48" s="297"/>
      <c r="G48" s="326">
        <f t="shared" ref="G48:G55" si="12">AE6</f>
        <v>322500</v>
      </c>
      <c r="H48" s="394"/>
      <c r="I48" s="326">
        <f>AE19</f>
        <v>194744.92719124217</v>
      </c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27"/>
      <c r="U48" s="298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x14ac:dyDescent="0.25">
      <c r="A49" s="25"/>
      <c r="B49" s="25" t="s">
        <v>32</v>
      </c>
      <c r="C49" s="25" t="s">
        <v>346</v>
      </c>
      <c r="D49" s="25"/>
      <c r="E49" s="297"/>
      <c r="F49" s="297"/>
      <c r="G49" s="329">
        <f t="shared" si="12"/>
        <v>32110</v>
      </c>
      <c r="H49" s="394"/>
      <c r="I49" s="329">
        <f>AE29</f>
        <v>21418.312663257871</v>
      </c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2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x14ac:dyDescent="0.25">
      <c r="A50" s="25"/>
      <c r="B50" s="25" t="s">
        <v>124</v>
      </c>
      <c r="C50" s="25" t="s">
        <v>347</v>
      </c>
      <c r="D50" s="25"/>
      <c r="E50" s="297"/>
      <c r="F50" s="297"/>
      <c r="G50" s="329">
        <f t="shared" si="12"/>
        <v>354610</v>
      </c>
      <c r="H50" s="394"/>
      <c r="I50" s="329">
        <f>AE30</f>
        <v>216163.23985450005</v>
      </c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2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x14ac:dyDescent="0.25">
      <c r="A51" s="25"/>
      <c r="B51" s="25" t="s">
        <v>125</v>
      </c>
      <c r="C51" s="25" t="s">
        <v>297</v>
      </c>
      <c r="D51" s="25"/>
      <c r="E51" s="297"/>
      <c r="F51" s="297"/>
      <c r="G51" s="329">
        <f t="shared" si="12"/>
        <v>37500</v>
      </c>
      <c r="H51" s="394"/>
      <c r="I51" s="329">
        <f>AE31</f>
        <v>22197.962691520479</v>
      </c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2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x14ac:dyDescent="0.25">
      <c r="A52" s="25"/>
      <c r="B52" s="25" t="s">
        <v>126</v>
      </c>
      <c r="C52" s="25" t="s">
        <v>348</v>
      </c>
      <c r="D52" s="25"/>
      <c r="E52" s="297"/>
      <c r="F52" s="297"/>
      <c r="G52" s="329">
        <f t="shared" si="12"/>
        <v>208000</v>
      </c>
      <c r="H52" s="394"/>
      <c r="I52" s="329">
        <f t="shared" ref="I52:I54" si="13">AE41</f>
        <v>201699.54648526077</v>
      </c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2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x14ac:dyDescent="0.25">
      <c r="A53" s="25"/>
      <c r="B53" s="25" t="s">
        <v>153</v>
      </c>
      <c r="C53" s="25" t="s">
        <v>313</v>
      </c>
      <c r="D53" s="25"/>
      <c r="E53" s="297"/>
      <c r="F53" s="297"/>
      <c r="G53" s="329">
        <f t="shared" si="12"/>
        <v>19544.999999999993</v>
      </c>
      <c r="H53" s="394"/>
      <c r="I53" s="329">
        <f t="shared" si="13"/>
        <v>11569.578154820476</v>
      </c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2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x14ac:dyDescent="0.25">
      <c r="A54" s="25"/>
      <c r="B54" s="25" t="s">
        <v>154</v>
      </c>
      <c r="C54" s="25" t="s">
        <v>318</v>
      </c>
      <c r="D54" s="25"/>
      <c r="E54" s="297"/>
      <c r="F54" s="297"/>
      <c r="G54" s="329">
        <f t="shared" si="12"/>
        <v>225955.00000000026</v>
      </c>
      <c r="H54" s="394"/>
      <c r="I54" s="329">
        <f t="shared" si="13"/>
        <v>212327.9310219608</v>
      </c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2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x14ac:dyDescent="0.25">
      <c r="A55" s="25"/>
      <c r="B55" s="25" t="s">
        <v>331</v>
      </c>
      <c r="C55" s="25" t="s">
        <v>89</v>
      </c>
      <c r="D55" s="25"/>
      <c r="E55" s="297"/>
      <c r="F55" s="297"/>
      <c r="G55" s="395">
        <f t="shared" si="12"/>
        <v>128655.00000000001</v>
      </c>
      <c r="H55" s="394"/>
      <c r="I55" s="395">
        <f>AE44</f>
        <v>3835.3088325392378</v>
      </c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2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x14ac:dyDescent="0.25">
      <c r="A56" s="25"/>
      <c r="B56" s="25"/>
      <c r="C56" s="25"/>
      <c r="D56" s="25"/>
      <c r="E56" s="297"/>
      <c r="F56" s="297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2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x14ac:dyDescent="0.25">
      <c r="A57" s="39">
        <v>4</v>
      </c>
      <c r="B57" s="299" t="s">
        <v>127</v>
      </c>
      <c r="C57" s="39"/>
      <c r="D57" s="300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40"/>
    </row>
    <row r="58" spans="1:31" x14ac:dyDescent="0.25">
      <c r="A58" s="25"/>
      <c r="B58" s="25" t="s">
        <v>74</v>
      </c>
      <c r="C58" s="25" t="s">
        <v>335</v>
      </c>
      <c r="D58" s="25"/>
      <c r="E58" s="295"/>
      <c r="F58" s="295"/>
      <c r="G58" s="317">
        <f>I55</f>
        <v>3835.3088325392378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x14ac:dyDescent="0.25">
      <c r="A59" s="25"/>
      <c r="B59" s="25" t="s">
        <v>99</v>
      </c>
      <c r="C59" s="25" t="s">
        <v>336</v>
      </c>
      <c r="D59" s="25"/>
      <c r="E59" s="295"/>
      <c r="F59" s="295"/>
      <c r="G59" s="301">
        <f>IRR(F13:AD13,'7.DL Jutīguma analīze_Invest'!K52)</f>
        <v>5.2427124090031807E-2</v>
      </c>
      <c r="H59" s="158" t="s">
        <v>474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x14ac:dyDescent="0.25">
      <c r="A60" s="244"/>
      <c r="B60" s="25" t="s">
        <v>100</v>
      </c>
      <c r="C60" s="244" t="s">
        <v>337</v>
      </c>
      <c r="D60" s="244"/>
      <c r="E60" s="295"/>
      <c r="F60" s="295"/>
      <c r="G60" s="302">
        <f>I50/ABS(I54)</f>
        <v>1.0180631385333028</v>
      </c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</row>
    <row r="61" spans="1:31" x14ac:dyDescent="0.25">
      <c r="A61" s="39"/>
      <c r="B61" s="299"/>
      <c r="C61" s="39"/>
      <c r="D61" s="300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40"/>
    </row>
  </sheetData>
  <sheetProtection algorithmName="SHA-512" hashValue="FJVLFQbdIZq/dF6Rr3vRtbvHYcAkfA6HiYBJkD5NB6Y5jBlhWYr09eodBBeQxczO/DZSdqYduVvJlnHSsJVe9g==" saltValue="1OsMpGdZlPKESzkOj62DIw==" spinCount="100000" sheet="1" objects="1" scenarios="1" formatCells="0" formatColumns="0" formatRows="0"/>
  <mergeCells count="2">
    <mergeCell ref="A1:F1"/>
    <mergeCell ref="A2:F2"/>
  </mergeCells>
  <dataValidations count="1">
    <dataValidation type="decimal" allowBlank="1" showInputMessage="1" showErrorMessage="1" sqref="F16" xr:uid="{00000000-0002-0000-1000-000000000000}">
      <formula1>0</formula1>
      <formula2>100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E20"/>
  <sheetViews>
    <sheetView tabSelected="1" workbookViewId="0">
      <selection activeCell="K13" sqref="K13"/>
    </sheetView>
  </sheetViews>
  <sheetFormatPr defaultColWidth="9.140625" defaultRowHeight="15" x14ac:dyDescent="0.25"/>
  <cols>
    <col min="1" max="1" width="7.42578125" style="428" customWidth="1"/>
    <col min="2" max="2" width="44" style="428" customWidth="1"/>
    <col min="3" max="3" width="18.28515625" style="428" customWidth="1"/>
    <col min="4" max="4" width="22.28515625" style="428" customWidth="1"/>
    <col min="5" max="5" width="18.5703125" style="428" customWidth="1"/>
    <col min="6" max="16384" width="9.140625" style="428"/>
  </cols>
  <sheetData>
    <row r="1" spans="1:5" s="426" customFormat="1" ht="26.25" x14ac:dyDescent="0.4">
      <c r="A1" s="1026" t="s">
        <v>535</v>
      </c>
      <c r="B1" s="1026"/>
      <c r="C1" s="1026"/>
      <c r="D1" s="1027"/>
      <c r="E1" s="1027"/>
    </row>
    <row r="2" spans="1:5" s="426" customFormat="1" ht="12.75" x14ac:dyDescent="0.2">
      <c r="A2" s="245"/>
      <c r="B2" s="245"/>
      <c r="C2" s="245"/>
      <c r="D2" s="245"/>
    </row>
    <row r="4" spans="1:5" x14ac:dyDescent="0.25">
      <c r="A4" s="20"/>
      <c r="B4" s="21" t="s">
        <v>240</v>
      </c>
      <c r="C4" s="21"/>
      <c r="D4" s="176" t="s">
        <v>241</v>
      </c>
    </row>
    <row r="5" spans="1:5" ht="26.25" x14ac:dyDescent="0.25">
      <c r="A5" s="420" t="s">
        <v>418</v>
      </c>
      <c r="B5" s="1028" t="s">
        <v>417</v>
      </c>
      <c r="C5" s="1029"/>
      <c r="D5" s="421" t="s">
        <v>241</v>
      </c>
    </row>
    <row r="6" spans="1:5" ht="29.25" customHeight="1" x14ac:dyDescent="0.25">
      <c r="A6" s="177" t="s">
        <v>448</v>
      </c>
      <c r="B6" s="1020" t="s">
        <v>609</v>
      </c>
      <c r="C6" s="1020"/>
      <c r="D6" s="178" t="str">
        <f>IF('10.AL Budžets_kopā'!G7&gt;0,IF('10.AL Budžets_kopā'!G7/'10.AL Budžets_kopā'!G8&gt;10%,"Kritērijs neizpildās","Kritērijs izpildās"),"Neattiecas")</f>
        <v>Neattiecas</v>
      </c>
    </row>
    <row r="7" spans="1:5" ht="26.25" customHeight="1" x14ac:dyDescent="0.25">
      <c r="A7" s="177" t="s">
        <v>468</v>
      </c>
      <c r="B7" s="1020" t="s">
        <v>608</v>
      </c>
      <c r="C7" s="1020"/>
      <c r="D7" s="178" t="str">
        <f>IF('10.AL Budžets_kopā'!G10&gt;0,IF('10.AL Budžets_kopā'!G10/'10.AL Budžets_kopā'!G18&gt;10%,"Kritērijs neizpildās","Kritērijs izpildās"),"Neattiecas")</f>
        <v>Neattiecas</v>
      </c>
    </row>
    <row r="8" spans="1:5" s="514" customFormat="1" ht="25.5" customHeight="1" x14ac:dyDescent="0.2">
      <c r="A8" s="177" t="s">
        <v>465</v>
      </c>
      <c r="B8" s="1024" t="s">
        <v>606</v>
      </c>
      <c r="C8" s="1025"/>
      <c r="D8" s="178" t="str">
        <f>IF('10.AL Budžets_kopā'!G15&gt;0,IF('10.AL Budžets_kopā'!G15/'10.AL Budžets_kopā'!G18&gt;5%,"Kritērijs neizpildās","Kritērijs izpildās"),"Neattiecas")</f>
        <v>Kritērijs izpildās</v>
      </c>
    </row>
    <row r="9" spans="1:5" s="514" customFormat="1" ht="24" customHeight="1" x14ac:dyDescent="0.2">
      <c r="A9" s="177"/>
      <c r="B9" s="1023" t="s">
        <v>607</v>
      </c>
      <c r="C9" s="1023"/>
      <c r="D9" s="178" t="str">
        <f>IF(AND(Titullapa!B75&lt;=list!H2,Titullapa!C75&lt;=list!H2,Titullapa!D75&lt;=list!H2,Titullapa!E75&lt;=list!H2,Titullapa!F75&lt;=list!H2,Titullapa!G75&lt;=list!H2,Titullapa!H75&lt;=list!H2,Titullapa!I75&lt;=list!H2,Titullapa!J75&lt;=list!H2,Titullapa!K75&lt;=list!H2,Titullapa!L75&lt;=list!H2,Titullapa!M75&lt;=list!H2,Titullapa!N75&lt;=list!H2,Titullapa!O75&lt;=list!H2,Titullapa!P75&lt;=list!H2,Titullapa!Q75&lt;=list!H2,Titullapa!R75&lt;=list!H2,Titullapa!S75&lt;=list!H2,Titullapa!T75&lt;=list!H2,Titullapa!U75&lt;=list!H2,Titullapa!V75&lt;=list!H2,Titullapa!W75&lt;=list!H2,Titullapa!X75&lt;=list!H2,Titullapa!Y75&lt;=list!H2,Titullapa!Z75&lt;=list!H2,Titullapa!AA75&lt;=list!H2),"Kritērijs izpildās","Kritērijs neizpildās")</f>
        <v>Kritērijs izpildās</v>
      </c>
    </row>
    <row r="11" spans="1:5" x14ac:dyDescent="0.25">
      <c r="A11" s="20">
        <v>4</v>
      </c>
      <c r="B11" s="21" t="s">
        <v>416</v>
      </c>
      <c r="C11" s="21"/>
      <c r="D11" s="176" t="s">
        <v>241</v>
      </c>
    </row>
    <row r="12" spans="1:5" x14ac:dyDescent="0.25">
      <c r="A12" s="177" t="s">
        <v>74</v>
      </c>
      <c r="B12" s="1021" t="s">
        <v>377</v>
      </c>
      <c r="C12" s="1022"/>
      <c r="D12" s="306" t="str">
        <f>IF('15.RL Sociālekonomiskā analīze'!G58&gt;=0,"Kritērijs izpildās","Kritērijs neizpildās")</f>
        <v>Kritērijs izpildās</v>
      </c>
    </row>
    <row r="13" spans="1:5" x14ac:dyDescent="0.25">
      <c r="A13" s="177" t="s">
        <v>99</v>
      </c>
      <c r="B13" s="1021" t="s">
        <v>378</v>
      </c>
      <c r="C13" s="1022"/>
      <c r="D13" s="306" t="str">
        <f>IF('15.RL Sociālekonomiskā analīze'!G59&gt;'15.RL Sociālekonomiskā analīze'!F16,"Kritērijs izpildās","Kritērijs neizpildās")</f>
        <v>Kritērijs izpildās</v>
      </c>
    </row>
    <row r="14" spans="1:5" ht="25.5" x14ac:dyDescent="0.25">
      <c r="A14" s="177" t="s">
        <v>100</v>
      </c>
      <c r="B14" s="703" t="s">
        <v>407</v>
      </c>
      <c r="C14" s="704"/>
      <c r="D14" s="306" t="str">
        <f>IF('15.RL Sociālekonomiskā analīze'!G60&gt;1,"Kritērijs izpildās","Kritērijs neizpildās")</f>
        <v>Kritērijs izpildās</v>
      </c>
    </row>
    <row r="15" spans="1:5" x14ac:dyDescent="0.25">
      <c r="A15" s="177" t="s">
        <v>101</v>
      </c>
      <c r="B15" s="1021" t="s">
        <v>379</v>
      </c>
      <c r="C15" s="1022"/>
      <c r="D15" s="306" t="str">
        <f>IF(OR('5.DL_Proj_iesn_naudas_plusma'!C19&lt;0,'5.DL_Proj_iesn_naudas_plusma'!D19&lt;0,'5.DL_Proj_iesn_naudas_plusma'!E19&lt;0,'5.DL_Proj_iesn_naudas_plusma'!F19&lt;0,'5.DL_Proj_iesn_naudas_plusma'!G19&lt;0,'5.DL_Proj_iesn_naudas_plusma'!H19&lt;0,'5.DL_Proj_iesn_naudas_plusma'!I19&lt;0,'5.DL_Proj_iesn_naudas_plusma'!I19&lt;0,'5.DL_Proj_iesn_naudas_plusma'!J19&lt;0,'5.DL_Proj_iesn_naudas_plusma'!K19&lt;0,'5.DL_Proj_iesn_naudas_plusma'!L19&lt;0,'5.DL_Proj_iesn_naudas_plusma'!M19&lt;0,'5.DL_Proj_iesn_naudas_plusma'!N19&lt;0,'5.DL_Proj_iesn_naudas_plusma'!O19&lt;0,'5.DL_Proj_iesn_naudas_plusma'!P19&lt;0,'5.DL_Proj_iesn_naudas_plusma'!Q19&lt;0,'5.DL_Proj_iesn_naudas_plusma'!R19&lt;0,'5.DL_Proj_iesn_naudas_plusma'!S19&lt;0,'5.DL_Proj_iesn_naudas_plusma'!T19&lt;0,'5.DL_Proj_iesn_naudas_plusma'!U19&lt;0,'5.DL_Proj_iesn_naudas_plusma'!V19&lt;0,'5.DL_Proj_iesn_naudas_plusma'!W19&lt;0,'5.DL_Proj_iesn_naudas_plusma'!X19&lt;0,'5.DL_Proj_iesn_naudas_plusma'!Y19&lt;0,'5.DL_Proj_iesn_naudas_plusma'!Z19&lt;0,'5.DL_Proj_iesn_naudas_plusma'!AA19&lt;0),"Kritērijs neizpildās","Kritērijs izpildās")</f>
        <v>Kritērijs izpildās</v>
      </c>
    </row>
    <row r="16" spans="1:5" ht="27" customHeight="1" x14ac:dyDescent="0.25">
      <c r="A16" s="177" t="s">
        <v>102</v>
      </c>
      <c r="B16" s="1020" t="s">
        <v>541</v>
      </c>
      <c r="C16" s="1020"/>
      <c r="D16" s="699" t="str">
        <f>IF(AND('18.PIV 4.pielikums finanšu anal'!D20&gt;0,'14.RL Investīciju naudas plūsma'!G36&lt;0,'15.RL Sociālekonomiskā analīze'!G58&gt;0,'15.RL Sociālekonomiskā analīze'!G59&gt;'15.RL Sociālekonomiskā analīze'!F16),"Atbalsts nepieciešams","Atbalsts nav nepieciešams")</f>
        <v>Atbalsts nepieciešams</v>
      </c>
    </row>
    <row r="20" spans="3:3" x14ac:dyDescent="0.25">
      <c r="C20" s="700"/>
    </row>
  </sheetData>
  <sheetProtection algorithmName="SHA-512" hashValue="j1ggTZoO2vc4ifzvPHP9kzfTAmlT8JgRiX4zUcy2GFnpNqincgaBDEdB47qbdNOFb0TfhaA466Jq+R9Fszqp3w==" saltValue="NQB0bsqci47uK5zNZQlUFg==" spinCount="100000" sheet="1" formatCells="0" formatColumns="0" formatRows="0"/>
  <mergeCells count="10">
    <mergeCell ref="B8:C8"/>
    <mergeCell ref="A1:E1"/>
    <mergeCell ref="B6:C6"/>
    <mergeCell ref="B7:C7"/>
    <mergeCell ref="B5:C5"/>
    <mergeCell ref="B16:C16"/>
    <mergeCell ref="B15:C15"/>
    <mergeCell ref="B12:C12"/>
    <mergeCell ref="B13:C13"/>
    <mergeCell ref="B9:C9"/>
  </mergeCells>
  <conditionalFormatting sqref="D6:D9">
    <cfRule type="cellIs" dxfId="15" priority="24" stopIfTrue="1" operator="equal">
      <formula>"NAV IZPILDĪTS KRITĒRIJS"</formula>
    </cfRule>
  </conditionalFormatting>
  <conditionalFormatting sqref="D8:D9">
    <cfRule type="containsText" dxfId="14" priority="23" operator="containsText" text="PĀRSNIEGTAS IZMAKSAS">
      <formula>NOT(ISERROR(SEARCH("PĀRSNIEGTAS IZMAKSAS",D8)))</formula>
    </cfRule>
  </conditionalFormatting>
  <conditionalFormatting sqref="D6:D7">
    <cfRule type="containsText" dxfId="13" priority="22" operator="containsText" text="NAV IZPILDĪTS KRITĒRIJS">
      <formula>NOT(ISERROR(SEARCH("NAV IZPILDĪTS KRITĒRIJS",D6)))</formula>
    </cfRule>
  </conditionalFormatting>
  <conditionalFormatting sqref="D7:D9">
    <cfRule type="containsText" dxfId="12" priority="17" operator="containsText" text="Kritērijs neizpildās">
      <formula>NOT(ISERROR(SEARCH("Kritērijs neizpildās",D7)))</formula>
    </cfRule>
  </conditionalFormatting>
  <conditionalFormatting sqref="D6:D7">
    <cfRule type="containsText" dxfId="11" priority="16" operator="containsText" text="Kritērijs neizpildās">
      <formula>NOT(ISERROR(SEARCH("Kritērijs neizpildās",D6)))</formula>
    </cfRule>
  </conditionalFormatting>
  <conditionalFormatting sqref="D6:D9">
    <cfRule type="cellIs" dxfId="10" priority="14" operator="equal">
      <formula>"Kritērijs neizpildās"</formula>
    </cfRule>
  </conditionalFormatting>
  <conditionalFormatting sqref="D12:D15">
    <cfRule type="cellIs" dxfId="9" priority="11" stopIfTrue="1" operator="equal">
      <formula>"NAV IZPILDĪTS KRITĒRIJS"</formula>
    </cfRule>
  </conditionalFormatting>
  <conditionalFormatting sqref="D12:D15">
    <cfRule type="containsText" dxfId="8" priority="10" operator="containsText" text="PĀRSNIEGTAS IZMAKSAS">
      <formula>NOT(ISERROR(SEARCH("PĀRSNIEGTAS IZMAKSAS",D12)))</formula>
    </cfRule>
  </conditionalFormatting>
  <conditionalFormatting sqref="D12:D15">
    <cfRule type="containsText" dxfId="7" priority="9" operator="containsText" text="NAV IZPILDĪTS KRITĒRIJS">
      <formula>NOT(ISERROR(SEARCH("NAV IZPILDĪTS KRITĒRIJS",D12)))</formula>
    </cfRule>
  </conditionalFormatting>
  <conditionalFormatting sqref="D12">
    <cfRule type="cellIs" dxfId="6" priority="5" operator="equal">
      <formula>"Kritērijs neizpildās"</formula>
    </cfRule>
    <cfRule type="cellIs" dxfId="5" priority="8" stopIfTrue="1" operator="equal">
      <formula>"NAV IZPILDĪTS KRITĒRIJS"</formula>
    </cfRule>
  </conditionalFormatting>
  <conditionalFormatting sqref="D12">
    <cfRule type="containsText" dxfId="4" priority="7" operator="containsText" text="PĀRSNIEGTAS IZMAKSAS">
      <formula>NOT(ISERROR(SEARCH("PĀRSNIEGTAS IZMAKSAS",D12)))</formula>
    </cfRule>
  </conditionalFormatting>
  <conditionalFormatting sqref="D12">
    <cfRule type="containsText" dxfId="3" priority="6" operator="containsText" text="NAV IZPILDĪTS KRITĒRIJS">
      <formula>NOT(ISERROR(SEARCH("NAV IZPILDĪTS KRITĒRIJS",D12)))</formula>
    </cfRule>
  </conditionalFormatting>
  <conditionalFormatting sqref="D13:D15">
    <cfRule type="cellIs" dxfId="2" priority="4" operator="equal">
      <formula>"Kritērijs neizpildās"</formula>
    </cfRule>
  </conditionalFormatting>
  <conditionalFormatting sqref="D8">
    <cfRule type="containsText" dxfId="1" priority="3" operator="containsText" text="NAV IZPILDĪTS KRITĒRIJS">
      <formula>NOT(ISERROR(SEARCH("NAV IZPILDĪTS KRITĒRIJS",D8)))</formula>
    </cfRule>
  </conditionalFormatting>
  <conditionalFormatting sqref="D8">
    <cfRule type="containsText" dxfId="0" priority="2" operator="containsText" text="Kritērijs neizpildās">
      <formula>NOT(ISERROR(SEARCH("Kritērijs neizpildās",D8)))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J12"/>
  <sheetViews>
    <sheetView workbookViewId="0">
      <selection activeCell="M14" sqref="M14"/>
    </sheetView>
  </sheetViews>
  <sheetFormatPr defaultColWidth="9.140625" defaultRowHeight="15" x14ac:dyDescent="0.25"/>
  <cols>
    <col min="1" max="1" width="26.7109375" style="428" customWidth="1"/>
    <col min="2" max="2" width="14.7109375" style="428" customWidth="1"/>
    <col min="3" max="3" width="11.85546875" style="428" customWidth="1"/>
    <col min="4" max="4" width="13.28515625" style="428" customWidth="1"/>
    <col min="5" max="5" width="12.140625" style="428" customWidth="1"/>
    <col min="6" max="8" width="9.140625" style="428" hidden="1" customWidth="1"/>
    <col min="9" max="9" width="12.85546875" style="428" customWidth="1"/>
    <col min="10" max="16384" width="9.140625" style="428"/>
  </cols>
  <sheetData>
    <row r="1" spans="1:10" s="424" customFormat="1" ht="27" customHeight="1" x14ac:dyDescent="0.4">
      <c r="A1" s="1030" t="s">
        <v>167</v>
      </c>
      <c r="B1" s="1030"/>
      <c r="C1" s="1030"/>
      <c r="D1" s="1030"/>
      <c r="E1" s="182"/>
      <c r="F1" s="182"/>
      <c r="G1" s="182"/>
      <c r="H1" s="182"/>
      <c r="I1" s="182"/>
    </row>
    <row r="2" spans="1:10" s="756" customFormat="1" ht="21" customHeight="1" x14ac:dyDescent="0.4">
      <c r="A2" s="753" t="s">
        <v>552</v>
      </c>
      <c r="B2" s="754"/>
      <c r="C2" s="754"/>
      <c r="D2" s="754"/>
      <c r="E2" s="755"/>
      <c r="F2" s="755"/>
      <c r="G2" s="755"/>
      <c r="H2" s="755"/>
      <c r="I2" s="755"/>
    </row>
    <row r="3" spans="1:10" s="426" customFormat="1" x14ac:dyDescent="0.25">
      <c r="A3" s="425"/>
      <c r="B3" s="425"/>
      <c r="C3" s="425"/>
      <c r="D3" s="425"/>
      <c r="E3" s="425"/>
      <c r="F3" s="425"/>
      <c r="G3" s="425"/>
      <c r="H3" s="425"/>
    </row>
    <row r="4" spans="1:10" ht="66" customHeight="1" x14ac:dyDescent="0.25">
      <c r="A4" s="836" t="s">
        <v>168</v>
      </c>
      <c r="B4" s="427" t="str">
        <f>'1.DL Projekta budžets'!J4</f>
        <v>Izmaksas periodā no 01.02.2020.  līdz pirmajam projekta īstenošanas gadam</v>
      </c>
      <c r="C4" s="427">
        <f>Titullapa!D10</f>
        <v>2021</v>
      </c>
      <c r="D4" s="427">
        <f>C4+1</f>
        <v>2022</v>
      </c>
      <c r="E4" s="427">
        <f t="shared" ref="E4" si="0">D4+1</f>
        <v>2023</v>
      </c>
      <c r="F4" s="427">
        <f t="shared" ref="F4" si="1">E4+1</f>
        <v>2024</v>
      </c>
      <c r="G4" s="427">
        <f t="shared" ref="G4" si="2">F4+1</f>
        <v>2025</v>
      </c>
      <c r="H4" s="427">
        <f t="shared" ref="H4" si="3">G4+1</f>
        <v>2026</v>
      </c>
      <c r="I4" s="427"/>
      <c r="J4" s="1031" t="s">
        <v>444</v>
      </c>
    </row>
    <row r="5" spans="1:10" ht="17.25" customHeight="1" x14ac:dyDescent="0.25">
      <c r="A5" s="429"/>
      <c r="B5" s="837" t="s">
        <v>169</v>
      </c>
      <c r="C5" s="837" t="s">
        <v>169</v>
      </c>
      <c r="D5" s="837" t="s">
        <v>169</v>
      </c>
      <c r="E5" s="837" t="s">
        <v>169</v>
      </c>
      <c r="F5" s="837" t="s">
        <v>169</v>
      </c>
      <c r="G5" s="837" t="s">
        <v>169</v>
      </c>
      <c r="H5" s="837" t="s">
        <v>169</v>
      </c>
      <c r="I5" s="837" t="s">
        <v>40</v>
      </c>
      <c r="J5" s="1032"/>
    </row>
    <row r="6" spans="1:10" x14ac:dyDescent="0.25">
      <c r="A6" s="835" t="s">
        <v>611</v>
      </c>
      <c r="B6" s="430">
        <f>'1.DL Projekta budžets'!J22</f>
        <v>0</v>
      </c>
      <c r="C6" s="430">
        <f>'1.DL Projekta budžets'!L22</f>
        <v>53358.75</v>
      </c>
      <c r="D6" s="430">
        <f>'1.DL Projekta budžets'!N22</f>
        <v>19622.25</v>
      </c>
      <c r="E6" s="430">
        <f>'1.DL Projekta budžets'!P22</f>
        <v>17212.5</v>
      </c>
      <c r="F6" s="430">
        <f>'1.DL Projekta budžets'!R22</f>
        <v>0</v>
      </c>
      <c r="G6" s="430">
        <f>'1.DL Projekta budžets'!T20</f>
        <v>0</v>
      </c>
      <c r="H6" s="430">
        <f>'1.DL Projekta budžets'!V20</f>
        <v>0</v>
      </c>
      <c r="I6" s="431">
        <f t="shared" ref="I6:I11" si="4">SUM(B6:H6)</f>
        <v>90193.5</v>
      </c>
      <c r="J6" s="432">
        <f>I6/$I$8</f>
        <v>0.6885</v>
      </c>
    </row>
    <row r="7" spans="1:10" x14ac:dyDescent="0.25">
      <c r="A7" s="433" t="s">
        <v>410</v>
      </c>
      <c r="B7" s="435">
        <f>'1.DL Projekta budžets'!J24+'1.DL Projekta budžets'!J25</f>
        <v>0</v>
      </c>
      <c r="C7" s="435">
        <f>'1.DL Projekta budžets'!L24+'1.DL Projekta budžets'!L25</f>
        <v>24141.25</v>
      </c>
      <c r="D7" s="435">
        <f>'1.DL Projekta budžets'!N24+'1.DL Projekta budžets'!N25</f>
        <v>8877.75</v>
      </c>
      <c r="E7" s="435">
        <f>'1.DL Projekta budžets'!P24+'1.DL Projekta budžets'!P25</f>
        <v>7787.5</v>
      </c>
      <c r="F7" s="435">
        <f>'1.DL Projekta budžets'!R24+'1.DL Projekta budžets'!R25</f>
        <v>0</v>
      </c>
      <c r="G7" s="435">
        <f>'1.DL Projekta budžets'!T24+'1.DL Projekta budžets'!T25</f>
        <v>0</v>
      </c>
      <c r="H7" s="435">
        <f>'1.DL Projekta budžets'!V24+'1.DL Projekta budžets'!V24</f>
        <v>0</v>
      </c>
      <c r="I7" s="744">
        <f t="shared" si="4"/>
        <v>40806.5</v>
      </c>
      <c r="J7" s="437">
        <f>I7/$I$8</f>
        <v>0.3115</v>
      </c>
    </row>
    <row r="8" spans="1:10" x14ac:dyDescent="0.25">
      <c r="A8" s="438" t="s">
        <v>170</v>
      </c>
      <c r="B8" s="745">
        <f>'10.AL Budžets_kopā'!J18</f>
        <v>0</v>
      </c>
      <c r="C8" s="439">
        <f>'10.AL Budžets_kopā'!L18</f>
        <v>77500</v>
      </c>
      <c r="D8" s="439">
        <f>'10.AL Budžets_kopā'!N18</f>
        <v>28500</v>
      </c>
      <c r="E8" s="439">
        <f>'10.AL Budžets_kopā'!P18</f>
        <v>25000</v>
      </c>
      <c r="F8" s="439">
        <f>'10.AL Budžets_kopā'!R18</f>
        <v>0</v>
      </c>
      <c r="G8" s="439">
        <f>'10.AL Budžets_kopā'!T18</f>
        <v>0</v>
      </c>
      <c r="H8" s="439">
        <f>'10.AL Budžets_kopā'!V18</f>
        <v>0</v>
      </c>
      <c r="I8" s="436">
        <f t="shared" si="4"/>
        <v>131000</v>
      </c>
      <c r="J8" s="437">
        <f>I8/$I$8</f>
        <v>1</v>
      </c>
    </row>
    <row r="9" spans="1:10" ht="26.25" x14ac:dyDescent="0.25">
      <c r="A9" s="433" t="s">
        <v>409</v>
      </c>
      <c r="B9" s="440">
        <f>'1.DL Projekta budžets'!K24+'1.DL Projekta budžets'!K25</f>
        <v>5000</v>
      </c>
      <c r="C9" s="440">
        <f>'1.DL Projekta budžets'!M24+'1.DL Projekta budžets'!M25</f>
        <v>17000</v>
      </c>
      <c r="D9" s="440">
        <f>'1.DL Projekta budžets'!O24+'1.DL Projekta budžets'!O25</f>
        <v>55000</v>
      </c>
      <c r="E9" s="440">
        <f>'1.DL Projekta budžets'!Q24+'1.DL Projekta budžets'!Q25</f>
        <v>0</v>
      </c>
      <c r="F9" s="440">
        <f>'1.DL Projekta budžets'!S24+'1.DL Projekta budžets'!S25</f>
        <v>0</v>
      </c>
      <c r="G9" s="440">
        <f>'1.DL Projekta budžets'!U24+'1.DL Projekta budžets'!U25</f>
        <v>0</v>
      </c>
      <c r="H9" s="440">
        <f>'1.DL Projekta budžets'!W24+'1.DL Projekta budžets'!W25</f>
        <v>0</v>
      </c>
      <c r="I9" s="436">
        <f t="shared" si="4"/>
        <v>77000</v>
      </c>
      <c r="J9" s="437"/>
    </row>
    <row r="10" spans="1:10" x14ac:dyDescent="0.25">
      <c r="A10" s="438" t="s">
        <v>171</v>
      </c>
      <c r="B10" s="439">
        <f>'10.AL Budžets_kopā'!K18</f>
        <v>5000</v>
      </c>
      <c r="C10" s="439">
        <f>'10.AL Budžets_kopā'!M18</f>
        <v>17000</v>
      </c>
      <c r="D10" s="439">
        <f>'10.AL Budžets_kopā'!O18</f>
        <v>55000</v>
      </c>
      <c r="E10" s="439">
        <f>'10.AL Budžets_kopā'!Q18</f>
        <v>0</v>
      </c>
      <c r="F10" s="439">
        <f>'10.AL Budžets_kopā'!S18</f>
        <v>0</v>
      </c>
      <c r="G10" s="439">
        <f>'10.AL Budžets_kopā'!U18</f>
        <v>0</v>
      </c>
      <c r="H10" s="439">
        <f>'10.AL Budžets_kopā'!W18</f>
        <v>0</v>
      </c>
      <c r="I10" s="436">
        <f t="shared" si="4"/>
        <v>77000</v>
      </c>
      <c r="J10" s="437"/>
    </row>
    <row r="11" spans="1:10" x14ac:dyDescent="0.25">
      <c r="A11" s="441" t="s">
        <v>172</v>
      </c>
      <c r="B11" s="442">
        <f>B8+B10</f>
        <v>5000</v>
      </c>
      <c r="C11" s="442">
        <f>C8+C10</f>
        <v>94500</v>
      </c>
      <c r="D11" s="442">
        <f>D8+D10</f>
        <v>83500</v>
      </c>
      <c r="E11" s="442">
        <f>E8+E10</f>
        <v>25000</v>
      </c>
      <c r="F11" s="442">
        <f>'10.AL Budžets_kopā'!S18</f>
        <v>0</v>
      </c>
      <c r="G11" s="442">
        <f>'10.AL Budžets_kopā'!U18</f>
        <v>0</v>
      </c>
      <c r="H11" s="442">
        <f>'10.AL Budžets_kopā'!W18</f>
        <v>0</v>
      </c>
      <c r="I11" s="443">
        <f t="shared" si="4"/>
        <v>208000</v>
      </c>
      <c r="J11" s="701"/>
    </row>
    <row r="12" spans="1:10" x14ac:dyDescent="0.25">
      <c r="I12" s="444"/>
      <c r="J12" s="445"/>
    </row>
  </sheetData>
  <sheetProtection algorithmName="SHA-512" hashValue="5n32Vne+PLWX1WXlK7sZwTlMFlbOdXfHVEMB8eQzUgCp6WrqFNxU/ZEDzgtpNLnh8smvZObUCU0nT3X9wx3UQg==" saltValue="QyVb1APXnlBhqvS42hsDaw==" spinCount="100000" sheet="1" formatCells="0" formatColumns="0" formatRows="0"/>
  <mergeCells count="2">
    <mergeCell ref="A1:D1"/>
    <mergeCell ref="J4:J5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7"/>
  <sheetViews>
    <sheetView view="pageBreakPreview" topLeftCell="A10" zoomScaleNormal="100" zoomScaleSheetLayoutView="100" workbookViewId="0">
      <selection activeCell="E6" sqref="E6"/>
    </sheetView>
  </sheetViews>
  <sheetFormatPr defaultColWidth="9.140625" defaultRowHeight="12.75" x14ac:dyDescent="0.2"/>
  <cols>
    <col min="1" max="1" width="43.140625" style="521" customWidth="1"/>
    <col min="2" max="2" width="16.42578125" style="521" customWidth="1"/>
    <col min="3" max="3" width="15.7109375" style="521" customWidth="1"/>
    <col min="4" max="4" width="15.42578125" style="521" customWidth="1"/>
    <col min="5" max="22" width="10" style="521" bestFit="1" customWidth="1"/>
    <col min="23" max="27" width="8.7109375" style="521" customWidth="1"/>
    <col min="28" max="16384" width="9.140625" style="521"/>
  </cols>
  <sheetData>
    <row r="1" spans="1:4" s="514" customFormat="1" ht="26.25" x14ac:dyDescent="0.2">
      <c r="A1" s="903" t="s">
        <v>435</v>
      </c>
      <c r="B1" s="903"/>
      <c r="C1" s="903"/>
      <c r="D1" s="903"/>
    </row>
    <row r="2" spans="1:4" s="769" customFormat="1" ht="15.75" x14ac:dyDescent="0.25">
      <c r="B2" s="770"/>
      <c r="C2" s="770"/>
    </row>
    <row r="3" spans="1:4" s="514" customFormat="1" x14ac:dyDescent="0.2">
      <c r="A3" s="914" t="s">
        <v>436</v>
      </c>
      <c r="B3" s="914"/>
      <c r="C3" s="914"/>
      <c r="D3" s="914"/>
    </row>
    <row r="4" spans="1:4" s="514" customFormat="1" ht="29.25" customHeight="1" x14ac:dyDescent="0.2">
      <c r="A4" s="515" t="s">
        <v>242</v>
      </c>
      <c r="B4" s="910" t="s">
        <v>594</v>
      </c>
      <c r="C4" s="910"/>
      <c r="D4" s="910"/>
    </row>
    <row r="5" spans="1:4" x14ac:dyDescent="0.2">
      <c r="A5" s="516" t="s">
        <v>517</v>
      </c>
      <c r="B5" s="905" t="s">
        <v>522</v>
      </c>
      <c r="C5" s="905"/>
      <c r="D5" s="905"/>
    </row>
    <row r="6" spans="1:4" s="514" customFormat="1" ht="25.5" customHeight="1" x14ac:dyDescent="0.2">
      <c r="A6" s="516" t="s">
        <v>520</v>
      </c>
      <c r="B6" s="915" t="s">
        <v>521</v>
      </c>
      <c r="C6" s="916"/>
      <c r="D6" s="917"/>
    </row>
    <row r="7" spans="1:4" x14ac:dyDescent="0.2">
      <c r="A7" s="516" t="s">
        <v>527</v>
      </c>
      <c r="B7" s="906" t="s">
        <v>593</v>
      </c>
      <c r="C7" s="906"/>
      <c r="D7" s="906"/>
    </row>
    <row r="8" spans="1:4" x14ac:dyDescent="0.2">
      <c r="A8" s="516" t="s">
        <v>528</v>
      </c>
      <c r="B8" s="905"/>
      <c r="C8" s="905"/>
      <c r="D8" s="905"/>
    </row>
    <row r="9" spans="1:4" x14ac:dyDescent="0.2">
      <c r="A9" s="516" t="s">
        <v>529</v>
      </c>
      <c r="B9" s="830">
        <v>5</v>
      </c>
      <c r="C9" s="830" t="s">
        <v>467</v>
      </c>
      <c r="D9" s="830">
        <v>2021</v>
      </c>
    </row>
    <row r="10" spans="1:4" x14ac:dyDescent="0.2">
      <c r="A10" s="516" t="s">
        <v>530</v>
      </c>
      <c r="B10" s="830" t="s">
        <v>0</v>
      </c>
      <c r="C10" s="830" t="s">
        <v>1</v>
      </c>
      <c r="D10" s="830">
        <v>2021</v>
      </c>
    </row>
    <row r="11" spans="1:4" x14ac:dyDescent="0.2">
      <c r="A11" s="516" t="s">
        <v>531</v>
      </c>
      <c r="B11" s="830" t="s">
        <v>0</v>
      </c>
      <c r="C11" s="830" t="s">
        <v>1</v>
      </c>
      <c r="D11" s="830">
        <v>2023</v>
      </c>
    </row>
    <row r="12" spans="1:4" s="514" customFormat="1" x14ac:dyDescent="0.2">
      <c r="A12" s="516" t="s">
        <v>532</v>
      </c>
      <c r="B12" s="911" t="s">
        <v>595</v>
      </c>
      <c r="C12" s="912"/>
      <c r="D12" s="913"/>
    </row>
    <row r="13" spans="1:4" x14ac:dyDescent="0.2">
      <c r="A13" s="516" t="s">
        <v>533</v>
      </c>
      <c r="B13" s="907">
        <v>2021</v>
      </c>
      <c r="C13" s="908"/>
      <c r="D13" s="909"/>
    </row>
    <row r="14" spans="1:4" s="514" customFormat="1" x14ac:dyDescent="0.2">
      <c r="A14" s="516" t="s">
        <v>534</v>
      </c>
      <c r="B14" s="904" t="s">
        <v>14</v>
      </c>
      <c r="C14" s="904"/>
      <c r="D14" s="904"/>
    </row>
    <row r="15" spans="1:4" s="514" customFormat="1" ht="25.5" x14ac:dyDescent="0.2">
      <c r="A15" s="543" t="s">
        <v>610</v>
      </c>
      <c r="B15" s="915" t="s">
        <v>612</v>
      </c>
      <c r="C15" s="916"/>
      <c r="D15" s="917"/>
    </row>
    <row r="16" spans="1:4" s="514" customFormat="1" ht="38.25" x14ac:dyDescent="0.2">
      <c r="A16" s="515" t="s">
        <v>590</v>
      </c>
      <c r="B16" s="919">
        <f>IF(B7=list!R3,
list!S3,
IF(B7=list!R4,list!S4,list!S5))</f>
        <v>6000000</v>
      </c>
      <c r="C16" s="920"/>
      <c r="D16" s="921"/>
    </row>
    <row r="17" spans="1:4" x14ac:dyDescent="0.2">
      <c r="A17" s="517" t="s">
        <v>568</v>
      </c>
      <c r="B17" s="900" t="s">
        <v>206</v>
      </c>
      <c r="C17" s="900"/>
      <c r="D17" s="900"/>
    </row>
    <row r="18" spans="1:4" ht="25.5" x14ac:dyDescent="0.2">
      <c r="A18" s="771" t="s">
        <v>569</v>
      </c>
      <c r="B18" s="889">
        <v>25000</v>
      </c>
      <c r="C18" s="890"/>
      <c r="D18" s="891"/>
    </row>
    <row r="19" spans="1:4" ht="25.5" customHeight="1" x14ac:dyDescent="0.2">
      <c r="A19" s="771" t="s">
        <v>570</v>
      </c>
      <c r="B19" s="900">
        <v>10</v>
      </c>
      <c r="C19" s="900"/>
      <c r="D19" s="900"/>
    </row>
    <row r="20" spans="1:4" ht="25.5" x14ac:dyDescent="0.2">
      <c r="A20" s="771" t="s">
        <v>571</v>
      </c>
      <c r="B20" s="896">
        <v>0.02</v>
      </c>
      <c r="C20" s="900"/>
      <c r="D20" s="900"/>
    </row>
    <row r="21" spans="1:4" s="514" customFormat="1" ht="25.5" x14ac:dyDescent="0.2">
      <c r="A21" s="772" t="s">
        <v>572</v>
      </c>
      <c r="B21" s="918" t="str">
        <f>IF('14.RL Investīciju naudas plūsma'!AD18&gt;0, IF(('14.RL Investīciju naudas plūsma'!AD18-'14.RL Investīciju naudas plūsma'!AD19+'14.RL Investīciju naudas plūsma'!AD23)&gt;0,"IEŅĒMUMUS GŪSTOŠS","IEŅĒMUMUS NEGŪSTOŠS PROJEKTS"), "IEŅĒMUMUS NEGŪSTOŠS PROJEKTS")</f>
        <v>IEŅĒMUMUS GŪSTOŠS</v>
      </c>
      <c r="C21" s="918"/>
      <c r="D21" s="918"/>
    </row>
    <row r="22" spans="1:4" ht="51" x14ac:dyDescent="0.2">
      <c r="A22" s="772" t="s">
        <v>573</v>
      </c>
      <c r="B22" s="887">
        <v>0.8</v>
      </c>
      <c r="C22" s="888"/>
      <c r="D22" s="888"/>
    </row>
    <row r="23" spans="1:4" ht="51" x14ac:dyDescent="0.2">
      <c r="A23" s="772" t="s">
        <v>574</v>
      </c>
      <c r="B23" s="887">
        <v>0.85</v>
      </c>
      <c r="C23" s="888"/>
      <c r="D23" s="888"/>
    </row>
    <row r="24" spans="1:4" ht="38.25" x14ac:dyDescent="0.2">
      <c r="A24" s="773" t="s">
        <v>575</v>
      </c>
      <c r="B24" s="892">
        <v>0.04</v>
      </c>
      <c r="C24" s="892"/>
      <c r="D24" s="892"/>
    </row>
    <row r="25" spans="1:4" ht="38.25" x14ac:dyDescent="0.2">
      <c r="A25" s="773" t="s">
        <v>576</v>
      </c>
      <c r="B25" s="893">
        <v>0.05</v>
      </c>
      <c r="C25" s="894"/>
      <c r="D25" s="895"/>
    </row>
    <row r="26" spans="1:4" ht="38.25" x14ac:dyDescent="0.2">
      <c r="A26" s="773" t="s">
        <v>577</v>
      </c>
      <c r="B26" s="889">
        <v>80000</v>
      </c>
      <c r="C26" s="890"/>
      <c r="D26" s="891"/>
    </row>
    <row r="27" spans="1:4" ht="51" x14ac:dyDescent="0.2">
      <c r="A27" s="773" t="s">
        <v>578</v>
      </c>
      <c r="B27" s="889">
        <v>25000</v>
      </c>
      <c r="C27" s="890"/>
      <c r="D27" s="891"/>
    </row>
    <row r="28" spans="1:4" ht="25.5" x14ac:dyDescent="0.2">
      <c r="A28" s="773" t="s">
        <v>579</v>
      </c>
      <c r="B28" s="897"/>
      <c r="C28" s="898"/>
      <c r="D28" s="899"/>
    </row>
    <row r="29" spans="1:4" x14ac:dyDescent="0.2">
      <c r="A29" s="771" t="s">
        <v>580</v>
      </c>
      <c r="B29" s="896" t="s">
        <v>446</v>
      </c>
      <c r="C29" s="896"/>
      <c r="D29" s="896"/>
    </row>
    <row r="30" spans="1:4" ht="25.5" x14ac:dyDescent="0.2">
      <c r="A30" s="771" t="s">
        <v>581</v>
      </c>
      <c r="B30" s="900" t="s">
        <v>446</v>
      </c>
      <c r="C30" s="900"/>
      <c r="D30" s="900"/>
    </row>
    <row r="31" spans="1:4" ht="27" customHeight="1" x14ac:dyDescent="0.2">
      <c r="A31" s="771" t="s">
        <v>582</v>
      </c>
      <c r="B31" s="884" t="s">
        <v>446</v>
      </c>
      <c r="C31" s="885"/>
      <c r="D31" s="886"/>
    </row>
    <row r="32" spans="1:4" ht="25.5" x14ac:dyDescent="0.2">
      <c r="A32" s="771" t="s">
        <v>583</v>
      </c>
      <c r="B32" s="901" t="s">
        <v>446</v>
      </c>
      <c r="C32" s="901"/>
      <c r="D32" s="901"/>
    </row>
    <row r="33" spans="1:27" ht="77.099999999999994" customHeight="1" x14ac:dyDescent="0.2">
      <c r="A33" s="883" t="s">
        <v>584</v>
      </c>
      <c r="B33" s="774" t="s">
        <v>596</v>
      </c>
      <c r="C33" s="775">
        <f>D10</f>
        <v>2021</v>
      </c>
      <c r="D33" s="775">
        <f>1+C33</f>
        <v>2022</v>
      </c>
      <c r="E33" s="775">
        <f t="shared" ref="E33:F33" si="0">1+D33</f>
        <v>2023</v>
      </c>
      <c r="F33" s="866">
        <f t="shared" si="0"/>
        <v>2024</v>
      </c>
      <c r="G33" s="868"/>
      <c r="H33" s="867"/>
      <c r="I33" s="751"/>
    </row>
    <row r="34" spans="1:27" ht="24.95" customHeight="1" x14ac:dyDescent="0.2">
      <c r="A34" s="883"/>
      <c r="B34" s="829"/>
      <c r="C34" s="829"/>
      <c r="D34" s="829"/>
      <c r="E34" s="829"/>
      <c r="F34" s="865"/>
      <c r="G34" s="869"/>
      <c r="H34" s="752"/>
      <c r="I34" s="752"/>
    </row>
    <row r="35" spans="1:27" ht="93" customHeight="1" x14ac:dyDescent="0.2">
      <c r="A35" s="883" t="s">
        <v>585</v>
      </c>
      <c r="B35" s="774" t="s">
        <v>596</v>
      </c>
      <c r="C35" s="775">
        <f>D10</f>
        <v>2021</v>
      </c>
      <c r="D35" s="775">
        <f>1+C35</f>
        <v>2022</v>
      </c>
      <c r="E35" s="775">
        <f t="shared" ref="E35:F35" si="1">1+D35</f>
        <v>2023</v>
      </c>
      <c r="F35" s="866">
        <f t="shared" si="1"/>
        <v>2024</v>
      </c>
      <c r="G35" s="868"/>
      <c r="H35" s="867"/>
      <c r="I35" s="751"/>
    </row>
    <row r="36" spans="1:27" x14ac:dyDescent="0.2">
      <c r="A36" s="883"/>
      <c r="B36" s="829"/>
      <c r="C36" s="829"/>
      <c r="D36" s="829"/>
      <c r="E36" s="829"/>
      <c r="F36" s="865"/>
      <c r="G36" s="869"/>
      <c r="H36" s="752"/>
      <c r="I36" s="752"/>
    </row>
    <row r="37" spans="1:27" s="514" customFormat="1" x14ac:dyDescent="0.2">
      <c r="A37" s="776"/>
      <c r="B37" s="777"/>
      <c r="C37" s="778"/>
      <c r="D37" s="778"/>
    </row>
    <row r="38" spans="1:27" s="663" customFormat="1" ht="15.75" customHeight="1" x14ac:dyDescent="0.25">
      <c r="A38" s="922" t="s">
        <v>586</v>
      </c>
      <c r="B38" s="923"/>
      <c r="C38" s="923"/>
      <c r="D38" s="923"/>
      <c r="E38" s="923"/>
      <c r="F38" s="923"/>
      <c r="G38" s="923"/>
      <c r="H38" s="923"/>
      <c r="I38" s="924"/>
    </row>
    <row r="39" spans="1:27" s="663" customFormat="1" ht="15" customHeight="1" x14ac:dyDescent="0.25">
      <c r="A39" s="925" t="s">
        <v>211</v>
      </c>
      <c r="B39" s="925"/>
      <c r="C39" s="925"/>
      <c r="D39" s="925"/>
      <c r="E39" s="925"/>
      <c r="F39" s="925"/>
      <c r="G39" s="925"/>
      <c r="H39" s="925"/>
      <c r="I39" s="925"/>
    </row>
    <row r="40" spans="1:27" s="663" customFormat="1" x14ac:dyDescent="0.25">
      <c r="A40" s="779"/>
      <c r="B40" s="780">
        <f>D9</f>
        <v>2021</v>
      </c>
      <c r="C40" s="781">
        <f>1+B40</f>
        <v>2022</v>
      </c>
      <c r="D40" s="781">
        <f t="shared" ref="D40:AA40" si="2">1+C40</f>
        <v>2023</v>
      </c>
      <c r="E40" s="781">
        <f t="shared" si="2"/>
        <v>2024</v>
      </c>
      <c r="F40" s="781">
        <f t="shared" si="2"/>
        <v>2025</v>
      </c>
      <c r="G40" s="781">
        <f t="shared" si="2"/>
        <v>2026</v>
      </c>
      <c r="H40" s="781">
        <f t="shared" si="2"/>
        <v>2027</v>
      </c>
      <c r="I40" s="781">
        <f t="shared" si="2"/>
        <v>2028</v>
      </c>
      <c r="J40" s="781">
        <f t="shared" si="2"/>
        <v>2029</v>
      </c>
      <c r="K40" s="781">
        <f t="shared" si="2"/>
        <v>2030</v>
      </c>
      <c r="L40" s="781">
        <f t="shared" si="2"/>
        <v>2031</v>
      </c>
      <c r="M40" s="781">
        <f t="shared" si="2"/>
        <v>2032</v>
      </c>
      <c r="N40" s="781">
        <f t="shared" si="2"/>
        <v>2033</v>
      </c>
      <c r="O40" s="781">
        <f t="shared" si="2"/>
        <v>2034</v>
      </c>
      <c r="P40" s="781">
        <f t="shared" si="2"/>
        <v>2035</v>
      </c>
      <c r="Q40" s="781">
        <f t="shared" si="2"/>
        <v>2036</v>
      </c>
      <c r="R40" s="781">
        <f t="shared" si="2"/>
        <v>2037</v>
      </c>
      <c r="S40" s="781">
        <f t="shared" si="2"/>
        <v>2038</v>
      </c>
      <c r="T40" s="781">
        <f t="shared" si="2"/>
        <v>2039</v>
      </c>
      <c r="U40" s="781">
        <f t="shared" si="2"/>
        <v>2040</v>
      </c>
      <c r="V40" s="781">
        <f t="shared" si="2"/>
        <v>2041</v>
      </c>
      <c r="W40" s="781">
        <f t="shared" si="2"/>
        <v>2042</v>
      </c>
      <c r="X40" s="781">
        <f t="shared" si="2"/>
        <v>2043</v>
      </c>
      <c r="Y40" s="781">
        <f t="shared" si="2"/>
        <v>2044</v>
      </c>
      <c r="Z40" s="781">
        <f t="shared" si="2"/>
        <v>2045</v>
      </c>
      <c r="AA40" s="782">
        <f t="shared" si="2"/>
        <v>2046</v>
      </c>
    </row>
    <row r="41" spans="1:27" s="523" customFormat="1" x14ac:dyDescent="0.2">
      <c r="A41" s="783" t="s">
        <v>210</v>
      </c>
      <c r="B41" s="169">
        <v>5000</v>
      </c>
      <c r="C41" s="169">
        <v>5000</v>
      </c>
      <c r="D41" s="169">
        <v>5000</v>
      </c>
      <c r="E41" s="169">
        <v>5000</v>
      </c>
      <c r="F41" s="169">
        <v>5000</v>
      </c>
      <c r="G41" s="169">
        <v>5000</v>
      </c>
      <c r="H41" s="169">
        <v>5000</v>
      </c>
      <c r="I41" s="169">
        <v>5000</v>
      </c>
      <c r="J41" s="169">
        <v>5000</v>
      </c>
      <c r="K41" s="169">
        <v>5000</v>
      </c>
      <c r="L41" s="169">
        <v>5000</v>
      </c>
      <c r="M41" s="169">
        <v>5000</v>
      </c>
      <c r="N41" s="169">
        <v>5000</v>
      </c>
      <c r="O41" s="169">
        <v>5000</v>
      </c>
      <c r="P41" s="169">
        <v>5000</v>
      </c>
      <c r="Q41" s="169">
        <v>5000</v>
      </c>
      <c r="R41" s="169">
        <v>5000</v>
      </c>
      <c r="S41" s="169">
        <v>5000</v>
      </c>
      <c r="T41" s="169">
        <v>5000</v>
      </c>
      <c r="U41" s="169">
        <v>5000</v>
      </c>
      <c r="V41" s="169">
        <v>5000</v>
      </c>
      <c r="W41" s="169">
        <v>5000</v>
      </c>
      <c r="X41" s="169">
        <v>5000</v>
      </c>
      <c r="Y41" s="169">
        <v>5000</v>
      </c>
      <c r="Z41" s="169">
        <v>5000</v>
      </c>
      <c r="AA41" s="169">
        <v>5000</v>
      </c>
    </row>
    <row r="42" spans="1:27" s="663" customFormat="1" x14ac:dyDescent="0.2">
      <c r="A42" s="661" t="s">
        <v>207</v>
      </c>
      <c r="B42" s="662">
        <f>SUM(B44:B59,B61:B74)</f>
        <v>200</v>
      </c>
      <c r="C42" s="662">
        <f t="shared" ref="C42:Z42" si="3">SUM(C44:C59,C61:C74)</f>
        <v>200</v>
      </c>
      <c r="D42" s="662">
        <f t="shared" si="3"/>
        <v>200</v>
      </c>
      <c r="E42" s="662">
        <f t="shared" si="3"/>
        <v>200</v>
      </c>
      <c r="F42" s="662">
        <f t="shared" si="3"/>
        <v>200</v>
      </c>
      <c r="G42" s="662">
        <f t="shared" si="3"/>
        <v>200</v>
      </c>
      <c r="H42" s="662">
        <f t="shared" si="3"/>
        <v>200</v>
      </c>
      <c r="I42" s="662">
        <f t="shared" si="3"/>
        <v>200</v>
      </c>
      <c r="J42" s="662">
        <f t="shared" si="3"/>
        <v>200</v>
      </c>
      <c r="K42" s="662">
        <f t="shared" si="3"/>
        <v>200</v>
      </c>
      <c r="L42" s="662">
        <f t="shared" si="3"/>
        <v>200</v>
      </c>
      <c r="M42" s="662">
        <f t="shared" si="3"/>
        <v>200</v>
      </c>
      <c r="N42" s="662">
        <f t="shared" si="3"/>
        <v>200</v>
      </c>
      <c r="O42" s="662">
        <f t="shared" si="3"/>
        <v>200</v>
      </c>
      <c r="P42" s="662">
        <f t="shared" si="3"/>
        <v>200</v>
      </c>
      <c r="Q42" s="662">
        <f t="shared" si="3"/>
        <v>200</v>
      </c>
      <c r="R42" s="662">
        <f t="shared" si="3"/>
        <v>200</v>
      </c>
      <c r="S42" s="662">
        <f t="shared" si="3"/>
        <v>200</v>
      </c>
      <c r="T42" s="662">
        <f t="shared" si="3"/>
        <v>200</v>
      </c>
      <c r="U42" s="662">
        <f t="shared" si="3"/>
        <v>200</v>
      </c>
      <c r="V42" s="662">
        <f t="shared" si="3"/>
        <v>200</v>
      </c>
      <c r="W42" s="662">
        <f t="shared" si="3"/>
        <v>200</v>
      </c>
      <c r="X42" s="662">
        <f t="shared" si="3"/>
        <v>200</v>
      </c>
      <c r="Y42" s="662">
        <f t="shared" si="3"/>
        <v>200</v>
      </c>
      <c r="Z42" s="662">
        <f t="shared" si="3"/>
        <v>200</v>
      </c>
      <c r="AA42" s="662">
        <v>200</v>
      </c>
    </row>
    <row r="43" spans="1:27" s="663" customFormat="1" ht="14.25" customHeight="1" x14ac:dyDescent="0.25">
      <c r="A43" s="663" t="s">
        <v>208</v>
      </c>
      <c r="B43" s="784"/>
      <c r="C43" s="784"/>
      <c r="D43" s="784"/>
      <c r="E43" s="784"/>
      <c r="F43" s="784"/>
      <c r="G43" s="784"/>
      <c r="H43" s="784"/>
      <c r="I43" s="784"/>
      <c r="J43" s="784"/>
      <c r="K43" s="784"/>
      <c r="L43" s="784"/>
      <c r="M43" s="784"/>
      <c r="N43" s="784"/>
      <c r="O43" s="784"/>
      <c r="P43" s="784"/>
      <c r="Q43" s="784"/>
      <c r="R43" s="784"/>
      <c r="S43" s="784"/>
      <c r="T43" s="784"/>
      <c r="U43" s="784"/>
      <c r="V43" s="784"/>
      <c r="W43" s="784"/>
      <c r="X43" s="784"/>
      <c r="Y43" s="784"/>
      <c r="Z43" s="784"/>
      <c r="AA43" s="784"/>
    </row>
    <row r="44" spans="1:27" s="523" customFormat="1" x14ac:dyDescent="0.2">
      <c r="A44" s="170"/>
      <c r="B44" s="171">
        <v>200</v>
      </c>
      <c r="C44" s="171">
        <v>200</v>
      </c>
      <c r="D44" s="171">
        <v>200</v>
      </c>
      <c r="E44" s="171">
        <v>200</v>
      </c>
      <c r="F44" s="171">
        <v>200</v>
      </c>
      <c r="G44" s="171">
        <v>200</v>
      </c>
      <c r="H44" s="171">
        <v>200</v>
      </c>
      <c r="I44" s="171">
        <v>200</v>
      </c>
      <c r="J44" s="171">
        <v>200</v>
      </c>
      <c r="K44" s="171">
        <v>200</v>
      </c>
      <c r="L44" s="171">
        <v>200</v>
      </c>
      <c r="M44" s="171">
        <v>200</v>
      </c>
      <c r="N44" s="171">
        <v>200</v>
      </c>
      <c r="O44" s="171">
        <v>200</v>
      </c>
      <c r="P44" s="171">
        <v>200</v>
      </c>
      <c r="Q44" s="171">
        <v>200</v>
      </c>
      <c r="R44" s="171">
        <v>200</v>
      </c>
      <c r="S44" s="171">
        <v>200</v>
      </c>
      <c r="T44" s="171">
        <v>200</v>
      </c>
      <c r="U44" s="171">
        <v>200</v>
      </c>
      <c r="V44" s="171">
        <v>200</v>
      </c>
      <c r="W44" s="171">
        <v>200</v>
      </c>
      <c r="X44" s="171">
        <v>200</v>
      </c>
      <c r="Y44" s="171">
        <v>200</v>
      </c>
      <c r="Z44" s="171">
        <v>200</v>
      </c>
      <c r="AA44" s="171">
        <v>1500</v>
      </c>
    </row>
    <row r="45" spans="1:27" s="523" customFormat="1" x14ac:dyDescent="0.2">
      <c r="A45" s="170"/>
      <c r="B45" s="172"/>
      <c r="C45" s="171"/>
      <c r="D45" s="172"/>
      <c r="E45" s="171"/>
      <c r="F45" s="172"/>
      <c r="G45" s="172"/>
      <c r="H45" s="172"/>
      <c r="I45" s="172"/>
      <c r="J45" s="172"/>
      <c r="K45" s="171"/>
      <c r="L45" s="171"/>
      <c r="M45" s="173"/>
      <c r="N45" s="173"/>
      <c r="O45" s="173"/>
      <c r="P45" s="173"/>
      <c r="Q45" s="173"/>
      <c r="R45" s="173"/>
      <c r="S45" s="173"/>
      <c r="T45" s="173"/>
      <c r="U45" s="173"/>
      <c r="V45" s="524"/>
      <c r="W45" s="524"/>
      <c r="X45" s="524"/>
      <c r="Y45" s="524"/>
      <c r="Z45" s="524"/>
      <c r="AA45" s="524"/>
    </row>
    <row r="46" spans="1:27" s="523" customFormat="1" x14ac:dyDescent="0.2">
      <c r="A46" s="170"/>
      <c r="B46" s="172"/>
      <c r="C46" s="171"/>
      <c r="D46" s="172"/>
      <c r="E46" s="171"/>
      <c r="F46" s="172"/>
      <c r="G46" s="172"/>
      <c r="H46" s="172"/>
      <c r="I46" s="172"/>
      <c r="J46" s="172"/>
      <c r="K46" s="171"/>
      <c r="L46" s="171"/>
      <c r="M46" s="173"/>
      <c r="N46" s="173"/>
      <c r="O46" s="173"/>
      <c r="P46" s="173"/>
      <c r="Q46" s="173"/>
      <c r="R46" s="173"/>
      <c r="S46" s="173"/>
      <c r="T46" s="173"/>
      <c r="U46" s="173"/>
      <c r="V46" s="524"/>
      <c r="W46" s="524"/>
      <c r="X46" s="524"/>
      <c r="Y46" s="524"/>
      <c r="Z46" s="524"/>
      <c r="AA46" s="524"/>
    </row>
    <row r="47" spans="1:27" s="523" customFormat="1" x14ac:dyDescent="0.2">
      <c r="A47" s="170"/>
      <c r="B47" s="172"/>
      <c r="C47" s="172"/>
      <c r="D47" s="172"/>
      <c r="E47" s="171"/>
      <c r="F47" s="172"/>
      <c r="G47" s="172"/>
      <c r="H47" s="172"/>
      <c r="I47" s="172"/>
      <c r="J47" s="172"/>
      <c r="K47" s="171"/>
      <c r="L47" s="720"/>
      <c r="M47" s="720"/>
      <c r="N47" s="720"/>
      <c r="O47" s="720"/>
      <c r="P47" s="720"/>
      <c r="Q47" s="720"/>
      <c r="R47" s="720"/>
      <c r="S47" s="720"/>
      <c r="T47" s="720"/>
      <c r="U47" s="720"/>
      <c r="V47" s="524"/>
      <c r="W47" s="524"/>
      <c r="X47" s="524"/>
      <c r="Y47" s="524"/>
      <c r="Z47" s="524"/>
      <c r="AA47" s="524"/>
    </row>
    <row r="48" spans="1:27" s="523" customFormat="1" x14ac:dyDescent="0.2">
      <c r="A48" s="170"/>
      <c r="B48" s="172"/>
      <c r="C48" s="172"/>
      <c r="D48" s="172"/>
      <c r="E48" s="171"/>
      <c r="F48" s="172"/>
      <c r="G48" s="172"/>
      <c r="H48" s="172"/>
      <c r="I48" s="172"/>
      <c r="J48" s="172"/>
      <c r="K48" s="719"/>
      <c r="L48" s="723"/>
      <c r="M48" s="723"/>
      <c r="N48" s="723"/>
      <c r="O48" s="723"/>
      <c r="P48" s="723"/>
      <c r="Q48" s="723"/>
      <c r="R48" s="723"/>
      <c r="S48" s="723"/>
      <c r="T48" s="723"/>
      <c r="U48" s="723"/>
      <c r="V48" s="524"/>
      <c r="W48" s="524"/>
      <c r="X48" s="524"/>
      <c r="Y48" s="524"/>
      <c r="Z48" s="524"/>
      <c r="AA48" s="524"/>
    </row>
    <row r="49" spans="1:27" s="523" customFormat="1" x14ac:dyDescent="0.2">
      <c r="A49" s="170"/>
      <c r="B49" s="172"/>
      <c r="C49" s="172"/>
      <c r="D49" s="172"/>
      <c r="E49" s="171"/>
      <c r="F49" s="172"/>
      <c r="G49" s="172"/>
      <c r="H49" s="172"/>
      <c r="I49" s="172"/>
      <c r="J49" s="172"/>
      <c r="K49" s="719"/>
      <c r="L49" s="723"/>
      <c r="M49" s="723"/>
      <c r="N49" s="723"/>
      <c r="O49" s="723"/>
      <c r="P49" s="723"/>
      <c r="Q49" s="723"/>
      <c r="R49" s="723"/>
      <c r="S49" s="723"/>
      <c r="T49" s="723"/>
      <c r="U49" s="723"/>
      <c r="V49" s="524"/>
      <c r="W49" s="524"/>
      <c r="X49" s="524"/>
      <c r="Y49" s="524"/>
      <c r="Z49" s="524"/>
      <c r="AA49" s="524"/>
    </row>
    <row r="50" spans="1:27" s="523" customFormat="1" x14ac:dyDescent="0.2">
      <c r="A50" s="170"/>
      <c r="B50" s="172"/>
      <c r="C50" s="172"/>
      <c r="D50" s="172"/>
      <c r="E50" s="171"/>
      <c r="F50" s="172"/>
      <c r="G50" s="172"/>
      <c r="H50" s="172"/>
      <c r="I50" s="172"/>
      <c r="J50" s="172"/>
      <c r="K50" s="719"/>
      <c r="L50" s="723"/>
      <c r="M50" s="723"/>
      <c r="N50" s="723"/>
      <c r="O50" s="723"/>
      <c r="P50" s="723"/>
      <c r="Q50" s="723"/>
      <c r="R50" s="723"/>
      <c r="S50" s="723"/>
      <c r="T50" s="723"/>
      <c r="U50" s="723"/>
      <c r="V50" s="524"/>
      <c r="W50" s="524"/>
      <c r="X50" s="524"/>
      <c r="Y50" s="524"/>
      <c r="Z50" s="524"/>
      <c r="AA50" s="524"/>
    </row>
    <row r="51" spans="1:27" s="523" customFormat="1" x14ac:dyDescent="0.2">
      <c r="A51" s="170"/>
      <c r="B51" s="172"/>
      <c r="C51" s="172"/>
      <c r="D51" s="172"/>
      <c r="E51" s="171"/>
      <c r="F51" s="172"/>
      <c r="G51" s="172"/>
      <c r="H51" s="172"/>
      <c r="I51" s="172"/>
      <c r="J51" s="172"/>
      <c r="K51" s="719"/>
      <c r="L51" s="723"/>
      <c r="M51" s="723"/>
      <c r="N51" s="723"/>
      <c r="O51" s="723"/>
      <c r="P51" s="723"/>
      <c r="Q51" s="723"/>
      <c r="R51" s="723"/>
      <c r="S51" s="723"/>
      <c r="T51" s="723"/>
      <c r="U51" s="723"/>
      <c r="V51" s="524"/>
      <c r="W51" s="524"/>
      <c r="X51" s="524"/>
      <c r="Y51" s="524"/>
      <c r="Z51" s="524"/>
      <c r="AA51" s="524"/>
    </row>
    <row r="52" spans="1:27" s="523" customFormat="1" x14ac:dyDescent="0.2">
      <c r="A52" s="170"/>
      <c r="B52" s="172"/>
      <c r="C52" s="172"/>
      <c r="D52" s="172"/>
      <c r="E52" s="171"/>
      <c r="F52" s="172"/>
      <c r="G52" s="172"/>
      <c r="H52" s="172"/>
      <c r="I52" s="172"/>
      <c r="J52" s="172"/>
      <c r="K52" s="171"/>
      <c r="L52" s="721"/>
      <c r="M52" s="721"/>
      <c r="N52" s="721"/>
      <c r="O52" s="721"/>
      <c r="P52" s="721"/>
      <c r="Q52" s="721"/>
      <c r="R52" s="721"/>
      <c r="S52" s="721"/>
      <c r="T52" s="722"/>
      <c r="U52" s="721"/>
      <c r="V52" s="524"/>
      <c r="W52" s="524"/>
      <c r="X52" s="524"/>
      <c r="Y52" s="524"/>
      <c r="Z52" s="524"/>
      <c r="AA52" s="524"/>
    </row>
    <row r="53" spans="1:27" s="523" customFormat="1" x14ac:dyDescent="0.2">
      <c r="A53" s="170"/>
      <c r="B53" s="172"/>
      <c r="C53" s="172"/>
      <c r="D53" s="172"/>
      <c r="E53" s="172"/>
      <c r="F53" s="172"/>
      <c r="G53" s="172"/>
      <c r="H53" s="172"/>
      <c r="I53" s="172"/>
      <c r="J53" s="172"/>
      <c r="K53" s="171"/>
      <c r="L53" s="172"/>
      <c r="M53" s="172"/>
      <c r="N53" s="172"/>
      <c r="O53" s="172"/>
      <c r="P53" s="172"/>
      <c r="Q53" s="172"/>
      <c r="R53" s="172"/>
      <c r="S53" s="172"/>
      <c r="T53" s="173"/>
      <c r="U53" s="172"/>
      <c r="V53" s="524"/>
      <c r="W53" s="524"/>
      <c r="X53" s="524"/>
      <c r="Y53" s="524"/>
      <c r="Z53" s="524"/>
      <c r="AA53" s="524"/>
    </row>
    <row r="54" spans="1:27" s="523" customFormat="1" x14ac:dyDescent="0.25">
      <c r="A54" s="170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524"/>
      <c r="W54" s="524"/>
      <c r="X54" s="524"/>
      <c r="Y54" s="524"/>
      <c r="Z54" s="524"/>
      <c r="AA54" s="524"/>
    </row>
    <row r="55" spans="1:27" s="523" customFormat="1" x14ac:dyDescent="0.25">
      <c r="A55" s="170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524"/>
      <c r="W55" s="524"/>
      <c r="X55" s="524"/>
      <c r="Y55" s="524"/>
      <c r="Z55" s="524"/>
      <c r="AA55" s="524"/>
    </row>
    <row r="56" spans="1:27" s="523" customFormat="1" x14ac:dyDescent="0.25">
      <c r="A56" s="170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524"/>
      <c r="W56" s="524"/>
      <c r="X56" s="524"/>
      <c r="Y56" s="524"/>
      <c r="Z56" s="524"/>
      <c r="AA56" s="524"/>
    </row>
    <row r="57" spans="1:27" s="523" customFormat="1" x14ac:dyDescent="0.25">
      <c r="A57" s="170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524"/>
      <c r="W57" s="524"/>
      <c r="X57" s="524"/>
      <c r="Y57" s="524"/>
      <c r="Z57" s="524"/>
      <c r="AA57" s="524"/>
    </row>
    <row r="58" spans="1:27" s="523" customFormat="1" x14ac:dyDescent="0.25">
      <c r="A58" s="170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524"/>
      <c r="W58" s="524"/>
      <c r="X58" s="524"/>
      <c r="Y58" s="524"/>
      <c r="Z58" s="524"/>
      <c r="AA58" s="524"/>
    </row>
    <row r="59" spans="1:27" s="523" customFormat="1" x14ac:dyDescent="0.25">
      <c r="A59" s="525"/>
      <c r="B59" s="524"/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  <c r="Q59" s="524"/>
      <c r="R59" s="524"/>
      <c r="S59" s="524"/>
      <c r="T59" s="524"/>
      <c r="U59" s="524"/>
      <c r="V59" s="524"/>
      <c r="W59" s="524"/>
      <c r="X59" s="524"/>
      <c r="Y59" s="524"/>
      <c r="Z59" s="524"/>
      <c r="AA59" s="524"/>
    </row>
    <row r="60" spans="1:27" s="663" customFormat="1" x14ac:dyDescent="0.25">
      <c r="A60" s="663" t="s">
        <v>209</v>
      </c>
      <c r="B60" s="785"/>
      <c r="C60" s="785"/>
      <c r="D60" s="785"/>
      <c r="E60" s="785"/>
      <c r="F60" s="785"/>
      <c r="G60" s="785"/>
      <c r="H60" s="785"/>
      <c r="I60" s="785"/>
      <c r="J60" s="785"/>
      <c r="K60" s="785"/>
      <c r="L60" s="785"/>
      <c r="M60" s="785"/>
      <c r="N60" s="785"/>
      <c r="O60" s="785"/>
      <c r="P60" s="785"/>
      <c r="Q60" s="785"/>
      <c r="R60" s="785"/>
      <c r="S60" s="785"/>
      <c r="T60" s="785"/>
      <c r="U60" s="785"/>
      <c r="V60" s="785"/>
      <c r="W60" s="785"/>
      <c r="X60" s="785"/>
      <c r="Y60" s="785"/>
      <c r="Z60" s="785"/>
      <c r="AA60" s="785"/>
    </row>
    <row r="61" spans="1:27" s="523" customFormat="1" x14ac:dyDescent="0.2">
      <c r="A61" s="170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3"/>
      <c r="S61" s="524"/>
      <c r="T61" s="524"/>
      <c r="U61" s="524"/>
      <c r="V61" s="524"/>
      <c r="W61" s="524"/>
      <c r="X61" s="524"/>
      <c r="Y61" s="524"/>
      <c r="Z61" s="524"/>
      <c r="AA61" s="524"/>
    </row>
    <row r="62" spans="1:27" s="523" customFormat="1" x14ac:dyDescent="0.25">
      <c r="A62" s="174"/>
      <c r="B62" s="524"/>
      <c r="C62" s="524"/>
      <c r="D62" s="524"/>
      <c r="E62" s="524"/>
      <c r="F62" s="524"/>
      <c r="G62" s="524"/>
      <c r="H62" s="524"/>
      <c r="I62" s="524"/>
      <c r="J62" s="524"/>
      <c r="K62" s="524"/>
      <c r="L62" s="524"/>
      <c r="M62" s="524"/>
      <c r="N62" s="524"/>
      <c r="O62" s="524"/>
      <c r="P62" s="524"/>
      <c r="Q62" s="524"/>
      <c r="R62" s="524"/>
      <c r="S62" s="524"/>
      <c r="T62" s="524"/>
      <c r="U62" s="524"/>
      <c r="V62" s="524"/>
      <c r="W62" s="524"/>
      <c r="X62" s="524"/>
      <c r="Y62" s="524"/>
      <c r="Z62" s="524"/>
      <c r="AA62" s="524"/>
    </row>
    <row r="63" spans="1:27" s="523" customFormat="1" x14ac:dyDescent="0.25">
      <c r="A63" s="174"/>
      <c r="B63" s="524"/>
      <c r="C63" s="524"/>
      <c r="D63" s="524"/>
      <c r="E63" s="524"/>
      <c r="F63" s="524"/>
      <c r="G63" s="524"/>
      <c r="H63" s="524"/>
      <c r="I63" s="524"/>
      <c r="J63" s="524"/>
      <c r="K63" s="524"/>
      <c r="L63" s="524"/>
      <c r="M63" s="524"/>
      <c r="N63" s="524"/>
      <c r="O63" s="524"/>
      <c r="P63" s="524"/>
      <c r="Q63" s="524"/>
      <c r="R63" s="524"/>
      <c r="S63" s="524"/>
      <c r="T63" s="524"/>
      <c r="U63" s="524"/>
      <c r="V63" s="524"/>
      <c r="W63" s="524"/>
      <c r="X63" s="524"/>
      <c r="Y63" s="524"/>
      <c r="Z63" s="524"/>
      <c r="AA63" s="524"/>
    </row>
    <row r="64" spans="1:27" s="523" customFormat="1" x14ac:dyDescent="0.25">
      <c r="A64" s="174"/>
      <c r="B64" s="524"/>
      <c r="C64" s="524"/>
      <c r="D64" s="524"/>
      <c r="E64" s="524"/>
      <c r="F64" s="524"/>
      <c r="G64" s="524"/>
      <c r="H64" s="524"/>
      <c r="I64" s="524"/>
      <c r="J64" s="524"/>
      <c r="K64" s="524"/>
      <c r="L64" s="524"/>
      <c r="M64" s="524"/>
      <c r="N64" s="524"/>
      <c r="O64" s="524"/>
      <c r="P64" s="524"/>
      <c r="Q64" s="524"/>
      <c r="R64" s="524"/>
      <c r="S64" s="524"/>
      <c r="T64" s="524"/>
      <c r="U64" s="524"/>
      <c r="V64" s="524"/>
      <c r="W64" s="524"/>
      <c r="X64" s="524"/>
      <c r="Y64" s="524"/>
      <c r="Z64" s="524"/>
      <c r="AA64" s="524"/>
    </row>
    <row r="65" spans="1:27" s="523" customFormat="1" x14ac:dyDescent="0.25">
      <c r="A65" s="174"/>
      <c r="B65" s="524"/>
      <c r="C65" s="524"/>
      <c r="D65" s="524"/>
      <c r="E65" s="524"/>
      <c r="F65" s="524"/>
      <c r="G65" s="524"/>
      <c r="H65" s="524"/>
      <c r="I65" s="524"/>
      <c r="J65" s="524"/>
      <c r="K65" s="524"/>
      <c r="L65" s="524"/>
      <c r="M65" s="524"/>
      <c r="N65" s="524"/>
      <c r="O65" s="524"/>
      <c r="P65" s="524"/>
      <c r="Q65" s="524"/>
      <c r="R65" s="524"/>
      <c r="S65" s="524"/>
      <c r="T65" s="524"/>
      <c r="U65" s="524"/>
      <c r="V65" s="524"/>
      <c r="W65" s="524"/>
      <c r="X65" s="524"/>
      <c r="Y65" s="524"/>
      <c r="Z65" s="524"/>
      <c r="AA65" s="524"/>
    </row>
    <row r="66" spans="1:27" s="523" customFormat="1" x14ac:dyDescent="0.25">
      <c r="A66" s="175"/>
      <c r="B66" s="524"/>
      <c r="C66" s="524"/>
      <c r="D66" s="524"/>
      <c r="E66" s="524"/>
      <c r="F66" s="524"/>
      <c r="G66" s="524"/>
      <c r="H66" s="524"/>
      <c r="I66" s="524"/>
      <c r="J66" s="524"/>
      <c r="K66" s="524"/>
      <c r="L66" s="524"/>
      <c r="M66" s="524"/>
      <c r="N66" s="524"/>
      <c r="O66" s="524"/>
      <c r="P66" s="524"/>
      <c r="Q66" s="524"/>
      <c r="R66" s="524"/>
      <c r="S66" s="524"/>
      <c r="T66" s="524"/>
      <c r="U66" s="524"/>
      <c r="V66" s="524"/>
      <c r="W66" s="524"/>
      <c r="X66" s="524"/>
      <c r="Y66" s="524"/>
      <c r="Z66" s="524"/>
      <c r="AA66" s="524"/>
    </row>
    <row r="67" spans="1:27" s="523" customFormat="1" x14ac:dyDescent="0.25">
      <c r="A67" s="525"/>
      <c r="B67" s="524"/>
      <c r="C67" s="524"/>
      <c r="D67" s="524"/>
      <c r="E67" s="524"/>
      <c r="F67" s="524"/>
      <c r="G67" s="524"/>
      <c r="H67" s="524"/>
      <c r="I67" s="524"/>
      <c r="J67" s="524"/>
      <c r="K67" s="524"/>
      <c r="L67" s="524"/>
      <c r="M67" s="524"/>
      <c r="N67" s="524"/>
      <c r="O67" s="524"/>
      <c r="P67" s="524"/>
      <c r="Q67" s="524"/>
      <c r="R67" s="524"/>
      <c r="S67" s="524"/>
      <c r="T67" s="524"/>
      <c r="U67" s="524"/>
      <c r="V67" s="524"/>
      <c r="W67" s="524"/>
      <c r="X67" s="524"/>
      <c r="Y67" s="524"/>
      <c r="Z67" s="524"/>
      <c r="AA67" s="524"/>
    </row>
    <row r="68" spans="1:27" s="523" customFormat="1" x14ac:dyDescent="0.25">
      <c r="A68" s="525"/>
      <c r="B68" s="524"/>
      <c r="C68" s="524"/>
      <c r="D68" s="524"/>
      <c r="E68" s="524"/>
      <c r="F68" s="524"/>
      <c r="G68" s="524"/>
      <c r="H68" s="524"/>
      <c r="I68" s="524"/>
      <c r="J68" s="524"/>
      <c r="K68" s="524"/>
      <c r="L68" s="524"/>
      <c r="M68" s="524"/>
      <c r="N68" s="524"/>
      <c r="O68" s="524"/>
      <c r="P68" s="524"/>
      <c r="Q68" s="524"/>
      <c r="R68" s="524"/>
      <c r="S68" s="524"/>
      <c r="T68" s="524"/>
      <c r="U68" s="524"/>
      <c r="V68" s="524"/>
      <c r="W68" s="524"/>
      <c r="X68" s="524"/>
      <c r="Y68" s="524"/>
      <c r="Z68" s="524"/>
      <c r="AA68" s="524"/>
    </row>
    <row r="69" spans="1:27" s="523" customFormat="1" x14ac:dyDescent="0.25">
      <c r="A69" s="525"/>
      <c r="B69" s="524"/>
      <c r="C69" s="524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524"/>
      <c r="P69" s="524"/>
      <c r="Q69" s="524"/>
      <c r="R69" s="524"/>
      <c r="S69" s="524"/>
      <c r="T69" s="524"/>
      <c r="U69" s="524"/>
      <c r="V69" s="524"/>
      <c r="W69" s="524"/>
      <c r="X69" s="524"/>
      <c r="Y69" s="524"/>
      <c r="Z69" s="524"/>
      <c r="AA69" s="524"/>
    </row>
    <row r="70" spans="1:27" s="523" customFormat="1" x14ac:dyDescent="0.25">
      <c r="A70" s="525"/>
      <c r="B70" s="524"/>
      <c r="C70" s="524"/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524"/>
      <c r="Q70" s="524"/>
      <c r="R70" s="524"/>
      <c r="S70" s="524"/>
      <c r="T70" s="524"/>
      <c r="U70" s="524"/>
      <c r="V70" s="524"/>
      <c r="W70" s="524"/>
      <c r="X70" s="524"/>
      <c r="Y70" s="524"/>
      <c r="Z70" s="524"/>
      <c r="AA70" s="524"/>
    </row>
    <row r="71" spans="1:27" s="523" customFormat="1" x14ac:dyDescent="0.25">
      <c r="A71" s="525"/>
      <c r="B71" s="524"/>
      <c r="C71" s="524"/>
      <c r="D71" s="524"/>
      <c r="E71" s="524"/>
      <c r="F71" s="524"/>
      <c r="G71" s="524"/>
      <c r="H71" s="524"/>
      <c r="I71" s="524"/>
      <c r="J71" s="524"/>
      <c r="K71" s="524"/>
      <c r="L71" s="524"/>
      <c r="M71" s="524"/>
      <c r="N71" s="524"/>
      <c r="O71" s="524"/>
      <c r="P71" s="524"/>
      <c r="Q71" s="524"/>
      <c r="R71" s="524"/>
      <c r="S71" s="524"/>
      <c r="T71" s="524"/>
      <c r="U71" s="524"/>
      <c r="V71" s="524"/>
      <c r="W71" s="524"/>
      <c r="X71" s="524"/>
      <c r="Y71" s="524"/>
      <c r="Z71" s="524"/>
      <c r="AA71" s="524"/>
    </row>
    <row r="72" spans="1:27" s="523" customFormat="1" x14ac:dyDescent="0.25">
      <c r="A72" s="525"/>
      <c r="B72" s="524"/>
      <c r="C72" s="524"/>
      <c r="D72" s="524"/>
      <c r="E72" s="524"/>
      <c r="F72" s="524"/>
      <c r="G72" s="524"/>
      <c r="H72" s="524"/>
      <c r="I72" s="524"/>
      <c r="J72" s="524"/>
      <c r="K72" s="524"/>
      <c r="L72" s="524"/>
      <c r="M72" s="524"/>
      <c r="N72" s="524"/>
      <c r="O72" s="524"/>
      <c r="P72" s="524"/>
      <c r="Q72" s="524"/>
      <c r="R72" s="524"/>
      <c r="S72" s="524"/>
      <c r="T72" s="524"/>
      <c r="U72" s="524"/>
      <c r="V72" s="524"/>
      <c r="W72" s="524"/>
      <c r="X72" s="524"/>
      <c r="Y72" s="524"/>
      <c r="Z72" s="524"/>
      <c r="AA72" s="524"/>
    </row>
    <row r="73" spans="1:27" s="523" customFormat="1" x14ac:dyDescent="0.25">
      <c r="A73" s="525"/>
      <c r="B73" s="524"/>
      <c r="C73" s="524"/>
      <c r="D73" s="524"/>
      <c r="E73" s="524"/>
      <c r="F73" s="524"/>
      <c r="G73" s="524"/>
      <c r="H73" s="524"/>
      <c r="I73" s="524"/>
      <c r="J73" s="524"/>
      <c r="K73" s="524"/>
      <c r="L73" s="524"/>
      <c r="M73" s="524"/>
      <c r="N73" s="524"/>
      <c r="O73" s="524"/>
      <c r="P73" s="524"/>
      <c r="Q73" s="524"/>
      <c r="R73" s="524"/>
      <c r="S73" s="524"/>
      <c r="T73" s="524"/>
      <c r="U73" s="524"/>
      <c r="V73" s="524"/>
      <c r="W73" s="524"/>
      <c r="X73" s="524"/>
      <c r="Y73" s="524"/>
      <c r="Z73" s="524"/>
      <c r="AA73" s="524"/>
    </row>
    <row r="74" spans="1:27" s="523" customFormat="1" x14ac:dyDescent="0.25">
      <c r="A74" s="525"/>
      <c r="B74" s="524"/>
      <c r="C74" s="524"/>
      <c r="D74" s="524"/>
      <c r="E74" s="524"/>
      <c r="F74" s="524"/>
      <c r="G74" s="524"/>
      <c r="H74" s="524"/>
      <c r="I74" s="524"/>
      <c r="J74" s="524"/>
      <c r="K74" s="524"/>
      <c r="L74" s="524"/>
      <c r="M74" s="524"/>
      <c r="N74" s="524"/>
      <c r="O74" s="524"/>
      <c r="P74" s="524"/>
      <c r="Q74" s="524"/>
      <c r="R74" s="524"/>
      <c r="S74" s="524"/>
      <c r="T74" s="524"/>
      <c r="U74" s="524"/>
      <c r="V74" s="524"/>
      <c r="W74" s="524"/>
      <c r="X74" s="524"/>
      <c r="Y74" s="524"/>
      <c r="Z74" s="524"/>
      <c r="AA74" s="524"/>
    </row>
    <row r="75" spans="1:27" s="514" customFormat="1" x14ac:dyDescent="0.2">
      <c r="A75" s="750" t="s">
        <v>212</v>
      </c>
      <c r="B75" s="518">
        <f>IF(OR($B$30="Jā",$B$32="Aizņēmums",$B$32="Aizņēmums un pašu līdzekļi"),B42/B41,0%)</f>
        <v>0</v>
      </c>
      <c r="C75" s="518">
        <f t="shared" ref="C75:AA75" si="4">IF(OR($B$30="Jā",$B$32="Aizņēmums",$B$32="Aizņēmums un pašu līdzekļi"),C42/C41,0%)</f>
        <v>0</v>
      </c>
      <c r="D75" s="518">
        <f t="shared" si="4"/>
        <v>0</v>
      </c>
      <c r="E75" s="518">
        <f t="shared" si="4"/>
        <v>0</v>
      </c>
      <c r="F75" s="518">
        <f t="shared" si="4"/>
        <v>0</v>
      </c>
      <c r="G75" s="518">
        <f t="shared" si="4"/>
        <v>0</v>
      </c>
      <c r="H75" s="518">
        <f t="shared" si="4"/>
        <v>0</v>
      </c>
      <c r="I75" s="518">
        <f t="shared" si="4"/>
        <v>0</v>
      </c>
      <c r="J75" s="518">
        <f t="shared" si="4"/>
        <v>0</v>
      </c>
      <c r="K75" s="518">
        <f t="shared" si="4"/>
        <v>0</v>
      </c>
      <c r="L75" s="518">
        <f t="shared" si="4"/>
        <v>0</v>
      </c>
      <c r="M75" s="518">
        <f t="shared" si="4"/>
        <v>0</v>
      </c>
      <c r="N75" s="518">
        <f t="shared" si="4"/>
        <v>0</v>
      </c>
      <c r="O75" s="518">
        <f t="shared" si="4"/>
        <v>0</v>
      </c>
      <c r="P75" s="518">
        <f t="shared" si="4"/>
        <v>0</v>
      </c>
      <c r="Q75" s="518">
        <f t="shared" si="4"/>
        <v>0</v>
      </c>
      <c r="R75" s="518">
        <f t="shared" si="4"/>
        <v>0</v>
      </c>
      <c r="S75" s="518">
        <f t="shared" si="4"/>
        <v>0</v>
      </c>
      <c r="T75" s="518">
        <f t="shared" si="4"/>
        <v>0</v>
      </c>
      <c r="U75" s="518">
        <f t="shared" si="4"/>
        <v>0</v>
      </c>
      <c r="V75" s="518">
        <f t="shared" si="4"/>
        <v>0</v>
      </c>
      <c r="W75" s="518">
        <f t="shared" si="4"/>
        <v>0</v>
      </c>
      <c r="X75" s="518">
        <f t="shared" si="4"/>
        <v>0</v>
      </c>
      <c r="Y75" s="518">
        <f t="shared" si="4"/>
        <v>0</v>
      </c>
      <c r="Z75" s="518">
        <f t="shared" si="4"/>
        <v>0</v>
      </c>
      <c r="AA75" s="518">
        <f t="shared" si="4"/>
        <v>0</v>
      </c>
    </row>
    <row r="76" spans="1:27" x14ac:dyDescent="0.2">
      <c r="A76" s="786"/>
      <c r="B76" s="928"/>
      <c r="C76" s="928"/>
      <c r="D76" s="928"/>
      <c r="E76" s="787"/>
      <c r="F76" s="787"/>
      <c r="G76" s="787"/>
      <c r="H76" s="859"/>
      <c r="I76" s="859"/>
      <c r="J76" s="859"/>
      <c r="K76" s="859"/>
      <c r="L76" s="859"/>
      <c r="M76" s="859"/>
      <c r="N76" s="859"/>
      <c r="O76" s="859"/>
      <c r="P76" s="859"/>
      <c r="Q76" s="859"/>
      <c r="R76" s="859"/>
      <c r="S76" s="859"/>
      <c r="T76" s="859"/>
      <c r="U76" s="859"/>
      <c r="V76" s="859"/>
      <c r="W76" s="859"/>
      <c r="X76" s="859"/>
      <c r="Y76" s="859"/>
      <c r="Z76" s="859"/>
      <c r="AA76" s="859"/>
    </row>
    <row r="77" spans="1:27" x14ac:dyDescent="0.2">
      <c r="A77" s="514"/>
      <c r="B77" s="514"/>
      <c r="C77" s="514"/>
      <c r="D77" s="514"/>
      <c r="E77" s="514"/>
      <c r="F77" s="514"/>
      <c r="G77" s="514"/>
    </row>
    <row r="78" spans="1:27" x14ac:dyDescent="0.2">
      <c r="A78" s="926" t="s">
        <v>213</v>
      </c>
      <c r="B78" s="926"/>
      <c r="C78" s="926"/>
      <c r="D78" s="926"/>
      <c r="E78" s="926"/>
      <c r="F78" s="190"/>
      <c r="G78" s="514"/>
    </row>
    <row r="79" spans="1:27" x14ac:dyDescent="0.2">
      <c r="A79" s="930" t="s">
        <v>214</v>
      </c>
      <c r="B79" s="930"/>
      <c r="C79" s="190"/>
      <c r="D79" s="190"/>
      <c r="E79" s="190"/>
      <c r="F79" s="190"/>
      <c r="G79" s="514"/>
    </row>
    <row r="80" spans="1:27" x14ac:dyDescent="0.2">
      <c r="A80" s="929" t="s">
        <v>215</v>
      </c>
      <c r="B80" s="929"/>
      <c r="C80" s="929"/>
      <c r="D80" s="929"/>
      <c r="E80" s="929"/>
      <c r="F80" s="929"/>
      <c r="G80" s="929"/>
    </row>
    <row r="81" spans="1:7" x14ac:dyDescent="0.2">
      <c r="A81" s="929" t="s">
        <v>216</v>
      </c>
      <c r="B81" s="929"/>
      <c r="C81" s="929"/>
      <c r="D81" s="929"/>
      <c r="E81" s="929"/>
      <c r="F81" s="929"/>
      <c r="G81" s="514"/>
    </row>
    <row r="82" spans="1:7" x14ac:dyDescent="0.2">
      <c r="A82" s="929" t="s">
        <v>217</v>
      </c>
      <c r="B82" s="929"/>
      <c r="C82" s="929"/>
      <c r="D82" s="929"/>
      <c r="E82" s="929"/>
      <c r="F82" s="929"/>
      <c r="G82" s="514"/>
    </row>
    <row r="83" spans="1:7" x14ac:dyDescent="0.2">
      <c r="A83" s="190"/>
      <c r="B83" s="190"/>
      <c r="C83" s="190"/>
      <c r="D83" s="190"/>
      <c r="E83" s="190"/>
      <c r="F83" s="190"/>
      <c r="G83" s="514"/>
    </row>
    <row r="84" spans="1:7" x14ac:dyDescent="0.2">
      <c r="A84" s="926" t="s">
        <v>218</v>
      </c>
      <c r="B84" s="926"/>
      <c r="C84" s="926"/>
      <c r="D84" s="926"/>
      <c r="E84" s="926"/>
      <c r="F84" s="190"/>
      <c r="G84" s="514"/>
    </row>
    <row r="85" spans="1:7" ht="25.5" x14ac:dyDescent="0.2">
      <c r="A85" s="788" t="s">
        <v>219</v>
      </c>
      <c r="B85" s="789" t="s">
        <v>220</v>
      </c>
      <c r="C85" s="831" t="s">
        <v>221</v>
      </c>
      <c r="D85" s="190"/>
      <c r="E85" s="927" t="s">
        <v>222</v>
      </c>
      <c r="F85" s="927"/>
      <c r="G85" s="514"/>
    </row>
    <row r="86" spans="1:7" ht="15" customHeight="1" x14ac:dyDescent="0.2">
      <c r="A86" s="790" t="s">
        <v>223</v>
      </c>
      <c r="B86" s="791"/>
      <c r="C86" s="792"/>
      <c r="D86" s="190"/>
      <c r="E86" s="902" t="s">
        <v>224</v>
      </c>
      <c r="F86" s="902"/>
      <c r="G86" s="514"/>
    </row>
    <row r="87" spans="1:7" x14ac:dyDescent="0.2">
      <c r="A87" s="793" t="s">
        <v>422</v>
      </c>
      <c r="B87" s="794"/>
      <c r="C87" s="795"/>
      <c r="D87" s="190"/>
      <c r="E87" s="902"/>
      <c r="F87" s="902"/>
      <c r="G87" s="514"/>
    </row>
    <row r="88" spans="1:7" x14ac:dyDescent="0.2">
      <c r="A88" s="796" t="s">
        <v>225</v>
      </c>
      <c r="B88" s="797"/>
      <c r="C88" s="798"/>
      <c r="D88" s="190"/>
      <c r="E88" s="902"/>
      <c r="F88" s="902"/>
      <c r="G88" s="514"/>
    </row>
    <row r="89" spans="1:7" x14ac:dyDescent="0.2">
      <c r="A89" s="796" t="s">
        <v>49</v>
      </c>
      <c r="B89" s="797"/>
      <c r="C89" s="798"/>
      <c r="D89" s="190"/>
      <c r="E89" s="902"/>
      <c r="F89" s="902"/>
      <c r="G89" s="514"/>
    </row>
    <row r="90" spans="1:7" x14ac:dyDescent="0.2">
      <c r="A90" s="796" t="s">
        <v>226</v>
      </c>
      <c r="B90" s="797"/>
      <c r="C90" s="798"/>
      <c r="D90" s="190"/>
      <c r="E90" s="902"/>
      <c r="F90" s="902"/>
      <c r="G90" s="514"/>
    </row>
    <row r="91" spans="1:7" x14ac:dyDescent="0.2">
      <c r="A91" s="796" t="s">
        <v>403</v>
      </c>
      <c r="B91" s="797"/>
      <c r="C91" s="798"/>
      <c r="D91" s="190"/>
      <c r="E91" s="902"/>
      <c r="F91" s="902"/>
      <c r="G91" s="514"/>
    </row>
    <row r="92" spans="1:7" x14ac:dyDescent="0.2">
      <c r="A92" s="796" t="s">
        <v>404</v>
      </c>
      <c r="B92" s="797"/>
      <c r="C92" s="798"/>
      <c r="D92" s="190"/>
      <c r="E92" s="902"/>
      <c r="F92" s="902"/>
      <c r="G92" s="514"/>
    </row>
    <row r="93" spans="1:7" x14ac:dyDescent="0.2">
      <c r="A93" s="796" t="s">
        <v>405</v>
      </c>
      <c r="B93" s="797"/>
      <c r="C93" s="798"/>
      <c r="D93" s="190"/>
      <c r="E93" s="902"/>
      <c r="F93" s="902"/>
      <c r="G93" s="514"/>
    </row>
    <row r="94" spans="1:7" x14ac:dyDescent="0.2">
      <c r="A94" s="796" t="s">
        <v>613</v>
      </c>
      <c r="B94" s="797"/>
      <c r="C94" s="798"/>
      <c r="D94" s="190"/>
      <c r="E94" s="902"/>
      <c r="F94" s="902"/>
      <c r="G94" s="514"/>
    </row>
    <row r="95" spans="1:7" x14ac:dyDescent="0.2">
      <c r="A95" s="796" t="s">
        <v>423</v>
      </c>
      <c r="B95" s="797"/>
      <c r="C95" s="799"/>
      <c r="D95" s="190"/>
      <c r="E95" s="902"/>
      <c r="F95" s="902"/>
      <c r="G95" s="514"/>
    </row>
    <row r="96" spans="1:7" ht="15" customHeight="1" x14ac:dyDescent="0.2">
      <c r="A96" s="790" t="s">
        <v>227</v>
      </c>
      <c r="B96" s="791"/>
      <c r="C96" s="792"/>
      <c r="D96" s="190"/>
      <c r="E96" s="902" t="s">
        <v>228</v>
      </c>
      <c r="F96" s="902"/>
      <c r="G96" s="514"/>
    </row>
    <row r="97" spans="1:7" ht="13.5" customHeight="1" x14ac:dyDescent="0.2">
      <c r="A97" s="800" t="s">
        <v>424</v>
      </c>
      <c r="B97" s="801"/>
      <c r="C97" s="802"/>
      <c r="D97" s="190"/>
      <c r="E97" s="902"/>
      <c r="F97" s="902"/>
      <c r="G97" s="514"/>
    </row>
    <row r="98" spans="1:7" ht="12" customHeight="1" x14ac:dyDescent="0.2">
      <c r="A98" s="803" t="s">
        <v>425</v>
      </c>
      <c r="B98" s="804"/>
      <c r="C98" s="805"/>
      <c r="D98" s="190"/>
      <c r="E98" s="902"/>
      <c r="F98" s="902"/>
      <c r="G98" s="514"/>
    </row>
    <row r="99" spans="1:7" ht="15.75" customHeight="1" x14ac:dyDescent="0.2">
      <c r="A99" s="806" t="s">
        <v>426</v>
      </c>
      <c r="B99" s="807"/>
      <c r="C99" s="808"/>
      <c r="D99" s="190"/>
      <c r="E99" s="902"/>
      <c r="F99" s="902"/>
      <c r="G99" s="514"/>
    </row>
    <row r="100" spans="1:7" ht="15" customHeight="1" x14ac:dyDescent="0.2">
      <c r="A100" s="790" t="s">
        <v>229</v>
      </c>
      <c r="B100" s="791"/>
      <c r="C100" s="792"/>
      <c r="D100" s="190"/>
      <c r="E100" s="931" t="s">
        <v>437</v>
      </c>
      <c r="F100" s="932"/>
      <c r="G100" s="514"/>
    </row>
    <row r="101" spans="1:7" ht="16.5" customHeight="1" x14ac:dyDescent="0.2">
      <c r="A101" s="809" t="s">
        <v>427</v>
      </c>
      <c r="B101" s="810"/>
      <c r="C101" s="811"/>
      <c r="D101" s="190"/>
      <c r="E101" s="933"/>
      <c r="F101" s="934"/>
      <c r="G101" s="514"/>
    </row>
    <row r="102" spans="1:7" ht="21" customHeight="1" x14ac:dyDescent="0.2">
      <c r="A102" s="796" t="s">
        <v>536</v>
      </c>
      <c r="B102" s="812"/>
      <c r="C102" s="813"/>
      <c r="D102" s="190"/>
      <c r="E102" s="933"/>
      <c r="F102" s="934"/>
      <c r="G102" s="514"/>
    </row>
    <row r="103" spans="1:7" ht="23.25" customHeight="1" x14ac:dyDescent="0.2">
      <c r="A103" s="814" t="s">
        <v>537</v>
      </c>
      <c r="B103" s="815"/>
      <c r="C103" s="816"/>
      <c r="D103" s="190"/>
      <c r="E103" s="935"/>
      <c r="F103" s="936"/>
      <c r="G103" s="514"/>
    </row>
    <row r="104" spans="1:7" ht="14.25" customHeight="1" x14ac:dyDescent="0.2">
      <c r="A104" s="790" t="s">
        <v>230</v>
      </c>
      <c r="B104" s="791"/>
      <c r="C104" s="792"/>
      <c r="D104" s="190"/>
      <c r="E104" s="902" t="s">
        <v>231</v>
      </c>
      <c r="F104" s="902"/>
      <c r="G104" s="514"/>
    </row>
    <row r="105" spans="1:7" ht="30" customHeight="1" x14ac:dyDescent="0.2">
      <c r="A105" s="814" t="s">
        <v>538</v>
      </c>
      <c r="B105" s="815"/>
      <c r="C105" s="816"/>
      <c r="D105" s="190"/>
      <c r="E105" s="902"/>
      <c r="F105" s="902"/>
      <c r="G105" s="514"/>
    </row>
    <row r="106" spans="1:7" ht="15" customHeight="1" x14ac:dyDescent="0.2">
      <c r="A106" s="790" t="s">
        <v>232</v>
      </c>
      <c r="B106" s="791"/>
      <c r="C106" s="792"/>
      <c r="D106" s="190"/>
      <c r="E106" s="902" t="s">
        <v>233</v>
      </c>
      <c r="F106" s="902"/>
      <c r="G106" s="514"/>
    </row>
    <row r="107" spans="1:7" x14ac:dyDescent="0.2">
      <c r="A107" s="817" t="s">
        <v>539</v>
      </c>
      <c r="B107" s="818"/>
      <c r="C107" s="819"/>
      <c r="D107" s="190"/>
      <c r="E107" s="902"/>
      <c r="F107" s="902"/>
      <c r="G107" s="514"/>
    </row>
    <row r="108" spans="1:7" x14ac:dyDescent="0.2">
      <c r="A108" s="820" t="s">
        <v>540</v>
      </c>
      <c r="B108" s="821"/>
      <c r="C108" s="822"/>
      <c r="D108" s="190"/>
      <c r="E108" s="902"/>
      <c r="F108" s="902"/>
      <c r="G108" s="514"/>
    </row>
    <row r="109" spans="1:7" x14ac:dyDescent="0.2">
      <c r="A109" s="190"/>
      <c r="B109" s="190"/>
      <c r="C109" s="190"/>
      <c r="D109" s="190"/>
      <c r="E109" s="190"/>
      <c r="F109" s="190"/>
      <c r="G109" s="514"/>
    </row>
    <row r="110" spans="1:7" x14ac:dyDescent="0.2">
      <c r="A110" s="823" t="s">
        <v>234</v>
      </c>
      <c r="B110" s="182"/>
      <c r="C110" s="182"/>
      <c r="D110" s="182"/>
      <c r="E110" s="514"/>
      <c r="F110" s="190"/>
      <c r="G110" s="514"/>
    </row>
    <row r="111" spans="1:7" x14ac:dyDescent="0.2">
      <c r="A111" s="824"/>
      <c r="B111" s="823" t="s">
        <v>235</v>
      </c>
      <c r="C111" s="182"/>
      <c r="D111" s="182"/>
      <c r="E111" s="514"/>
      <c r="F111" s="190"/>
      <c r="G111" s="514"/>
    </row>
    <row r="112" spans="1:7" x14ac:dyDescent="0.2">
      <c r="A112" s="825"/>
      <c r="B112" s="823" t="s">
        <v>236</v>
      </c>
      <c r="C112" s="182"/>
      <c r="D112" s="182"/>
      <c r="E112" s="514"/>
      <c r="F112" s="190"/>
      <c r="G112" s="514"/>
    </row>
    <row r="113" spans="1:7" x14ac:dyDescent="0.2">
      <c r="A113" s="519"/>
      <c r="B113" s="823" t="s">
        <v>237</v>
      </c>
      <c r="C113" s="182"/>
      <c r="D113" s="182"/>
      <c r="E113" s="514"/>
      <c r="F113" s="190"/>
      <c r="G113" s="514"/>
    </row>
    <row r="114" spans="1:7" x14ac:dyDescent="0.2">
      <c r="A114" s="190"/>
      <c r="B114" s="190"/>
      <c r="C114" s="190"/>
      <c r="D114" s="190"/>
      <c r="E114" s="190"/>
      <c r="F114" s="190"/>
      <c r="G114" s="514"/>
    </row>
    <row r="115" spans="1:7" x14ac:dyDescent="0.2">
      <c r="A115" s="520"/>
      <c r="B115" s="741"/>
      <c r="C115" s="826"/>
      <c r="D115" s="826"/>
      <c r="E115" s="520"/>
      <c r="F115" s="827"/>
      <c r="G115" s="514"/>
    </row>
    <row r="116" spans="1:7" x14ac:dyDescent="0.2">
      <c r="A116" s="520"/>
      <c r="B116" s="520"/>
      <c r="C116" s="520"/>
      <c r="D116" s="520"/>
      <c r="E116" s="520"/>
      <c r="F116" s="828"/>
      <c r="G116" s="514"/>
    </row>
    <row r="117" spans="1:7" x14ac:dyDescent="0.2">
      <c r="A117" s="526"/>
      <c r="B117" s="526"/>
      <c r="C117" s="526"/>
      <c r="D117" s="526"/>
      <c r="E117" s="526"/>
      <c r="F117" s="860"/>
    </row>
  </sheetData>
  <sheetProtection algorithmName="SHA-512" hashValue="sJD2WuDbe10us1mhwELka24kJBvzW8dHDqNoOp05nBHTR5yH5hhkJHJONn7GIKZGWoU8L9sA/4kesFR1ZiM93Q==" saltValue="G0K7uxm8UgRMaPXkEPE3lg==" spinCount="100000" sheet="1" formatCells="0" formatColumns="0" formatRows="0" insertRows="0"/>
  <mergeCells count="45">
    <mergeCell ref="B15:D15"/>
    <mergeCell ref="B16:D16"/>
    <mergeCell ref="E104:F105"/>
    <mergeCell ref="E106:F108"/>
    <mergeCell ref="A38:I38"/>
    <mergeCell ref="A39:I39"/>
    <mergeCell ref="A78:E78"/>
    <mergeCell ref="A84:E84"/>
    <mergeCell ref="E85:F85"/>
    <mergeCell ref="B76:D76"/>
    <mergeCell ref="E86:F95"/>
    <mergeCell ref="A82:F82"/>
    <mergeCell ref="A81:F81"/>
    <mergeCell ref="A79:B79"/>
    <mergeCell ref="A80:G80"/>
    <mergeCell ref="E100:F103"/>
    <mergeCell ref="E96:F99"/>
    <mergeCell ref="A1:D1"/>
    <mergeCell ref="B14:D14"/>
    <mergeCell ref="B5:D5"/>
    <mergeCell ref="B7:D7"/>
    <mergeCell ref="B8:D8"/>
    <mergeCell ref="B13:D13"/>
    <mergeCell ref="B4:D4"/>
    <mergeCell ref="B12:D12"/>
    <mergeCell ref="A3:D3"/>
    <mergeCell ref="B6:D6"/>
    <mergeCell ref="B17:D17"/>
    <mergeCell ref="B19:D19"/>
    <mergeCell ref="B20:D20"/>
    <mergeCell ref="B18:D18"/>
    <mergeCell ref="B21:D21"/>
    <mergeCell ref="A33:A34"/>
    <mergeCell ref="A35:A36"/>
    <mergeCell ref="B31:D31"/>
    <mergeCell ref="B22:D22"/>
    <mergeCell ref="B23:D23"/>
    <mergeCell ref="B27:D27"/>
    <mergeCell ref="B24:D24"/>
    <mergeCell ref="B25:D25"/>
    <mergeCell ref="B26:D26"/>
    <mergeCell ref="B29:D29"/>
    <mergeCell ref="B28:D28"/>
    <mergeCell ref="B30:D30"/>
    <mergeCell ref="B32:D32"/>
  </mergeCells>
  <dataValidations count="3">
    <dataValidation type="decimal" operator="greaterThanOrEqual" allowBlank="1" showErrorMessage="1" error="Jāievada pozitīvs skaitlis" sqref="B61:R61 C44:C46 E44:E52 L44:L46 B44 K44:K53 D44 F44:J44 M44:AA44" xr:uid="{00000000-0002-0000-0100-000000000000}">
      <formula1>0</formula1>
      <formula2>0</formula2>
    </dataValidation>
    <dataValidation type="decimal" operator="greaterThanOrEqual" allowBlank="1" showErrorMessage="1" errorTitle="Jāievada pozitīvs skaitlis" error="Jāievada pozitīvs skaitlis" sqref="B58:U58 T45:U53 U54:U57 L47:L51 M45:S51" xr:uid="{00000000-0002-0000-0100-000001000000}">
      <formula1>0</formula1>
      <formula2>0</formula2>
    </dataValidation>
    <dataValidation operator="equal" allowBlank="1" showErrorMessage="1" errorTitle="Jāievada pozitīvs skaitlis" error="Jāievada pozitīvs skaitlis" sqref="B40:AA40 B35:I35 B33:I33 B42:AA42" xr:uid="{00000000-0002-0000-0100-000002000000}">
      <formula1>0</formula1>
      <formula2>0</formula2>
    </dataValidation>
  </dataValidations>
  <pageMargins left="0.7" right="0.7" top="0.75" bottom="0.75" header="0.3" footer="0.3"/>
  <pageSetup paperSize="9" scale="72" orientation="portrait" horizontalDpi="300" verticalDpi="300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3000000}">
          <x14:formula1>
            <xm:f>list!$L$1:$L$3</xm:f>
          </x14:formula1>
          <xm:sqref>B17:D17 B29:D31</xm:sqref>
        </x14:dataValidation>
        <x14:dataValidation type="list" allowBlank="1" showInputMessage="1" showErrorMessage="1" xr:uid="{00000000-0002-0000-0100-000004000000}">
          <x14:formula1>
            <xm:f>list!$A$1:$A$32</xm:f>
          </x14:formula1>
          <xm:sqref>B9:B11</xm:sqref>
        </x14:dataValidation>
        <x14:dataValidation type="list" allowBlank="1" showInputMessage="1" showErrorMessage="1" xr:uid="{00000000-0002-0000-0100-000005000000}">
          <x14:formula1>
            <xm:f>list!$B$1:$B$13</xm:f>
          </x14:formula1>
          <xm:sqref>C9:C11</xm:sqref>
        </x14:dataValidation>
        <x14:dataValidation type="list" allowBlank="1" showInputMessage="1" showErrorMessage="1" xr:uid="{00000000-0002-0000-0100-000006000000}">
          <x14:formula1>
            <xm:f>list!$C$1:$C$8</xm:f>
          </x14:formula1>
          <xm:sqref>D9</xm:sqref>
        </x14:dataValidation>
        <x14:dataValidation type="list" allowBlank="1" showInputMessage="1" showErrorMessage="1" xr:uid="{00000000-0002-0000-0100-000007000000}">
          <x14:formula1>
            <xm:f>list!$D$2</xm:f>
          </x14:formula1>
          <xm:sqref>B12:D12</xm:sqref>
        </x14:dataValidation>
        <x14:dataValidation type="list" allowBlank="1" showInputMessage="1" showErrorMessage="1" xr:uid="{00000000-0002-0000-0100-000008000000}">
          <x14:formula1>
            <xm:f>list!$E$2:$E$10</xm:f>
          </x14:formula1>
          <xm:sqref>B13:D13</xm:sqref>
        </x14:dataValidation>
        <x14:dataValidation type="list" allowBlank="1" showInputMessage="1" showErrorMessage="1" xr:uid="{00000000-0002-0000-0100-000009000000}">
          <x14:formula1>
            <xm:f>list!$C$2:$C$7</xm:f>
          </x14:formula1>
          <xm:sqref>D10:D11</xm:sqref>
        </x14:dataValidation>
        <x14:dataValidation type="list" allowBlank="1" showInputMessage="1" showErrorMessage="1" xr:uid="{00000000-0002-0000-0100-00000A000000}">
          <x14:formula1>
            <xm:f>list!$N$2:$N$3</xm:f>
          </x14:formula1>
          <xm:sqref>B6:D6</xm:sqref>
        </x14:dataValidation>
        <x14:dataValidation type="list" allowBlank="1" showInputMessage="1" showErrorMessage="1" xr:uid="{00000000-0002-0000-0100-00000B000000}">
          <x14:formula1>
            <xm:f>list!$M$2:$M$3</xm:f>
          </x14:formula1>
          <xm:sqref>B5:D5</xm:sqref>
        </x14:dataValidation>
        <x14:dataValidation type="list" allowBlank="1" showInputMessage="1" showErrorMessage="1" xr:uid="{00000000-0002-0000-0100-00000C000000}">
          <x14:formula1>
            <xm:f>list!$O$1:$O$4</xm:f>
          </x14:formula1>
          <xm:sqref>B32:D32</xm:sqref>
        </x14:dataValidation>
        <x14:dataValidation type="list" allowBlank="1" showInputMessage="1" showErrorMessage="1" xr:uid="{D670C70F-C816-4804-B4D9-0B77C248421B}">
          <x14:formula1>
            <xm:f>list!$Q$4</xm:f>
          </x14:formula1>
          <xm:sqref>B15:D15</xm:sqref>
        </x14:dataValidation>
        <x14:dataValidation type="list" allowBlank="1" showInputMessage="1" showErrorMessage="1" xr:uid="{09151BA8-FFEC-4916-A274-EA411D03686B}">
          <x14:formula1>
            <xm:f>list!$R$3:$R$5</xm:f>
          </x14:formula1>
          <xm:sqref>B7:D7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I51"/>
  <sheetViews>
    <sheetView workbookViewId="0">
      <selection activeCell="G9" sqref="G9"/>
    </sheetView>
  </sheetViews>
  <sheetFormatPr defaultColWidth="9.140625" defaultRowHeight="15" x14ac:dyDescent="0.25"/>
  <cols>
    <col min="1" max="1" width="4" style="428" customWidth="1"/>
    <col min="2" max="2" width="36.28515625" style="428" customWidth="1"/>
    <col min="3" max="3" width="13.42578125" style="428" customWidth="1"/>
    <col min="4" max="4" width="18" style="428" customWidth="1"/>
    <col min="5" max="5" width="22.7109375" style="428" customWidth="1"/>
    <col min="6" max="6" width="21.140625" style="428" customWidth="1"/>
    <col min="7" max="7" width="25.85546875" style="428" customWidth="1"/>
    <col min="8" max="16384" width="9.140625" style="428"/>
  </cols>
  <sheetData>
    <row r="1" spans="1:9" ht="26.25" x14ac:dyDescent="0.4">
      <c r="A1" s="1030" t="s">
        <v>173</v>
      </c>
      <c r="B1" s="1030"/>
      <c r="C1" s="1030"/>
      <c r="D1" s="446"/>
      <c r="E1" s="446"/>
      <c r="F1" s="446"/>
      <c r="G1" s="446"/>
      <c r="H1" s="446"/>
      <c r="I1" s="446"/>
    </row>
    <row r="2" spans="1:9" ht="24.95" customHeight="1" x14ac:dyDescent="0.35">
      <c r="A2" s="1036" t="s">
        <v>174</v>
      </c>
      <c r="B2" s="1037"/>
      <c r="C2" s="1037"/>
      <c r="D2" s="446"/>
      <c r="E2" s="446"/>
      <c r="F2" s="446"/>
      <c r="G2" s="446"/>
      <c r="H2" s="446"/>
      <c r="I2" s="446"/>
    </row>
    <row r="3" spans="1:9" s="446" customFormat="1" x14ac:dyDescent="0.25">
      <c r="A3" s="447"/>
    </row>
    <row r="4" spans="1:9" ht="12.75" customHeight="1" x14ac:dyDescent="0.25">
      <c r="A4" s="1038" t="s">
        <v>175</v>
      </c>
      <c r="B4" s="1039"/>
      <c r="C4" s="1039"/>
      <c r="D4" s="1039"/>
      <c r="E4" s="1039"/>
      <c r="F4" s="1039"/>
      <c r="G4" s="1039"/>
      <c r="H4" s="446"/>
      <c r="I4" s="446"/>
    </row>
    <row r="5" spans="1:9" s="446" customFormat="1" ht="12.75" customHeight="1" x14ac:dyDescent="0.25">
      <c r="A5" s="448"/>
      <c r="B5" s="448"/>
      <c r="C5" s="448"/>
      <c r="D5" s="448"/>
      <c r="E5" s="448"/>
      <c r="F5" s="190"/>
      <c r="G5" s="190"/>
      <c r="H5" s="190"/>
    </row>
    <row r="6" spans="1:9" ht="12.75" customHeight="1" x14ac:dyDescent="0.25">
      <c r="A6" s="647" t="s">
        <v>15</v>
      </c>
      <c r="B6" s="648" t="s">
        <v>176</v>
      </c>
      <c r="C6" s="449" t="s">
        <v>177</v>
      </c>
      <c r="D6" s="449" t="s">
        <v>178</v>
      </c>
      <c r="E6" s="450" t="s">
        <v>179</v>
      </c>
      <c r="F6" s="451" t="s">
        <v>180</v>
      </c>
      <c r="G6" s="190"/>
      <c r="H6" s="190"/>
      <c r="I6" s="446"/>
    </row>
    <row r="7" spans="1:9" ht="51" customHeight="1" x14ac:dyDescent="0.25">
      <c r="A7" s="452">
        <v>1</v>
      </c>
      <c r="B7" s="453" t="s">
        <v>181</v>
      </c>
      <c r="C7" s="454">
        <f>COUNTIF('14.RL Investīciju naudas plūsma'!E24:AC24,"&lt;&gt;0")</f>
        <v>25</v>
      </c>
      <c r="D7" s="1040"/>
      <c r="E7" s="1040"/>
      <c r="F7" s="190"/>
      <c r="G7" s="190"/>
      <c r="H7" s="190"/>
      <c r="I7" s="446"/>
    </row>
    <row r="8" spans="1:9" ht="51" customHeight="1" x14ac:dyDescent="0.25">
      <c r="A8" s="452">
        <v>2</v>
      </c>
      <c r="B8" s="455" t="s">
        <v>182</v>
      </c>
      <c r="C8" s="456">
        <f>'14.RL Investīciju naudas plūsma'!E15</f>
        <v>0.04</v>
      </c>
      <c r="D8" s="1041"/>
      <c r="E8" s="1041"/>
      <c r="F8" s="190"/>
      <c r="G8" s="190"/>
      <c r="H8" s="190"/>
      <c r="I8" s="446"/>
    </row>
    <row r="9" spans="1:9" ht="51" customHeight="1" x14ac:dyDescent="0.25">
      <c r="A9" s="452">
        <v>3</v>
      </c>
      <c r="B9" s="453" t="s">
        <v>265</v>
      </c>
      <c r="C9" s="457">
        <f>'1.DL Projekta budžets'!G17-'1.DL Projekta budžets'!G14</f>
        <v>126000</v>
      </c>
      <c r="D9" s="457">
        <f>'14.RL Investīciju naudas plūsma'!AD22</f>
        <v>123113.90532544379</v>
      </c>
      <c r="E9" s="458" t="s">
        <v>542</v>
      </c>
      <c r="F9" s="190"/>
      <c r="G9" s="190"/>
      <c r="H9" s="190"/>
      <c r="I9" s="446"/>
    </row>
    <row r="10" spans="1:9" ht="43.5" customHeight="1" x14ac:dyDescent="0.25">
      <c r="A10" s="452">
        <v>4</v>
      </c>
      <c r="B10" s="453" t="s">
        <v>183</v>
      </c>
      <c r="C10" s="459">
        <f>'14.RL Investīciju naudas plūsma'!AD11</f>
        <v>0</v>
      </c>
      <c r="D10" s="459">
        <f>'14.RL Investīciju naudas plūsma'!AD23</f>
        <v>0</v>
      </c>
      <c r="E10" s="458" t="s">
        <v>543</v>
      </c>
      <c r="F10" s="190"/>
      <c r="G10" s="190"/>
      <c r="H10" s="190"/>
      <c r="I10" s="446"/>
    </row>
    <row r="11" spans="1:9" ht="39" customHeight="1" x14ac:dyDescent="0.25">
      <c r="A11" s="452">
        <v>5</v>
      </c>
      <c r="B11" s="453" t="s">
        <v>184</v>
      </c>
      <c r="C11" s="460"/>
      <c r="D11" s="459">
        <f>'14.RL Investīciju naudas plūsma'!AD18</f>
        <v>22959.087234845087</v>
      </c>
      <c r="E11" s="458" t="s">
        <v>543</v>
      </c>
      <c r="F11" s="190"/>
      <c r="G11" s="190"/>
      <c r="H11" s="190"/>
      <c r="I11" s="446"/>
    </row>
    <row r="12" spans="1:9" ht="51" customHeight="1" x14ac:dyDescent="0.25">
      <c r="A12" s="452">
        <v>6</v>
      </c>
      <c r="B12" s="861" t="s">
        <v>562</v>
      </c>
      <c r="C12" s="460"/>
      <c r="D12" s="459">
        <f>'14.RL Investīciju naudas plūsma'!AD19</f>
        <v>0</v>
      </c>
      <c r="E12" s="458" t="s">
        <v>543</v>
      </c>
      <c r="F12" s="190"/>
      <c r="G12" s="190"/>
      <c r="H12" s="190"/>
      <c r="I12" s="446"/>
    </row>
    <row r="13" spans="1:9" x14ac:dyDescent="0.25">
      <c r="A13" s="1042" t="s">
        <v>185</v>
      </c>
      <c r="B13" s="1043"/>
      <c r="C13" s="1043"/>
      <c r="D13" s="1043"/>
      <c r="E13" s="1043"/>
      <c r="F13" s="190"/>
      <c r="G13" s="190"/>
      <c r="H13" s="190"/>
      <c r="I13" s="446"/>
    </row>
    <row r="14" spans="1:9" x14ac:dyDescent="0.25">
      <c r="A14" s="650"/>
      <c r="B14" s="651"/>
      <c r="C14" s="651"/>
      <c r="D14" s="651"/>
      <c r="E14" s="651"/>
      <c r="F14" s="190"/>
      <c r="G14" s="190"/>
      <c r="H14" s="190"/>
      <c r="I14" s="446"/>
    </row>
    <row r="15" spans="1:9" ht="15" customHeight="1" x14ac:dyDescent="0.25">
      <c r="A15" s="1033" t="s">
        <v>186</v>
      </c>
      <c r="B15" s="1034"/>
      <c r="C15" s="1034"/>
      <c r="D15" s="1034"/>
      <c r="E15" s="1034"/>
      <c r="F15" s="1034"/>
      <c r="G15" s="1035"/>
      <c r="H15" s="190"/>
      <c r="I15" s="446"/>
    </row>
    <row r="16" spans="1:9" x14ac:dyDescent="0.25">
      <c r="F16" s="190"/>
      <c r="G16" s="190"/>
      <c r="H16" s="190"/>
      <c r="I16" s="446"/>
    </row>
    <row r="17" spans="1:9" ht="12.75" customHeight="1" x14ac:dyDescent="0.25">
      <c r="A17" s="461" t="s">
        <v>15</v>
      </c>
      <c r="B17" s="462" t="s">
        <v>176</v>
      </c>
      <c r="C17" s="462" t="s">
        <v>187</v>
      </c>
      <c r="D17" s="462" t="s">
        <v>178</v>
      </c>
      <c r="E17" s="462" t="s">
        <v>179</v>
      </c>
      <c r="F17" s="451" t="s">
        <v>180</v>
      </c>
      <c r="G17" s="190"/>
      <c r="H17" s="190"/>
      <c r="I17" s="446"/>
    </row>
    <row r="18" spans="1:9" ht="38.25" x14ac:dyDescent="0.25">
      <c r="A18" s="1044">
        <v>7</v>
      </c>
      <c r="B18" s="463" t="s">
        <v>381</v>
      </c>
      <c r="C18" s="1046"/>
      <c r="D18" s="1048">
        <f>D11-D12+D10</f>
        <v>22959.087234845087</v>
      </c>
      <c r="E18" s="1050" t="s">
        <v>544</v>
      </c>
      <c r="F18" s="190"/>
      <c r="G18" s="190"/>
      <c r="H18" s="190"/>
      <c r="I18" s="446"/>
    </row>
    <row r="19" spans="1:9" x14ac:dyDescent="0.25">
      <c r="A19" s="1045"/>
      <c r="B19" s="464" t="s">
        <v>188</v>
      </c>
      <c r="C19" s="1047"/>
      <c r="D19" s="1049"/>
      <c r="E19" s="1051"/>
      <c r="F19" s="190"/>
      <c r="G19" s="190"/>
      <c r="H19" s="190"/>
      <c r="I19" s="446"/>
    </row>
    <row r="20" spans="1:9" ht="45.75" customHeight="1" x14ac:dyDescent="0.25">
      <c r="A20" s="1044">
        <v>8</v>
      </c>
      <c r="B20" s="463" t="s">
        <v>380</v>
      </c>
      <c r="C20" s="1052"/>
      <c r="D20" s="1053">
        <f>IF(D18&lt;0,D9,D9-D18)</f>
        <v>100154.81809059871</v>
      </c>
      <c r="E20" s="1050" t="s">
        <v>544</v>
      </c>
      <c r="F20" s="190"/>
      <c r="G20" s="190"/>
      <c r="H20" s="190"/>
      <c r="I20" s="446"/>
    </row>
    <row r="21" spans="1:9" x14ac:dyDescent="0.25">
      <c r="A21" s="1045"/>
      <c r="B21" s="464" t="s">
        <v>189</v>
      </c>
      <c r="C21" s="1052"/>
      <c r="D21" s="1054"/>
      <c r="E21" s="1051"/>
      <c r="F21" s="190"/>
      <c r="G21" s="190"/>
      <c r="H21" s="190"/>
      <c r="I21" s="446"/>
    </row>
    <row r="22" spans="1:9" ht="25.5" x14ac:dyDescent="0.25">
      <c r="A22" s="1044">
        <v>9</v>
      </c>
      <c r="B22" s="463" t="s">
        <v>190</v>
      </c>
      <c r="C22" s="1057">
        <f>ROUND(D20/D9,2)</f>
        <v>0.81</v>
      </c>
      <c r="D22" s="1058"/>
      <c r="E22" s="1050" t="s">
        <v>544</v>
      </c>
      <c r="F22" s="190"/>
      <c r="G22" s="190"/>
      <c r="H22" s="190"/>
      <c r="I22" s="446"/>
    </row>
    <row r="23" spans="1:9" x14ac:dyDescent="0.25">
      <c r="A23" s="1045"/>
      <c r="B23" s="464" t="s">
        <v>191</v>
      </c>
      <c r="C23" s="1059"/>
      <c r="D23" s="1060"/>
      <c r="E23" s="1051"/>
      <c r="F23" s="190"/>
      <c r="G23" s="190"/>
      <c r="H23" s="190"/>
      <c r="I23" s="446"/>
    </row>
    <row r="24" spans="1:9" ht="25.5" x14ac:dyDescent="0.25">
      <c r="A24" s="1044">
        <v>10</v>
      </c>
      <c r="B24" s="463" t="s">
        <v>192</v>
      </c>
      <c r="C24" s="1057">
        <f>C22*'10.AL Budžets_kopā'!D18</f>
        <v>0.6885</v>
      </c>
      <c r="D24" s="1058"/>
      <c r="E24" s="1061" t="s">
        <v>412</v>
      </c>
      <c r="F24" s="190"/>
      <c r="G24" s="190"/>
      <c r="H24" s="190"/>
      <c r="I24" s="446"/>
    </row>
    <row r="25" spans="1:9" ht="27.75" customHeight="1" x14ac:dyDescent="0.25">
      <c r="A25" s="1045"/>
      <c r="B25" s="464" t="s">
        <v>246</v>
      </c>
      <c r="C25" s="1059"/>
      <c r="D25" s="1060"/>
      <c r="E25" s="1062"/>
      <c r="F25" s="465"/>
      <c r="G25" s="190"/>
      <c r="H25" s="190"/>
      <c r="I25" s="446"/>
    </row>
    <row r="26" spans="1:9" x14ac:dyDescent="0.25">
      <c r="A26" s="190"/>
      <c r="B26" s="190"/>
      <c r="C26" s="190"/>
      <c r="D26" s="190"/>
      <c r="E26" s="190"/>
      <c r="F26" s="190"/>
      <c r="G26" s="190"/>
      <c r="H26" s="190"/>
      <c r="I26" s="446"/>
    </row>
    <row r="27" spans="1:9" ht="12.75" customHeight="1" x14ac:dyDescent="0.25">
      <c r="A27" s="1063" t="s">
        <v>193</v>
      </c>
      <c r="B27" s="1064"/>
      <c r="C27" s="1064"/>
      <c r="D27" s="1064"/>
      <c r="E27" s="1064"/>
      <c r="F27" s="1064"/>
      <c r="G27" s="1065"/>
      <c r="H27" s="190"/>
      <c r="I27" s="446"/>
    </row>
    <row r="28" spans="1:9" x14ac:dyDescent="0.25">
      <c r="A28" s="1066"/>
      <c r="B28" s="1031"/>
      <c r="C28" s="1031" t="s">
        <v>194</v>
      </c>
      <c r="D28" s="1031"/>
      <c r="E28" s="648" t="s">
        <v>406</v>
      </c>
      <c r="F28" s="648"/>
      <c r="G28" s="466" t="s">
        <v>179</v>
      </c>
      <c r="H28" s="190"/>
      <c r="I28" s="446"/>
    </row>
    <row r="29" spans="1:9" ht="16.5" customHeight="1" x14ac:dyDescent="0.25">
      <c r="A29" s="1067"/>
      <c r="B29" s="1068"/>
      <c r="C29" s="1068" t="s">
        <v>195</v>
      </c>
      <c r="D29" s="1068"/>
      <c r="E29" s="649" t="s">
        <v>196</v>
      </c>
      <c r="F29" s="649"/>
      <c r="G29" s="467" t="s">
        <v>180</v>
      </c>
      <c r="H29" s="190"/>
      <c r="I29" s="446"/>
    </row>
    <row r="30" spans="1:9" ht="23.25" customHeight="1" x14ac:dyDescent="0.25">
      <c r="A30" s="468">
        <v>1</v>
      </c>
      <c r="B30" s="469" t="s">
        <v>197</v>
      </c>
      <c r="C30" s="470">
        <f>'14.RL Investīciju naudas plūsma'!F37</f>
        <v>-0.13203717817915472</v>
      </c>
      <c r="D30" s="471" t="s">
        <v>198</v>
      </c>
      <c r="E30" s="472">
        <f>'13.RL Kapitāla naudas plūsma'!G40</f>
        <v>-0.10606705946752182</v>
      </c>
      <c r="F30" s="471" t="s">
        <v>199</v>
      </c>
      <c r="G30" s="1055" t="s">
        <v>545</v>
      </c>
      <c r="H30" s="190"/>
      <c r="I30" s="446"/>
    </row>
    <row r="31" spans="1:9" x14ac:dyDescent="0.25">
      <c r="A31" s="473">
        <v>2</v>
      </c>
      <c r="B31" s="474" t="s">
        <v>200</v>
      </c>
      <c r="C31" s="459">
        <f>'14.RL Investīciju naudas plūsma'!F36</f>
        <v>-179943.27962906018</v>
      </c>
      <c r="D31" s="475" t="s">
        <v>201</v>
      </c>
      <c r="E31" s="459">
        <f>'13.RL Kapitāla naudas plūsma'!G39</f>
        <v>-89985.904056322121</v>
      </c>
      <c r="F31" s="471" t="s">
        <v>202</v>
      </c>
      <c r="G31" s="1056"/>
      <c r="H31" s="190"/>
      <c r="I31" s="446"/>
    </row>
    <row r="32" spans="1:9" x14ac:dyDescent="0.25">
      <c r="A32" s="190"/>
      <c r="B32" s="190"/>
      <c r="C32" s="190"/>
      <c r="D32" s="190"/>
      <c r="E32" s="190"/>
      <c r="F32" s="446"/>
      <c r="G32" s="446"/>
      <c r="H32" s="190"/>
      <c r="I32" s="446"/>
    </row>
    <row r="33" spans="1:9" x14ac:dyDescent="0.25">
      <c r="A33" s="190"/>
      <c r="B33" s="190"/>
      <c r="C33" s="190"/>
      <c r="D33" s="190"/>
      <c r="E33" s="190"/>
      <c r="F33" s="190"/>
      <c r="G33" s="190"/>
      <c r="H33" s="190"/>
      <c r="I33" s="446"/>
    </row>
    <row r="34" spans="1:9" x14ac:dyDescent="0.25">
      <c r="A34" s="190"/>
      <c r="B34" s="190"/>
      <c r="C34" s="190"/>
      <c r="D34" s="190"/>
      <c r="E34" s="190"/>
      <c r="F34" s="190"/>
      <c r="G34" s="190"/>
      <c r="H34" s="190"/>
      <c r="I34" s="446"/>
    </row>
    <row r="35" spans="1:9" x14ac:dyDescent="0.25">
      <c r="A35" s="190"/>
      <c r="B35" s="190"/>
      <c r="C35" s="190"/>
      <c r="D35" s="190"/>
      <c r="E35" s="190"/>
      <c r="F35" s="190"/>
      <c r="G35" s="190"/>
      <c r="H35" s="190"/>
      <c r="I35" s="446"/>
    </row>
    <row r="36" spans="1:9" x14ac:dyDescent="0.25">
      <c r="A36" s="190"/>
      <c r="B36" s="190"/>
      <c r="C36" s="190"/>
      <c r="D36" s="190"/>
      <c r="E36" s="190"/>
      <c r="F36" s="446"/>
      <c r="G36" s="446"/>
      <c r="H36" s="446"/>
      <c r="I36" s="446"/>
    </row>
    <row r="37" spans="1:9" x14ac:dyDescent="0.25">
      <c r="A37" s="446"/>
      <c r="B37" s="446"/>
      <c r="C37" s="446"/>
      <c r="D37" s="446"/>
      <c r="E37" s="446"/>
      <c r="F37" s="446"/>
      <c r="G37" s="446"/>
      <c r="H37" s="446"/>
      <c r="I37" s="446"/>
    </row>
    <row r="38" spans="1:9" x14ac:dyDescent="0.25">
      <c r="A38" s="446"/>
      <c r="B38" s="446"/>
      <c r="C38" s="446"/>
      <c r="D38" s="446"/>
      <c r="E38" s="446"/>
      <c r="F38" s="446"/>
      <c r="G38" s="446"/>
      <c r="H38" s="446"/>
      <c r="I38" s="446"/>
    </row>
    <row r="39" spans="1:9" x14ac:dyDescent="0.25">
      <c r="A39" s="446"/>
      <c r="B39" s="446"/>
      <c r="C39" s="446"/>
      <c r="D39" s="446"/>
      <c r="E39" s="446"/>
      <c r="F39" s="446"/>
      <c r="G39" s="446"/>
      <c r="H39" s="446"/>
      <c r="I39" s="446"/>
    </row>
    <row r="40" spans="1:9" x14ac:dyDescent="0.25">
      <c r="A40" s="446"/>
      <c r="B40" s="446"/>
      <c r="C40" s="446"/>
      <c r="D40" s="446"/>
      <c r="E40" s="446"/>
      <c r="F40" s="446"/>
      <c r="G40" s="446"/>
      <c r="H40" s="446"/>
      <c r="I40" s="446"/>
    </row>
    <row r="41" spans="1:9" x14ac:dyDescent="0.25">
      <c r="A41" s="446"/>
      <c r="B41" s="446"/>
      <c r="C41" s="446"/>
      <c r="D41" s="446"/>
      <c r="E41" s="446"/>
      <c r="F41" s="446"/>
      <c r="G41" s="446"/>
      <c r="H41" s="446"/>
      <c r="I41" s="446"/>
    </row>
    <row r="42" spans="1:9" x14ac:dyDescent="0.25">
      <c r="A42" s="446"/>
      <c r="B42" s="446"/>
      <c r="C42" s="446"/>
      <c r="D42" s="446"/>
      <c r="E42" s="446"/>
      <c r="F42" s="446"/>
      <c r="G42" s="446"/>
      <c r="H42" s="446"/>
      <c r="I42" s="446"/>
    </row>
    <row r="43" spans="1:9" x14ac:dyDescent="0.25">
      <c r="A43" s="446"/>
      <c r="B43" s="446"/>
      <c r="C43" s="446"/>
      <c r="D43" s="446"/>
      <c r="E43" s="446"/>
      <c r="F43" s="446"/>
      <c r="G43" s="446"/>
      <c r="H43" s="446"/>
      <c r="I43" s="446"/>
    </row>
    <row r="44" spans="1:9" x14ac:dyDescent="0.25">
      <c r="A44" s="446"/>
      <c r="B44" s="446"/>
      <c r="C44" s="446"/>
      <c r="D44" s="446"/>
      <c r="E44" s="446"/>
      <c r="F44" s="446"/>
      <c r="G44" s="446"/>
      <c r="H44" s="446"/>
      <c r="I44" s="446"/>
    </row>
    <row r="45" spans="1:9" ht="12.75" customHeight="1" x14ac:dyDescent="0.25">
      <c r="A45" s="446"/>
      <c r="B45" s="446"/>
      <c r="C45" s="446"/>
      <c r="D45" s="446"/>
      <c r="E45" s="446"/>
      <c r="F45" s="446"/>
      <c r="G45" s="446"/>
      <c r="H45" s="446"/>
      <c r="I45" s="446"/>
    </row>
    <row r="46" spans="1:9" x14ac:dyDescent="0.25">
      <c r="A46" s="446"/>
      <c r="B46" s="446"/>
      <c r="C46" s="446"/>
      <c r="D46" s="446"/>
      <c r="E46" s="446"/>
      <c r="F46" s="446"/>
      <c r="G46" s="446"/>
      <c r="H46" s="446"/>
      <c r="I46" s="446"/>
    </row>
    <row r="47" spans="1:9" x14ac:dyDescent="0.25">
      <c r="A47" s="446"/>
      <c r="B47" s="446"/>
      <c r="C47" s="446"/>
      <c r="D47" s="446"/>
      <c r="E47" s="446"/>
      <c r="F47" s="446"/>
      <c r="G47" s="446"/>
      <c r="H47" s="446"/>
      <c r="I47" s="446"/>
    </row>
    <row r="48" spans="1:9" ht="38.25" customHeight="1" x14ac:dyDescent="0.25">
      <c r="A48" s="446"/>
      <c r="B48" s="446"/>
      <c r="C48" s="446"/>
      <c r="D48" s="446"/>
      <c r="E48" s="446"/>
      <c r="F48" s="446"/>
      <c r="G48" s="446"/>
      <c r="H48" s="446"/>
      <c r="I48" s="446"/>
    </row>
    <row r="49" spans="1:9" x14ac:dyDescent="0.25">
      <c r="A49" s="446"/>
      <c r="B49" s="446"/>
      <c r="C49" s="446"/>
      <c r="D49" s="446"/>
      <c r="E49" s="446"/>
      <c r="F49" s="446"/>
      <c r="G49" s="446"/>
      <c r="H49" s="446"/>
      <c r="I49" s="446"/>
    </row>
    <row r="50" spans="1:9" x14ac:dyDescent="0.25">
      <c r="A50" s="446"/>
      <c r="B50" s="446"/>
      <c r="C50" s="446"/>
      <c r="D50" s="446"/>
      <c r="E50" s="446"/>
      <c r="F50" s="446"/>
      <c r="G50" s="446"/>
      <c r="H50" s="446"/>
      <c r="I50" s="446"/>
    </row>
    <row r="51" spans="1:9" x14ac:dyDescent="0.25">
      <c r="H51" s="446"/>
      <c r="I51" s="446"/>
    </row>
  </sheetData>
  <sheetProtection algorithmName="SHA-512" hashValue="Di+48EP4vGIfiGFVdQkk0jrOzNG8iQzQW4cgO9jIilJAT5Dh4/VyX6UuMnozumpZmKaIKxsw+P5DocwyZ2P1Gw==" saltValue="yhqSlIORrnaTTvnNuX0b9Q==" spinCount="100000" sheet="1" objects="1" scenarios="1" formatCells="0" formatColumns="0"/>
  <mergeCells count="26">
    <mergeCell ref="G30:G31"/>
    <mergeCell ref="A22:A23"/>
    <mergeCell ref="C22:D23"/>
    <mergeCell ref="E22:E23"/>
    <mergeCell ref="A24:A25"/>
    <mergeCell ref="C24:D25"/>
    <mergeCell ref="E24:E25"/>
    <mergeCell ref="A27:G27"/>
    <mergeCell ref="A28:B28"/>
    <mergeCell ref="C28:D28"/>
    <mergeCell ref="A29:B29"/>
    <mergeCell ref="C29:D29"/>
    <mergeCell ref="A18:A19"/>
    <mergeCell ref="C18:C19"/>
    <mergeCell ref="D18:D19"/>
    <mergeCell ref="E18:E19"/>
    <mergeCell ref="A20:A21"/>
    <mergeCell ref="C20:C21"/>
    <mergeCell ref="D20:D21"/>
    <mergeCell ref="E20:E21"/>
    <mergeCell ref="A15:G15"/>
    <mergeCell ref="A1:C1"/>
    <mergeCell ref="A2:C2"/>
    <mergeCell ref="A4:G4"/>
    <mergeCell ref="D7:E8"/>
    <mergeCell ref="A13:E13"/>
  </mergeCells>
  <hyperlinks>
    <hyperlink ref="A15" r:id="rId1" display="http://eur-lex.europa.eu/eli/reg/2013/1303?locale=LV" xr:uid="{00000000-0004-0000-1300-000000000000}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D1"/>
  <sheetViews>
    <sheetView zoomScaleNormal="100" workbookViewId="0">
      <selection activeCell="J16" sqref="J16"/>
    </sheetView>
  </sheetViews>
  <sheetFormatPr defaultRowHeight="15" x14ac:dyDescent="0.25"/>
  <sheetData>
    <row r="1" spans="1:4" ht="26.25" x14ac:dyDescent="0.25">
      <c r="A1" s="903" t="s">
        <v>469</v>
      </c>
      <c r="B1" s="903"/>
      <c r="C1" s="903"/>
      <c r="D1" s="903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D27"/>
  <sheetViews>
    <sheetView topLeftCell="A4" workbookViewId="0">
      <selection activeCell="E6" sqref="E6"/>
    </sheetView>
  </sheetViews>
  <sheetFormatPr defaultColWidth="9.140625" defaultRowHeight="15" x14ac:dyDescent="0.25"/>
  <cols>
    <col min="1" max="1" width="4.28515625" style="423" customWidth="1"/>
    <col min="2" max="2" width="14" style="423" customWidth="1"/>
    <col min="3" max="3" width="57.5703125" style="423" customWidth="1"/>
    <col min="4" max="4" width="11.28515625" style="423" customWidth="1"/>
    <col min="5" max="5" width="15.7109375" style="423" customWidth="1"/>
    <col min="6" max="6" width="9.28515625" style="423" bestFit="1" customWidth="1"/>
    <col min="7" max="7" width="14" style="423" customWidth="1"/>
    <col min="8" max="8" width="12.42578125" style="423" customWidth="1"/>
    <col min="9" max="9" width="13.28515625" style="423" customWidth="1"/>
    <col min="10" max="10" width="14.5703125" style="423" customWidth="1"/>
    <col min="11" max="11" width="13.28515625" style="423" customWidth="1"/>
    <col min="12" max="12" width="14" style="423" customWidth="1"/>
    <col min="13" max="13" width="14.28515625" style="423" customWidth="1"/>
    <col min="14" max="14" width="12.28515625" style="423" customWidth="1"/>
    <col min="15" max="15" width="13.42578125" style="423" customWidth="1"/>
    <col min="16" max="16" width="11.42578125" style="423" customWidth="1"/>
    <col min="17" max="17" width="11.85546875" style="423" customWidth="1"/>
    <col min="18" max="18" width="12.140625" style="423" hidden="1" customWidth="1"/>
    <col min="19" max="19" width="11.85546875" style="423" hidden="1" customWidth="1"/>
    <col min="20" max="20" width="11" style="423" hidden="1" customWidth="1"/>
    <col min="21" max="21" width="12" style="423" hidden="1" customWidth="1"/>
    <col min="22" max="22" width="10.42578125" style="423" hidden="1" customWidth="1"/>
    <col min="23" max="23" width="12.28515625" style="423" hidden="1" customWidth="1"/>
    <col min="24" max="33" width="9.140625" style="428"/>
    <col min="34" max="16384" width="9.140625" style="423"/>
  </cols>
  <sheetData>
    <row r="1" spans="1:56" s="428" customFormat="1" ht="26.25" x14ac:dyDescent="0.25">
      <c r="A1" s="903" t="s">
        <v>433</v>
      </c>
      <c r="B1" s="903"/>
      <c r="C1" s="903"/>
      <c r="D1" s="903"/>
    </row>
    <row r="2" spans="1:56" s="428" customFormat="1" ht="21" x14ac:dyDescent="0.35">
      <c r="A2" s="531" t="s">
        <v>434</v>
      </c>
    </row>
    <row r="3" spans="1:56" s="428" customFormat="1" x14ac:dyDescent="0.25"/>
    <row r="4" spans="1:56" s="426" customFormat="1" ht="45" customHeight="1" x14ac:dyDescent="0.2">
      <c r="A4" s="940" t="s">
        <v>15</v>
      </c>
      <c r="B4" s="942" t="s">
        <v>33</v>
      </c>
      <c r="C4" s="941" t="s">
        <v>16</v>
      </c>
      <c r="D4" s="941" t="s">
        <v>597</v>
      </c>
      <c r="E4" s="927" t="s">
        <v>17</v>
      </c>
      <c r="F4" s="927"/>
      <c r="G4" s="927" t="s">
        <v>18</v>
      </c>
      <c r="H4" s="927"/>
      <c r="I4" s="880"/>
      <c r="J4" s="944" t="s">
        <v>599</v>
      </c>
      <c r="K4" s="945"/>
      <c r="L4" s="927">
        <f>Titullapa!D10</f>
        <v>2021</v>
      </c>
      <c r="M4" s="927"/>
      <c r="N4" s="937">
        <f>1+L4</f>
        <v>2022</v>
      </c>
      <c r="O4" s="937"/>
      <c r="P4" s="938">
        <f>1+N4</f>
        <v>2023</v>
      </c>
      <c r="Q4" s="939"/>
      <c r="R4" s="927"/>
      <c r="S4" s="927"/>
      <c r="T4" s="937"/>
      <c r="U4" s="937"/>
      <c r="V4" s="938"/>
      <c r="W4" s="939"/>
      <c r="X4" s="765"/>
      <c r="Y4" s="765"/>
      <c r="Z4" s="765"/>
      <c r="AA4" s="765"/>
      <c r="AB4" s="765"/>
      <c r="AC4" s="765"/>
      <c r="AD4" s="765"/>
      <c r="AE4" s="765"/>
      <c r="AF4" s="765"/>
      <c r="AG4" s="765"/>
      <c r="AH4" s="765"/>
      <c r="AI4" s="190"/>
      <c r="AJ4" s="766">
        <v>0.55000000000000004</v>
      </c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</row>
    <row r="5" spans="1:56" s="426" customFormat="1" ht="56.25" customHeight="1" x14ac:dyDescent="0.2">
      <c r="A5" s="940"/>
      <c r="B5" s="943"/>
      <c r="C5" s="941" t="s">
        <v>19</v>
      </c>
      <c r="D5" s="941"/>
      <c r="E5" s="877" t="s">
        <v>20</v>
      </c>
      <c r="F5" s="877" t="s">
        <v>21</v>
      </c>
      <c r="G5" s="877" t="s">
        <v>22</v>
      </c>
      <c r="H5" s="877" t="s">
        <v>23</v>
      </c>
      <c r="I5" s="880" t="s">
        <v>598</v>
      </c>
      <c r="J5" s="880" t="s">
        <v>24</v>
      </c>
      <c r="K5" s="880" t="s">
        <v>25</v>
      </c>
      <c r="L5" s="880" t="s">
        <v>24</v>
      </c>
      <c r="M5" s="880" t="s">
        <v>25</v>
      </c>
      <c r="N5" s="880" t="s">
        <v>24</v>
      </c>
      <c r="O5" s="880" t="s">
        <v>25</v>
      </c>
      <c r="P5" s="880" t="s">
        <v>24</v>
      </c>
      <c r="Q5" s="880" t="s">
        <v>25</v>
      </c>
      <c r="R5" s="880" t="s">
        <v>24</v>
      </c>
      <c r="S5" s="880" t="s">
        <v>25</v>
      </c>
      <c r="T5" s="880" t="s">
        <v>24</v>
      </c>
      <c r="U5" s="880" t="s">
        <v>25</v>
      </c>
      <c r="V5" s="880" t="s">
        <v>24</v>
      </c>
      <c r="W5" s="880" t="s">
        <v>25</v>
      </c>
      <c r="X5" s="765"/>
      <c r="Y5" s="765"/>
      <c r="Z5" s="765"/>
      <c r="AA5" s="765"/>
      <c r="AB5" s="765"/>
      <c r="AC5" s="765"/>
      <c r="AD5" s="765"/>
      <c r="AE5" s="765"/>
      <c r="AF5" s="765"/>
      <c r="AG5" s="765"/>
      <c r="AH5" s="765"/>
      <c r="AI5" s="190"/>
      <c r="AJ5" s="766">
        <v>0.45</v>
      </c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</row>
    <row r="6" spans="1:56" s="521" customFormat="1" ht="25.5" x14ac:dyDescent="0.2">
      <c r="A6" s="516" t="s">
        <v>26</v>
      </c>
      <c r="B6" s="541" t="s">
        <v>448</v>
      </c>
      <c r="C6" s="515" t="s">
        <v>449</v>
      </c>
      <c r="D6" s="518">
        <v>0.85</v>
      </c>
      <c r="E6" s="539">
        <f t="shared" ref="E6:E14" si="0">G6+H6</f>
        <v>0</v>
      </c>
      <c r="F6" s="518">
        <f t="shared" ref="F6:F16" si="1">E6/$E$17</f>
        <v>0</v>
      </c>
      <c r="G6" s="539">
        <f>L6+N6+P6+R6+T6+V6+J6</f>
        <v>0</v>
      </c>
      <c r="H6" s="539">
        <f>M6+O6+Q6+S6+U6+W6+K6</f>
        <v>0</v>
      </c>
      <c r="I6" s="540">
        <f>ROUND(IF($G$19&gt;Titullapa!$B$16,G6*$G$21,D6*G6*'18.PIV 4.pielikums finanšu anal'!$C$22),2)</f>
        <v>0</v>
      </c>
      <c r="J6" s="529"/>
      <c r="K6" s="529"/>
      <c r="L6" s="529"/>
      <c r="M6" s="529"/>
      <c r="N6" s="529"/>
      <c r="O6" s="529"/>
      <c r="P6" s="529"/>
      <c r="Q6" s="529"/>
      <c r="R6" s="542"/>
      <c r="S6" s="542"/>
      <c r="T6" s="542"/>
      <c r="U6" s="542"/>
      <c r="V6" s="542"/>
      <c r="W6" s="542"/>
      <c r="X6" s="514"/>
      <c r="Y6" s="514"/>
      <c r="Z6" s="514"/>
      <c r="AA6" s="514"/>
      <c r="AB6" s="514"/>
      <c r="AC6" s="514"/>
      <c r="AD6" s="514"/>
      <c r="AE6" s="514"/>
      <c r="AF6" s="514"/>
      <c r="AG6" s="514"/>
    </row>
    <row r="7" spans="1:56" s="521" customFormat="1" ht="12.75" x14ac:dyDescent="0.2">
      <c r="A7" s="516" t="s">
        <v>29</v>
      </c>
      <c r="B7" s="538" t="s">
        <v>450</v>
      </c>
      <c r="C7" s="538" t="s">
        <v>438</v>
      </c>
      <c r="D7" s="518">
        <v>0.85</v>
      </c>
      <c r="E7" s="539">
        <f t="shared" si="0"/>
        <v>10000</v>
      </c>
      <c r="F7" s="518">
        <f t="shared" si="1"/>
        <v>4.807692307692308E-2</v>
      </c>
      <c r="G7" s="539">
        <f>L7+N7+P7+R7+T7+V7+J7</f>
        <v>0</v>
      </c>
      <c r="H7" s="539">
        <f t="shared" ref="H7:H16" si="2">M7+O7+Q7+S7+U7+W7+K7</f>
        <v>10000</v>
      </c>
      <c r="I7" s="540">
        <f>ROUND(IF($G$19&gt;Titullapa!$B$16,G7*$G$21,D7*G7*'18.PIV 4.pielikums finanšu anal'!$C$22),2)</f>
        <v>0</v>
      </c>
      <c r="J7" s="529"/>
      <c r="K7" s="529"/>
      <c r="L7" s="529"/>
      <c r="M7" s="529">
        <v>10000</v>
      </c>
      <c r="N7" s="529"/>
      <c r="O7" s="529"/>
      <c r="P7" s="529"/>
      <c r="Q7" s="529"/>
      <c r="R7" s="542"/>
      <c r="S7" s="542"/>
      <c r="T7" s="542"/>
      <c r="U7" s="542"/>
      <c r="V7" s="542"/>
      <c r="W7" s="542"/>
      <c r="X7" s="514"/>
      <c r="Y7" s="514"/>
      <c r="Z7" s="514"/>
      <c r="AA7" s="514"/>
      <c r="AB7" s="514"/>
      <c r="AC7" s="514"/>
      <c r="AD7" s="514"/>
      <c r="AE7" s="514"/>
      <c r="AF7" s="514"/>
      <c r="AG7" s="514"/>
    </row>
    <row r="8" spans="1:56" s="521" customFormat="1" ht="21.75" customHeight="1" x14ac:dyDescent="0.2">
      <c r="A8" s="516" t="s">
        <v>30</v>
      </c>
      <c r="B8" s="538" t="s">
        <v>451</v>
      </c>
      <c r="C8" s="516" t="s">
        <v>453</v>
      </c>
      <c r="D8" s="518">
        <v>0.85</v>
      </c>
      <c r="E8" s="539">
        <f t="shared" si="0"/>
        <v>75000</v>
      </c>
      <c r="F8" s="518">
        <f t="shared" si="1"/>
        <v>0.36057692307692307</v>
      </c>
      <c r="G8" s="539">
        <f>L8+N8+P8+R8+T8+V8+J8</f>
        <v>75000</v>
      </c>
      <c r="H8" s="539">
        <f t="shared" si="2"/>
        <v>0</v>
      </c>
      <c r="I8" s="540">
        <f>ROUND(IF($G$19&gt;Titullapa!$B$16,G8*$G$21,D8*G8*'18.PIV 4.pielikums finanšu anal'!$C$22),2)</f>
        <v>51637.5</v>
      </c>
      <c r="J8" s="529"/>
      <c r="K8" s="529"/>
      <c r="L8" s="529">
        <v>25000</v>
      </c>
      <c r="M8" s="529"/>
      <c r="N8" s="529">
        <v>25000</v>
      </c>
      <c r="O8" s="529"/>
      <c r="P8" s="529">
        <v>25000</v>
      </c>
      <c r="Q8" s="529"/>
      <c r="R8" s="542"/>
      <c r="S8" s="542"/>
      <c r="T8" s="542"/>
      <c r="U8" s="542"/>
      <c r="V8" s="542"/>
      <c r="W8" s="542"/>
      <c r="X8" s="514"/>
      <c r="Y8" s="514"/>
      <c r="Z8" s="514"/>
      <c r="AA8" s="514"/>
      <c r="AB8" s="514"/>
      <c r="AC8" s="514"/>
      <c r="AD8" s="514"/>
      <c r="AE8" s="514"/>
      <c r="AF8" s="514"/>
      <c r="AG8" s="514"/>
    </row>
    <row r="9" spans="1:56" s="521" customFormat="1" ht="12.75" x14ac:dyDescent="0.2">
      <c r="A9" s="516" t="s">
        <v>34</v>
      </c>
      <c r="B9" s="541" t="s">
        <v>460</v>
      </c>
      <c r="C9" s="516" t="s">
        <v>452</v>
      </c>
      <c r="D9" s="518">
        <v>0.85</v>
      </c>
      <c r="E9" s="539">
        <f t="shared" si="0"/>
        <v>50000</v>
      </c>
      <c r="F9" s="518">
        <f t="shared" si="1"/>
        <v>0.24038461538461539</v>
      </c>
      <c r="G9" s="539">
        <f>L9+N9+P9+R9+T9+V9+J9</f>
        <v>0</v>
      </c>
      <c r="H9" s="539">
        <f t="shared" si="2"/>
        <v>50000</v>
      </c>
      <c r="I9" s="540">
        <f>ROUND(IF($G$19&gt;Titullapa!$B$16,G9*$G$21,D9*G9*'18.PIV 4.pielikums finanšu anal'!$C$22),2)</f>
        <v>0</v>
      </c>
      <c r="J9" s="529"/>
      <c r="K9" s="529"/>
      <c r="L9" s="529"/>
      <c r="M9" s="529"/>
      <c r="N9" s="529"/>
      <c r="O9" s="529">
        <v>50000</v>
      </c>
      <c r="P9" s="529"/>
      <c r="Q9" s="529"/>
      <c r="R9" s="542"/>
      <c r="S9" s="542"/>
      <c r="T9" s="542"/>
      <c r="U9" s="542"/>
      <c r="V9" s="542"/>
      <c r="W9" s="542"/>
      <c r="X9" s="514"/>
      <c r="Y9" s="514"/>
      <c r="Z9" s="514"/>
      <c r="AA9" s="514"/>
      <c r="AB9" s="514"/>
      <c r="AC9" s="514"/>
      <c r="AD9" s="514"/>
      <c r="AE9" s="514"/>
      <c r="AF9" s="514"/>
      <c r="AG9" s="514"/>
    </row>
    <row r="10" spans="1:56" s="521" customFormat="1" ht="14.25" customHeight="1" x14ac:dyDescent="0.2">
      <c r="A10" s="516" t="s">
        <v>35</v>
      </c>
      <c r="B10" s="541" t="s">
        <v>455</v>
      </c>
      <c r="C10" s="516" t="s">
        <v>456</v>
      </c>
      <c r="D10" s="518">
        <v>0</v>
      </c>
      <c r="E10" s="539">
        <f t="shared" si="0"/>
        <v>15000</v>
      </c>
      <c r="F10" s="518">
        <f t="shared" si="1"/>
        <v>7.2115384615384609E-2</v>
      </c>
      <c r="G10" s="539">
        <f t="shared" ref="G10:G16" si="3">L10+N10+P10+R10+T10+V10+J10</f>
        <v>0</v>
      </c>
      <c r="H10" s="539">
        <f t="shared" si="2"/>
        <v>15000</v>
      </c>
      <c r="I10" s="540">
        <f>ROUND(IF($G$19&gt;Titullapa!$B$16,G10*$G$21,D10*G10*'18.PIV 4.pielikums finanšu anal'!$C$22),2)</f>
        <v>0</v>
      </c>
      <c r="J10" s="542"/>
      <c r="K10" s="529">
        <v>5000</v>
      </c>
      <c r="L10" s="542"/>
      <c r="M10" s="529">
        <v>5000</v>
      </c>
      <c r="N10" s="542"/>
      <c r="O10" s="529">
        <v>5000</v>
      </c>
      <c r="P10" s="542"/>
      <c r="Q10" s="529"/>
      <c r="R10" s="542"/>
      <c r="S10" s="542"/>
      <c r="T10" s="542"/>
      <c r="U10" s="542"/>
      <c r="V10" s="542"/>
      <c r="W10" s="542"/>
      <c r="X10" s="514"/>
      <c r="Y10" s="514"/>
      <c r="Z10" s="514"/>
      <c r="AA10" s="514"/>
      <c r="AB10" s="514"/>
      <c r="AC10" s="514"/>
      <c r="AD10" s="514"/>
      <c r="AE10" s="514"/>
      <c r="AF10" s="514"/>
      <c r="AG10" s="514"/>
    </row>
    <row r="11" spans="1:56" s="521" customFormat="1" ht="12.75" x14ac:dyDescent="0.2">
      <c r="A11" s="516" t="s">
        <v>36</v>
      </c>
      <c r="B11" s="538" t="s">
        <v>457</v>
      </c>
      <c r="C11" s="516" t="s">
        <v>420</v>
      </c>
      <c r="D11" s="518">
        <v>0</v>
      </c>
      <c r="E11" s="539">
        <f t="shared" si="0"/>
        <v>1000</v>
      </c>
      <c r="F11" s="518">
        <f t="shared" si="1"/>
        <v>4.807692307692308E-3</v>
      </c>
      <c r="G11" s="539">
        <f t="shared" si="3"/>
        <v>0</v>
      </c>
      <c r="H11" s="539">
        <f t="shared" si="2"/>
        <v>1000</v>
      </c>
      <c r="I11" s="540">
        <f>ROUND(IF($G$19&gt;Titullapa!$B$16,G11*$G$21,D11*G11*'18.PIV 4.pielikums finanšu anal'!$C$22),2)</f>
        <v>0</v>
      </c>
      <c r="J11" s="542"/>
      <c r="K11" s="529"/>
      <c r="L11" s="542"/>
      <c r="M11" s="529">
        <v>1000</v>
      </c>
      <c r="N11" s="542"/>
      <c r="O11" s="529"/>
      <c r="P11" s="542"/>
      <c r="Q11" s="529"/>
      <c r="R11" s="542"/>
      <c r="S11" s="542"/>
      <c r="T11" s="542"/>
      <c r="U11" s="542"/>
      <c r="V11" s="542"/>
      <c r="W11" s="542"/>
      <c r="X11" s="514"/>
      <c r="Y11" s="514"/>
      <c r="Z11" s="514"/>
      <c r="AA11" s="514"/>
      <c r="AB11" s="514"/>
      <c r="AC11" s="514"/>
      <c r="AD11" s="514"/>
      <c r="AE11" s="514"/>
      <c r="AF11" s="514"/>
      <c r="AG11" s="514"/>
    </row>
    <row r="12" spans="1:56" s="521" customFormat="1" ht="20.25" customHeight="1" x14ac:dyDescent="0.2">
      <c r="A12" s="516" t="s">
        <v>37</v>
      </c>
      <c r="B12" s="538" t="s">
        <v>459</v>
      </c>
      <c r="C12" s="516" t="s">
        <v>421</v>
      </c>
      <c r="D12" s="518">
        <v>0</v>
      </c>
      <c r="E12" s="539">
        <f t="shared" si="0"/>
        <v>0</v>
      </c>
      <c r="F12" s="518">
        <f t="shared" si="1"/>
        <v>0</v>
      </c>
      <c r="G12" s="539">
        <f t="shared" si="3"/>
        <v>0</v>
      </c>
      <c r="H12" s="539">
        <f t="shared" si="2"/>
        <v>0</v>
      </c>
      <c r="I12" s="540">
        <f>ROUND(IF($G$19&gt;Titullapa!$B$16,G12*$G$21,D12*G12*'18.PIV 4.pielikums finanšu anal'!$C$22),2)</f>
        <v>0</v>
      </c>
      <c r="J12" s="542"/>
      <c r="K12" s="529"/>
      <c r="L12" s="542"/>
      <c r="M12" s="529"/>
      <c r="N12" s="542"/>
      <c r="O12" s="529"/>
      <c r="P12" s="542"/>
      <c r="Q12" s="529"/>
      <c r="R12" s="542"/>
      <c r="S12" s="542"/>
      <c r="T12" s="542"/>
      <c r="U12" s="542"/>
      <c r="V12" s="542"/>
      <c r="W12" s="542"/>
      <c r="X12" s="514"/>
      <c r="Y12" s="514"/>
      <c r="Z12" s="514"/>
      <c r="AA12" s="514"/>
      <c r="AB12" s="514"/>
      <c r="AC12" s="514"/>
      <c r="AD12" s="514"/>
      <c r="AE12" s="514"/>
      <c r="AF12" s="514"/>
      <c r="AG12" s="514"/>
    </row>
    <row r="13" spans="1:56" s="521" customFormat="1" ht="24" customHeight="1" x14ac:dyDescent="0.2">
      <c r="A13" s="516" t="s">
        <v>458</v>
      </c>
      <c r="B13" s="541" t="s">
        <v>462</v>
      </c>
      <c r="C13" s="702" t="s">
        <v>463</v>
      </c>
      <c r="D13" s="518">
        <v>0</v>
      </c>
      <c r="E13" s="539">
        <f t="shared" si="0"/>
        <v>0</v>
      </c>
      <c r="F13" s="518">
        <f t="shared" si="1"/>
        <v>0</v>
      </c>
      <c r="G13" s="539">
        <f t="shared" si="3"/>
        <v>0</v>
      </c>
      <c r="H13" s="539">
        <f t="shared" si="2"/>
        <v>0</v>
      </c>
      <c r="I13" s="540">
        <f>ROUND(IF($G$19&gt;Titullapa!$B$16,G13*$G$21,D13*G13*'18.PIV 4.pielikums finanšu anal'!$C$22),2)</f>
        <v>0</v>
      </c>
      <c r="J13" s="542"/>
      <c r="K13" s="529"/>
      <c r="L13" s="542"/>
      <c r="M13" s="529"/>
      <c r="N13" s="542"/>
      <c r="O13" s="529"/>
      <c r="P13" s="542"/>
      <c r="Q13" s="529"/>
      <c r="R13" s="542"/>
      <c r="S13" s="542"/>
      <c r="T13" s="542"/>
      <c r="U13" s="542"/>
      <c r="V13" s="542"/>
      <c r="W13" s="542"/>
      <c r="X13" s="514"/>
      <c r="Y13" s="514"/>
      <c r="Z13" s="514"/>
      <c r="AA13" s="514"/>
      <c r="AB13" s="514"/>
      <c r="AC13" s="514"/>
      <c r="AD13" s="514"/>
      <c r="AE13" s="514"/>
      <c r="AF13" s="514"/>
      <c r="AG13" s="514"/>
    </row>
    <row r="14" spans="1:56" s="521" customFormat="1" ht="12.75" x14ac:dyDescent="0.2">
      <c r="A14" s="516" t="s">
        <v>461</v>
      </c>
      <c r="B14" s="541" t="s">
        <v>465</v>
      </c>
      <c r="C14" s="516" t="s">
        <v>419</v>
      </c>
      <c r="D14" s="518">
        <v>0.85</v>
      </c>
      <c r="E14" s="539">
        <f t="shared" si="0"/>
        <v>5000</v>
      </c>
      <c r="F14" s="518">
        <f t="shared" si="1"/>
        <v>2.403846153846154E-2</v>
      </c>
      <c r="G14" s="539">
        <f t="shared" si="3"/>
        <v>5000</v>
      </c>
      <c r="H14" s="539">
        <f t="shared" si="2"/>
        <v>0</v>
      </c>
      <c r="I14" s="540">
        <f>ROUND(IF($G$19&gt;Titullapa!$B$16,G14*$G$21,D14*G14*'18.PIV 4.pielikums finanšu anal'!$C$22),2)</f>
        <v>3442.5</v>
      </c>
      <c r="J14" s="529"/>
      <c r="K14" s="529"/>
      <c r="L14" s="529">
        <v>2500</v>
      </c>
      <c r="M14" s="529"/>
      <c r="N14" s="529">
        <v>2500</v>
      </c>
      <c r="O14" s="529"/>
      <c r="P14" s="529"/>
      <c r="Q14" s="529"/>
      <c r="R14" s="542"/>
      <c r="S14" s="542"/>
      <c r="T14" s="542"/>
      <c r="U14" s="542"/>
      <c r="V14" s="542"/>
      <c r="W14" s="542"/>
      <c r="X14" s="514"/>
      <c r="Y14" s="514"/>
      <c r="Z14" s="514"/>
      <c r="AA14" s="514"/>
      <c r="AB14" s="514"/>
      <c r="AC14" s="514"/>
      <c r="AD14" s="514"/>
      <c r="AE14" s="514"/>
      <c r="AF14" s="514"/>
      <c r="AG14" s="514"/>
    </row>
    <row r="15" spans="1:56" s="521" customFormat="1" ht="12.75" x14ac:dyDescent="0.2">
      <c r="A15" s="516" t="s">
        <v>464</v>
      </c>
      <c r="B15" s="541" t="s">
        <v>556</v>
      </c>
      <c r="C15" s="516" t="s">
        <v>525</v>
      </c>
      <c r="D15" s="518">
        <v>0.85</v>
      </c>
      <c r="E15" s="539">
        <f>G15+H15</f>
        <v>52000</v>
      </c>
      <c r="F15" s="518">
        <f t="shared" si="1"/>
        <v>0.25</v>
      </c>
      <c r="G15" s="539">
        <f t="shared" si="3"/>
        <v>51000</v>
      </c>
      <c r="H15" s="539">
        <f t="shared" si="2"/>
        <v>1000</v>
      </c>
      <c r="I15" s="540">
        <f>ROUND(IF($G$19&gt;Titullapa!$B$16,G15*$G$21,D15*G15*'18.PIV 4.pielikums finanšu anal'!$C$22),2)</f>
        <v>35113.5</v>
      </c>
      <c r="J15" s="529"/>
      <c r="K15" s="529"/>
      <c r="L15" s="529">
        <v>50000</v>
      </c>
      <c r="M15" s="529">
        <v>1000</v>
      </c>
      <c r="N15" s="529">
        <v>1000</v>
      </c>
      <c r="O15" s="529"/>
      <c r="P15" s="529"/>
      <c r="Q15" s="529"/>
      <c r="R15" s="542"/>
      <c r="S15" s="542"/>
      <c r="T15" s="542"/>
      <c r="U15" s="542"/>
      <c r="V15" s="542"/>
      <c r="W15" s="542"/>
      <c r="X15" s="514"/>
      <c r="Y15" s="514"/>
      <c r="Z15" s="514"/>
      <c r="AA15" s="514"/>
      <c r="AB15" s="514"/>
      <c r="AC15" s="514"/>
      <c r="AD15" s="514"/>
      <c r="AE15" s="514"/>
      <c r="AF15" s="514"/>
      <c r="AG15" s="514"/>
    </row>
    <row r="16" spans="1:56" s="521" customFormat="1" ht="12.75" x14ac:dyDescent="0.2">
      <c r="A16" s="516" t="s">
        <v>524</v>
      </c>
      <c r="B16" s="541" t="s">
        <v>454</v>
      </c>
      <c r="C16" s="515" t="s">
        <v>239</v>
      </c>
      <c r="D16" s="518">
        <f>IF(Titullapa!B29="Nē", 35%,0%)</f>
        <v>0</v>
      </c>
      <c r="E16" s="539">
        <f t="shared" ref="E16" si="4">G16+H16</f>
        <v>0</v>
      </c>
      <c r="F16" s="518">
        <f t="shared" si="1"/>
        <v>0</v>
      </c>
      <c r="G16" s="539">
        <f t="shared" si="3"/>
        <v>0</v>
      </c>
      <c r="H16" s="539">
        <f t="shared" si="2"/>
        <v>0</v>
      </c>
      <c r="I16" s="540">
        <f>ROUND(IF($G$19&gt;Titullapa!$B$16,G16*$G$21,D16*G16*'18.PIV 4.pielikums finanšu anal'!$C$22),2)</f>
        <v>0</v>
      </c>
      <c r="J16" s="542"/>
      <c r="K16" s="529"/>
      <c r="L16" s="542"/>
      <c r="M16" s="529"/>
      <c r="N16" s="542"/>
      <c r="O16" s="529"/>
      <c r="P16" s="542"/>
      <c r="Q16" s="529"/>
      <c r="R16" s="542"/>
      <c r="S16" s="542"/>
      <c r="T16" s="542"/>
      <c r="U16" s="542"/>
      <c r="V16" s="542"/>
      <c r="W16" s="542"/>
      <c r="X16" s="514"/>
      <c r="Y16" s="514"/>
      <c r="Z16" s="514"/>
      <c r="AA16" s="514"/>
      <c r="AB16" s="514"/>
      <c r="AC16" s="514"/>
      <c r="AD16" s="514"/>
      <c r="AE16" s="514"/>
      <c r="AF16" s="514"/>
      <c r="AG16" s="514"/>
    </row>
    <row r="17" spans="1:23" s="537" customFormat="1" ht="12.75" x14ac:dyDescent="0.2">
      <c r="A17" s="532"/>
      <c r="B17" s="546"/>
      <c r="C17" s="547" t="s">
        <v>40</v>
      </c>
      <c r="D17" s="534">
        <v>0.85</v>
      </c>
      <c r="E17" s="535">
        <f>SUM(E6:E16)</f>
        <v>208000</v>
      </c>
      <c r="F17" s="534">
        <f t="shared" ref="F17:W17" si="5">SUM(F6:F16)</f>
        <v>1</v>
      </c>
      <c r="G17" s="535">
        <f t="shared" si="5"/>
        <v>131000</v>
      </c>
      <c r="H17" s="535">
        <f t="shared" si="5"/>
        <v>77000</v>
      </c>
      <c r="I17" s="535">
        <f>SUM(I6:I16)</f>
        <v>90193.5</v>
      </c>
      <c r="J17" s="535">
        <f t="shared" si="5"/>
        <v>0</v>
      </c>
      <c r="K17" s="535">
        <f t="shared" si="5"/>
        <v>5000</v>
      </c>
      <c r="L17" s="535">
        <f t="shared" si="5"/>
        <v>77500</v>
      </c>
      <c r="M17" s="535">
        <f t="shared" si="5"/>
        <v>17000</v>
      </c>
      <c r="N17" s="535">
        <f t="shared" si="5"/>
        <v>28500</v>
      </c>
      <c r="O17" s="535">
        <f t="shared" si="5"/>
        <v>55000</v>
      </c>
      <c r="P17" s="535">
        <f t="shared" si="5"/>
        <v>25000</v>
      </c>
      <c r="Q17" s="535">
        <f t="shared" si="5"/>
        <v>0</v>
      </c>
      <c r="R17" s="535">
        <f t="shared" si="5"/>
        <v>0</v>
      </c>
      <c r="S17" s="535">
        <f t="shared" si="5"/>
        <v>0</v>
      </c>
      <c r="T17" s="535">
        <f t="shared" si="5"/>
        <v>0</v>
      </c>
      <c r="U17" s="535">
        <f t="shared" si="5"/>
        <v>0</v>
      </c>
      <c r="V17" s="535">
        <f t="shared" si="5"/>
        <v>0</v>
      </c>
      <c r="W17" s="535">
        <f t="shared" si="5"/>
        <v>0</v>
      </c>
    </row>
    <row r="18" spans="1:23" s="537" customFormat="1" ht="12.75" x14ac:dyDescent="0.2">
      <c r="A18" s="620"/>
      <c r="B18" s="872"/>
      <c r="C18" s="873"/>
      <c r="D18" s="874"/>
      <c r="E18" s="624"/>
      <c r="F18" s="874"/>
      <c r="G18" s="624"/>
      <c r="H18" s="624"/>
      <c r="I18" s="624"/>
      <c r="J18" s="624"/>
      <c r="K18" s="624"/>
      <c r="L18" s="624"/>
      <c r="M18" s="624"/>
      <c r="N18" s="624"/>
      <c r="O18" s="624"/>
      <c r="P18" s="624"/>
      <c r="Q18" s="624"/>
      <c r="R18" s="624"/>
      <c r="S18" s="624"/>
      <c r="T18" s="624"/>
      <c r="U18" s="624"/>
      <c r="V18" s="624"/>
      <c r="W18" s="624"/>
    </row>
    <row r="19" spans="1:23" s="514" customFormat="1" ht="12.75" x14ac:dyDescent="0.2">
      <c r="C19" s="767" t="s">
        <v>600</v>
      </c>
      <c r="D19" s="539"/>
      <c r="E19" s="539"/>
      <c r="F19" s="539"/>
      <c r="G19" s="536">
        <f>IF(D17&lt;1,D17*G17*'18.PIV 4.pielikums finanšu anal'!$C$22,0)</f>
        <v>90193.5</v>
      </c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</row>
    <row r="20" spans="1:23" s="514" customFormat="1" ht="12.75" x14ac:dyDescent="0.2">
      <c r="C20" s="549" t="s">
        <v>601</v>
      </c>
      <c r="D20" s="550"/>
      <c r="E20" s="551"/>
      <c r="F20" s="552"/>
      <c r="G20" s="536">
        <f>IF(G19&gt;Titullapa!B16,MIN(D17*G17*'18.PIV 4.pielikums finanšu anal'!$C$22,Titullapa!B16),(D17*G17*'18.PIV 4.pielikums finanšu anal'!$C$22))</f>
        <v>90193.5</v>
      </c>
      <c r="H20" s="553"/>
      <c r="I20" s="553"/>
      <c r="J20" s="553"/>
      <c r="K20" s="553"/>
      <c r="L20" s="553"/>
      <c r="M20" s="553"/>
      <c r="N20" s="553"/>
      <c r="O20" s="553"/>
      <c r="P20" s="553"/>
      <c r="Q20" s="553"/>
      <c r="R20" s="553"/>
      <c r="S20" s="553"/>
      <c r="T20" s="553">
        <f>SUM(T6:T16)*$D$17*'18.PIV 4.pielikums finanšu anal'!$C$22</f>
        <v>0</v>
      </c>
      <c r="U20" s="539"/>
      <c r="V20" s="553">
        <f>SUM(V6:V16)*$D$17*'18.PIV 4.pielikums finanšu anal'!$C$22</f>
        <v>0</v>
      </c>
      <c r="W20" s="539"/>
    </row>
    <row r="21" spans="1:23" s="514" customFormat="1" ht="12.75" x14ac:dyDescent="0.2">
      <c r="C21" s="549" t="s">
        <v>602</v>
      </c>
      <c r="D21" s="550"/>
      <c r="E21" s="551"/>
      <c r="F21" s="552"/>
      <c r="G21" s="882">
        <f>G20/G17</f>
        <v>0.6885</v>
      </c>
      <c r="H21" s="553"/>
      <c r="I21" s="553"/>
      <c r="J21" s="553"/>
      <c r="K21" s="553"/>
      <c r="L21" s="553"/>
      <c r="M21" s="553"/>
      <c r="N21" s="553"/>
      <c r="O21" s="553"/>
      <c r="P21" s="553"/>
      <c r="Q21" s="553"/>
      <c r="R21" s="553"/>
      <c r="S21" s="553"/>
      <c r="T21" s="553"/>
      <c r="U21" s="539"/>
      <c r="V21" s="553"/>
      <c r="W21" s="539"/>
    </row>
    <row r="22" spans="1:23" s="514" customFormat="1" ht="12.75" x14ac:dyDescent="0.2">
      <c r="C22" s="549" t="s">
        <v>603</v>
      </c>
      <c r="D22" s="550"/>
      <c r="E22" s="551"/>
      <c r="F22" s="552"/>
      <c r="G22" s="540">
        <f>IF(G19&gt;Titullapa!B16,MIN(G17*G21),(G17*D17*'18.PIV 4.pielikums finanšu anal'!$C$22))</f>
        <v>90193.5</v>
      </c>
      <c r="H22" s="553"/>
      <c r="I22" s="553">
        <f>ROUND(SUM(L22+N22+P22+R22+T22+V22+J22),2)</f>
        <v>90193.5</v>
      </c>
      <c r="J22" s="536">
        <f>ROUND(IF($G$19&gt;Titullapa!$B$16,J17*$G$21,J17*$D$17*'18.PIV 4.pielikums finanšu anal'!$C$22),2)</f>
        <v>0</v>
      </c>
      <c r="K22" s="553"/>
      <c r="L22" s="536">
        <f>ROUND(IF($G$19&gt;Titullapa!$B$16,L17*$G$21,L17*$D$17*'18.PIV 4.pielikums finanšu anal'!$C$22),2)</f>
        <v>53358.75</v>
      </c>
      <c r="M22" s="553"/>
      <c r="N22" s="536">
        <f>ROUND(IF($G$19&gt;Titullapa!$B$16,N17*$G$21,N17*$D$17*'18.PIV 4.pielikums finanšu anal'!$C$22),2)</f>
        <v>19622.25</v>
      </c>
      <c r="O22" s="553"/>
      <c r="P22" s="536">
        <f>ROUND(IF($G$19&gt;Titullapa!$B$16,P17*$G$21,P17*$D$17*'18.PIV 4.pielikums finanšu anal'!$C$22),2)</f>
        <v>17212.5</v>
      </c>
      <c r="Q22" s="553"/>
      <c r="R22" s="536">
        <f>IF($G$19&gt;Titullapa!$B$16,R17*$G$21,R17*$D$17*'18.PIV 4.pielikums finanšu anal'!$C$22)</f>
        <v>0</v>
      </c>
      <c r="S22" s="553"/>
      <c r="T22" s="553">
        <f>SUM(T8:T18)*$D$17*'18.PIV 4.pielikums finanšu anal'!$C$22</f>
        <v>0</v>
      </c>
      <c r="U22" s="539"/>
      <c r="V22" s="553">
        <f>SUM(V8:V18)*$D$17*'18.PIV 4.pielikums finanšu anal'!$C$22</f>
        <v>0</v>
      </c>
      <c r="W22" s="539"/>
    </row>
    <row r="23" spans="1:23" s="428" customFormat="1" ht="38.25" x14ac:dyDescent="0.25">
      <c r="C23" s="549" t="s">
        <v>558</v>
      </c>
      <c r="D23" s="554"/>
      <c r="E23" s="554"/>
      <c r="F23" s="554"/>
      <c r="G23" s="554"/>
      <c r="H23" s="554"/>
      <c r="I23" s="749">
        <f>SUM(J23:S23)</f>
        <v>117806.5</v>
      </c>
      <c r="J23" s="749">
        <f>J17-J22</f>
        <v>0</v>
      </c>
      <c r="K23" s="749">
        <f>K17</f>
        <v>5000</v>
      </c>
      <c r="L23" s="749">
        <f>L17-L22</f>
        <v>24141.25</v>
      </c>
      <c r="M23" s="749">
        <f>M17</f>
        <v>17000</v>
      </c>
      <c r="N23" s="749">
        <f>N17-N22</f>
        <v>8877.75</v>
      </c>
      <c r="O23" s="749">
        <f>O17</f>
        <v>55000</v>
      </c>
      <c r="P23" s="749">
        <f>P17-P22</f>
        <v>7787.5</v>
      </c>
      <c r="Q23" s="749">
        <f>Q17</f>
        <v>0</v>
      </c>
      <c r="R23" s="749">
        <f>R17-R22</f>
        <v>0</v>
      </c>
      <c r="S23" s="749">
        <f>S17</f>
        <v>0</v>
      </c>
      <c r="T23" s="749">
        <f>T17-T20</f>
        <v>0</v>
      </c>
      <c r="U23" s="749">
        <f>U17</f>
        <v>0</v>
      </c>
      <c r="V23" s="749">
        <f>V17-V20</f>
        <v>0</v>
      </c>
      <c r="W23" s="749">
        <f>W17</f>
        <v>0</v>
      </c>
    </row>
    <row r="24" spans="1:23" s="428" customFormat="1" x14ac:dyDescent="0.25">
      <c r="C24" s="767" t="s">
        <v>547</v>
      </c>
      <c r="D24" s="516"/>
      <c r="E24" s="516"/>
      <c r="F24" s="516"/>
      <c r="G24" s="516"/>
      <c r="H24" s="516"/>
      <c r="I24" s="540">
        <f>I23-I25</f>
        <v>117806.5</v>
      </c>
      <c r="J24" s="540">
        <f t="shared" ref="J24:W24" si="6">J23-J25</f>
        <v>0</v>
      </c>
      <c r="K24" s="540">
        <f t="shared" si="6"/>
        <v>5000</v>
      </c>
      <c r="L24" s="540">
        <f t="shared" si="6"/>
        <v>24141.25</v>
      </c>
      <c r="M24" s="540">
        <f t="shared" si="6"/>
        <v>17000</v>
      </c>
      <c r="N24" s="540">
        <f t="shared" si="6"/>
        <v>8877.75</v>
      </c>
      <c r="O24" s="540">
        <f t="shared" si="6"/>
        <v>55000</v>
      </c>
      <c r="P24" s="540">
        <f t="shared" si="6"/>
        <v>7787.5</v>
      </c>
      <c r="Q24" s="540">
        <f t="shared" si="6"/>
        <v>0</v>
      </c>
      <c r="R24" s="540">
        <f t="shared" si="6"/>
        <v>0</v>
      </c>
      <c r="S24" s="540">
        <f t="shared" si="6"/>
        <v>0</v>
      </c>
      <c r="T24" s="540">
        <f t="shared" si="6"/>
        <v>0</v>
      </c>
      <c r="U24" s="540">
        <f t="shared" si="6"/>
        <v>0</v>
      </c>
      <c r="V24" s="540">
        <f t="shared" si="6"/>
        <v>0</v>
      </c>
      <c r="W24" s="540">
        <f t="shared" si="6"/>
        <v>0</v>
      </c>
    </row>
    <row r="25" spans="1:23" s="428" customFormat="1" ht="26.25" x14ac:dyDescent="0.25">
      <c r="C25" s="768" t="s">
        <v>559</v>
      </c>
      <c r="D25" s="516"/>
      <c r="E25" s="516"/>
      <c r="F25" s="516"/>
      <c r="G25" s="516"/>
      <c r="H25" s="516"/>
      <c r="I25" s="541">
        <f>SUM(Titullapa!B34:F34)+SUM(Titullapa!B36:F36)</f>
        <v>0</v>
      </c>
      <c r="J25" s="541">
        <f>IF(AND((Titullapa!B34+Titullapa!B36)&gt;0,K23&gt;0),(ROUND(J23/(J23+K23),2)*(Titullapa!B34+Titullapa!B36)),Titullapa!B34+Titullapa!B36)</f>
        <v>0</v>
      </c>
      <c r="K25" s="541">
        <f>IF(AND((Titullapa!B34+Titullapa!B36)&gt;0,K23&gt;0),(ROUND(K23/(J23+K23),2)*(Titullapa!B34+Titullapa!B36)),0)</f>
        <v>0</v>
      </c>
      <c r="L25" s="541">
        <f>IF(AND((Titullapa!C34+Titullapa!C36)&gt;0,M23&gt;0),(ROUND(L23/(L23+M23),2)*(Titullapa!C34+Titullapa!C36)),Titullapa!C34+Titullapa!C36)</f>
        <v>0</v>
      </c>
      <c r="M25" s="541">
        <f>IF(AND((Titullapa!C34+Titullapa!C36)&gt;0,M23&gt;0),(ROUND(M23/(L23+M23),2)*(Titullapa!C34+Titullapa!C36)),0)</f>
        <v>0</v>
      </c>
      <c r="N25" s="541">
        <f>IF(AND((Titullapa!D34+Titullapa!D36)&gt;0,O23&gt;0),(ROUND(N23/(N23+O23),2)*(Titullapa!D34+Titullapa!D36)),Titullapa!D34+Titullapa!D36)</f>
        <v>0</v>
      </c>
      <c r="O25" s="541">
        <f>IF(AND((Titullapa!D34+Titullapa!D36)&gt;0,O23&gt;0),(ROUND(O23/(N23+O23),2)*(Titullapa!D34+Titullapa!D36)),0)</f>
        <v>0</v>
      </c>
      <c r="P25" s="541">
        <f>IF(AND((Titullapa!E34+Titullapa!E36)&gt;0,Q23&gt;0),(ROUND(P23/(P23+Q23),2)*(Titullapa!E34+Titullapa!E36)),Titullapa!E34+Titullapa!E36)</f>
        <v>0</v>
      </c>
      <c r="Q25" s="541">
        <f>IF(AND((Titullapa!E34+Titullapa!E36)&gt;0,Q23&gt;0),(ROUND(Q23/(P23+Q23),2)*(Titullapa!E34+Titullapa!E36)),0)</f>
        <v>0</v>
      </c>
      <c r="R25" s="541">
        <f>IF(AND((Titullapa!F34+Titullapa!F36)&gt;0,S23&gt;0),(ROUND(R23/(R23+S23),2)*(Titullapa!F34+Titullapa!F36)),Titullapa!F34+Titullapa!F36)</f>
        <v>0</v>
      </c>
      <c r="S25" s="541">
        <f>IF(AND((Titullapa!F34+Titullapa!F36)&gt;0,S23&gt;0),(ROUND(S23/(R23+S23),2)*(Titullapa!F34+Titullapa!F36)),0)</f>
        <v>0</v>
      </c>
      <c r="T25" s="541">
        <f>IF(AND((Titullapa!G34+Titullapa!G36)&gt;0,U23&gt;0),(ROUND(T23/(T23+U23),2)*(Titullapa!G34+Titullapa!G36)),Titullapa!G34+Titullapa!G36)</f>
        <v>0</v>
      </c>
      <c r="U25" s="541">
        <f>IF(AND((Titullapa!G34+Titullapa!G36)&gt;0,U23&gt;0),(ROUND(U23/(T23+U23),2)*(Titullapa!G34+Titullapa!G36)),0)</f>
        <v>0</v>
      </c>
      <c r="V25" s="541">
        <f>IF(AND((Titullapa!H34+Titullapa!H36)&gt;0,W23&gt;0),(ROUND(V23/(V23+W23),2)*(Titullapa!H34+Titullapa!H36)),Titullapa!H34+Titullapa!H36)</f>
        <v>0</v>
      </c>
      <c r="W25" s="541">
        <f>IF(AND((Titullapa!H34+Titullapa!H36)&gt;0,W23&gt;0),(ROUND(W23/(V23+W23),2)*(Titullapa!H34+Titullapa!H36)),0)</f>
        <v>0</v>
      </c>
    </row>
    <row r="26" spans="1:23" s="428" customFormat="1" x14ac:dyDescent="0.25"/>
    <row r="27" spans="1:23" s="838" customFormat="1" ht="30" x14ac:dyDescent="0.25">
      <c r="I27" s="838" t="s">
        <v>560</v>
      </c>
      <c r="J27" s="425" t="str">
        <f>IF(J24&lt;0,"Jākoriģē izklājlapas Titullapa 1.29 un/vai 1.30.jautājuma dati", "Dati pareizi")</f>
        <v>Dati pareizi</v>
      </c>
      <c r="K27" s="425" t="str">
        <f t="shared" ref="K27:S27" si="7">IF(K24&lt;0,"Jākoriģē izklājlapas Titullapa 1.29 un/vai 1.30.jautājuma dati", "Dati pareizi")</f>
        <v>Dati pareizi</v>
      </c>
      <c r="L27" s="425" t="str">
        <f t="shared" si="7"/>
        <v>Dati pareizi</v>
      </c>
      <c r="M27" s="425" t="str">
        <f t="shared" si="7"/>
        <v>Dati pareizi</v>
      </c>
      <c r="N27" s="425" t="str">
        <f t="shared" si="7"/>
        <v>Dati pareizi</v>
      </c>
      <c r="O27" s="425" t="str">
        <f t="shared" si="7"/>
        <v>Dati pareizi</v>
      </c>
      <c r="P27" s="425" t="str">
        <f t="shared" si="7"/>
        <v>Dati pareizi</v>
      </c>
      <c r="Q27" s="425" t="str">
        <f t="shared" si="7"/>
        <v>Dati pareizi</v>
      </c>
      <c r="R27" s="425" t="str">
        <f t="shared" si="7"/>
        <v>Dati pareizi</v>
      </c>
      <c r="S27" s="425" t="str">
        <f t="shared" si="7"/>
        <v>Dati pareizi</v>
      </c>
      <c r="T27" s="425" t="str">
        <f t="shared" ref="T27:W27" si="8">IF(T24&lt;0,"Jākoriģē izklājlapas Titullapa 1.27 un/vai1.28.jautājuma dati", "Dati pareizi")</f>
        <v>Dati pareizi</v>
      </c>
      <c r="U27" s="425" t="str">
        <f t="shared" si="8"/>
        <v>Dati pareizi</v>
      </c>
      <c r="V27" s="425" t="str">
        <f t="shared" si="8"/>
        <v>Dati pareizi</v>
      </c>
      <c r="W27" s="425" t="str">
        <f t="shared" si="8"/>
        <v>Dati pareizi</v>
      </c>
    </row>
  </sheetData>
  <sheetProtection algorithmName="SHA-512" hashValue="g/1weX0ME0+bcJhYa0M7aDL0CeGtDlIMZb21FoY2ubrIXzJpWqRz+80gwfPvhdRy6yXO8snGcnpMeOuUwEgxKA==" saltValue="J6SL7C5ArBHvzv3uah0rDA==" spinCount="100000" sheet="1" formatCells="0" formatColumns="0" formatRows="0"/>
  <mergeCells count="14">
    <mergeCell ref="A1:D1"/>
    <mergeCell ref="T4:U4"/>
    <mergeCell ref="V4:W4"/>
    <mergeCell ref="A4:A5"/>
    <mergeCell ref="C4:C5"/>
    <mergeCell ref="D4:D5"/>
    <mergeCell ref="E4:F4"/>
    <mergeCell ref="G4:H4"/>
    <mergeCell ref="B4:B5"/>
    <mergeCell ref="L4:M4"/>
    <mergeCell ref="N4:O4"/>
    <mergeCell ref="P4:Q4"/>
    <mergeCell ref="R4:S4"/>
    <mergeCell ref="J4:K4"/>
  </mergeCells>
  <conditionalFormatting sqref="L29">
    <cfRule type="cellIs" dxfId="19" priority="3" operator="equal">
      <formula>"""Jākoriģē izklājlapas Titullapa 1.27 un/vai1.28.jautājuma dati"""</formula>
    </cfRule>
  </conditionalFormatting>
  <conditionalFormatting sqref="J27:S27">
    <cfRule type="cellIs" dxfId="18" priority="2" operator="equal">
      <formula>"Jākoriģē izklājlapas Titullapa 1.27 un/vai1.28.jautājuma dati"</formula>
    </cfRule>
  </conditionalFormatting>
  <conditionalFormatting sqref="T27:W27">
    <cfRule type="cellIs" dxfId="17" priority="1" operator="equal">
      <formula>"Jākoriģē izklājlapas Titullapa 1.27 un/vai1.28.jautājuma dati"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D75"/>
  <sheetViews>
    <sheetView zoomScaleNormal="100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E22" sqref="E22"/>
    </sheetView>
  </sheetViews>
  <sheetFormatPr defaultColWidth="9.140625" defaultRowHeight="15" x14ac:dyDescent="0.25"/>
  <cols>
    <col min="1" max="1" width="7.5703125" style="423" customWidth="1"/>
    <col min="2" max="2" width="46.42578125" style="423" customWidth="1"/>
    <col min="3" max="3" width="11.42578125" style="423" customWidth="1"/>
    <col min="4" max="4" width="11.85546875" style="423" customWidth="1"/>
    <col min="5" max="29" width="12.5703125" style="423" bestFit="1" customWidth="1"/>
    <col min="30" max="30" width="12.140625" style="428" bestFit="1" customWidth="1"/>
    <col min="31" max="16384" width="9.140625" style="423"/>
  </cols>
  <sheetData>
    <row r="1" spans="1:30" s="428" customFormat="1" ht="26.25" x14ac:dyDescent="0.25">
      <c r="A1" s="903" t="s">
        <v>431</v>
      </c>
      <c r="B1" s="903"/>
      <c r="C1" s="903"/>
      <c r="D1" s="903"/>
    </row>
    <row r="2" spans="1:30" s="428" customFormat="1" ht="21" x14ac:dyDescent="0.35">
      <c r="A2" s="531" t="s">
        <v>432</v>
      </c>
    </row>
    <row r="3" spans="1:30" s="428" customFormat="1" x14ac:dyDescent="0.25"/>
    <row r="4" spans="1:30" s="196" customFormat="1" ht="12.75" x14ac:dyDescent="0.2">
      <c r="A4" s="12"/>
      <c r="B4" s="12"/>
      <c r="C4" s="952" t="s">
        <v>47</v>
      </c>
      <c r="D4" s="949" t="s">
        <v>46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946" t="s">
        <v>40</v>
      </c>
    </row>
    <row r="5" spans="1:30" s="196" customFormat="1" ht="12.75" x14ac:dyDescent="0.2">
      <c r="A5" s="24"/>
      <c r="B5" s="101"/>
      <c r="C5" s="953"/>
      <c r="D5" s="950"/>
      <c r="E5" s="878">
        <v>0</v>
      </c>
      <c r="F5" s="878">
        <f>E5+1</f>
        <v>1</v>
      </c>
      <c r="G5" s="878">
        <f t="shared" ref="G5:AC5" si="0">F5+1</f>
        <v>2</v>
      </c>
      <c r="H5" s="878">
        <f t="shared" si="0"/>
        <v>3</v>
      </c>
      <c r="I5" s="878">
        <f t="shared" si="0"/>
        <v>4</v>
      </c>
      <c r="J5" s="878">
        <f t="shared" si="0"/>
        <v>5</v>
      </c>
      <c r="K5" s="878">
        <f t="shared" si="0"/>
        <v>6</v>
      </c>
      <c r="L5" s="878">
        <f t="shared" si="0"/>
        <v>7</v>
      </c>
      <c r="M5" s="878">
        <f t="shared" si="0"/>
        <v>8</v>
      </c>
      <c r="N5" s="878">
        <f t="shared" si="0"/>
        <v>9</v>
      </c>
      <c r="O5" s="878">
        <f t="shared" si="0"/>
        <v>10</v>
      </c>
      <c r="P5" s="878">
        <f t="shared" si="0"/>
        <v>11</v>
      </c>
      <c r="Q5" s="878">
        <f t="shared" si="0"/>
        <v>12</v>
      </c>
      <c r="R5" s="878">
        <f t="shared" si="0"/>
        <v>13</v>
      </c>
      <c r="S5" s="878">
        <f t="shared" si="0"/>
        <v>14</v>
      </c>
      <c r="T5" s="878">
        <f t="shared" si="0"/>
        <v>15</v>
      </c>
      <c r="U5" s="878">
        <f t="shared" si="0"/>
        <v>16</v>
      </c>
      <c r="V5" s="878">
        <f t="shared" si="0"/>
        <v>17</v>
      </c>
      <c r="W5" s="878">
        <f t="shared" si="0"/>
        <v>18</v>
      </c>
      <c r="X5" s="878">
        <f t="shared" si="0"/>
        <v>19</v>
      </c>
      <c r="Y5" s="878">
        <f t="shared" si="0"/>
        <v>20</v>
      </c>
      <c r="Z5" s="878">
        <f t="shared" si="0"/>
        <v>21</v>
      </c>
      <c r="AA5" s="878">
        <f t="shared" si="0"/>
        <v>22</v>
      </c>
      <c r="AB5" s="878">
        <f t="shared" si="0"/>
        <v>23</v>
      </c>
      <c r="AC5" s="878">
        <f t="shared" si="0"/>
        <v>24</v>
      </c>
      <c r="AD5" s="947"/>
    </row>
    <row r="6" spans="1:30" s="196" customFormat="1" ht="12.75" x14ac:dyDescent="0.2">
      <c r="A6" s="15"/>
      <c r="B6" s="558" t="s">
        <v>39</v>
      </c>
      <c r="C6" s="954"/>
      <c r="D6" s="951"/>
      <c r="E6" s="879">
        <f>Titullapa!D10</f>
        <v>2021</v>
      </c>
      <c r="F6" s="879">
        <f>E6+1</f>
        <v>2022</v>
      </c>
      <c r="G6" s="879">
        <f>F6+1</f>
        <v>2023</v>
      </c>
      <c r="H6" s="879">
        <f t="shared" ref="H6:S6" si="1">G6+1</f>
        <v>2024</v>
      </c>
      <c r="I6" s="879">
        <f t="shared" si="1"/>
        <v>2025</v>
      </c>
      <c r="J6" s="879">
        <f t="shared" si="1"/>
        <v>2026</v>
      </c>
      <c r="K6" s="879">
        <f t="shared" si="1"/>
        <v>2027</v>
      </c>
      <c r="L6" s="879">
        <f t="shared" si="1"/>
        <v>2028</v>
      </c>
      <c r="M6" s="879">
        <f t="shared" si="1"/>
        <v>2029</v>
      </c>
      <c r="N6" s="879">
        <f t="shared" si="1"/>
        <v>2030</v>
      </c>
      <c r="O6" s="879">
        <f t="shared" si="1"/>
        <v>2031</v>
      </c>
      <c r="P6" s="879">
        <f t="shared" si="1"/>
        <v>2032</v>
      </c>
      <c r="Q6" s="879">
        <f t="shared" si="1"/>
        <v>2033</v>
      </c>
      <c r="R6" s="879">
        <f t="shared" si="1"/>
        <v>2034</v>
      </c>
      <c r="S6" s="879">
        <f t="shared" si="1"/>
        <v>2035</v>
      </c>
      <c r="T6" s="879">
        <f t="shared" ref="T6" si="2">S6+1</f>
        <v>2036</v>
      </c>
      <c r="U6" s="879">
        <f t="shared" ref="U6" si="3">T6+1</f>
        <v>2037</v>
      </c>
      <c r="V6" s="879">
        <f t="shared" ref="V6" si="4">U6+1</f>
        <v>2038</v>
      </c>
      <c r="W6" s="879">
        <f t="shared" ref="W6" si="5">V6+1</f>
        <v>2039</v>
      </c>
      <c r="X6" s="879">
        <f t="shared" ref="X6" si="6">W6+1</f>
        <v>2040</v>
      </c>
      <c r="Y6" s="879">
        <f t="shared" ref="Y6" si="7">X6+1</f>
        <v>2041</v>
      </c>
      <c r="Z6" s="879">
        <f t="shared" ref="Z6" si="8">Y6+1</f>
        <v>2042</v>
      </c>
      <c r="AA6" s="879">
        <f t="shared" ref="AA6" si="9">Z6+1</f>
        <v>2043</v>
      </c>
      <c r="AB6" s="879">
        <f t="shared" ref="AB6" si="10">AA6+1</f>
        <v>2044</v>
      </c>
      <c r="AC6" s="879">
        <f t="shared" ref="AC6" si="11">AB6+1</f>
        <v>2045</v>
      </c>
      <c r="AD6" s="948"/>
    </row>
    <row r="7" spans="1:30" s="190" customFormat="1" ht="12.75" x14ac:dyDescent="0.2">
      <c r="A7" s="32"/>
      <c r="B7" s="146"/>
      <c r="C7" s="71"/>
      <c r="D7" s="118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24"/>
    </row>
    <row r="8" spans="1:30" s="527" customFormat="1" ht="25.5" x14ac:dyDescent="0.2">
      <c r="A8" s="725"/>
      <c r="B8" s="564" t="s">
        <v>554</v>
      </c>
      <c r="C8" s="564" t="s">
        <v>48</v>
      </c>
      <c r="D8" s="530">
        <v>100</v>
      </c>
      <c r="E8" s="530">
        <v>100</v>
      </c>
      <c r="F8" s="530">
        <v>100</v>
      </c>
      <c r="G8" s="530">
        <v>100</v>
      </c>
      <c r="H8" s="530">
        <v>100</v>
      </c>
      <c r="I8" s="530">
        <v>100</v>
      </c>
      <c r="J8" s="530">
        <v>100</v>
      </c>
      <c r="K8" s="530">
        <v>100</v>
      </c>
      <c r="L8" s="530">
        <v>100</v>
      </c>
      <c r="M8" s="530">
        <v>100</v>
      </c>
      <c r="N8" s="530">
        <v>100</v>
      </c>
      <c r="O8" s="530">
        <v>100</v>
      </c>
      <c r="P8" s="530">
        <v>100</v>
      </c>
      <c r="Q8" s="530">
        <v>100</v>
      </c>
      <c r="R8" s="530">
        <v>100</v>
      </c>
      <c r="S8" s="530">
        <v>100</v>
      </c>
      <c r="T8" s="530">
        <v>100</v>
      </c>
      <c r="U8" s="530">
        <v>100</v>
      </c>
      <c r="V8" s="530">
        <v>100</v>
      </c>
      <c r="W8" s="530">
        <v>100</v>
      </c>
      <c r="X8" s="530">
        <v>100</v>
      </c>
      <c r="Y8" s="530">
        <v>100</v>
      </c>
      <c r="Z8" s="530">
        <v>100</v>
      </c>
      <c r="AA8" s="530">
        <v>100</v>
      </c>
      <c r="AB8" s="530">
        <v>100</v>
      </c>
      <c r="AC8" s="530">
        <v>100</v>
      </c>
      <c r="AD8" s="565">
        <f>SUM(E8:AC8)</f>
        <v>2500</v>
      </c>
    </row>
    <row r="9" spans="1:30" s="527" customFormat="1" ht="25.5" x14ac:dyDescent="0.2">
      <c r="A9" s="725"/>
      <c r="B9" s="564" t="s">
        <v>555</v>
      </c>
      <c r="C9" s="564" t="s">
        <v>48</v>
      </c>
      <c r="D9" s="530">
        <v>20</v>
      </c>
      <c r="E9" s="530">
        <v>20</v>
      </c>
      <c r="F9" s="530">
        <v>20</v>
      </c>
      <c r="G9" s="530">
        <v>20</v>
      </c>
      <c r="H9" s="530">
        <v>20</v>
      </c>
      <c r="I9" s="530">
        <v>20</v>
      </c>
      <c r="J9" s="530">
        <v>20</v>
      </c>
      <c r="K9" s="530">
        <v>20</v>
      </c>
      <c r="L9" s="530">
        <v>20</v>
      </c>
      <c r="M9" s="530">
        <v>20</v>
      </c>
      <c r="N9" s="530">
        <v>20</v>
      </c>
      <c r="O9" s="530">
        <v>20</v>
      </c>
      <c r="P9" s="530">
        <v>20</v>
      </c>
      <c r="Q9" s="530">
        <v>20</v>
      </c>
      <c r="R9" s="530">
        <v>20</v>
      </c>
      <c r="S9" s="530">
        <v>20</v>
      </c>
      <c r="T9" s="530">
        <v>20</v>
      </c>
      <c r="U9" s="530">
        <v>20</v>
      </c>
      <c r="V9" s="530">
        <v>20</v>
      </c>
      <c r="W9" s="530">
        <v>20</v>
      </c>
      <c r="X9" s="530">
        <v>20</v>
      </c>
      <c r="Y9" s="530">
        <v>20</v>
      </c>
      <c r="Z9" s="530">
        <v>20</v>
      </c>
      <c r="AA9" s="530">
        <v>20</v>
      </c>
      <c r="AB9" s="530">
        <v>20</v>
      </c>
      <c r="AC9" s="530">
        <v>20</v>
      </c>
      <c r="AD9" s="565">
        <f>SUM(E9:AC9)</f>
        <v>500</v>
      </c>
    </row>
    <row r="10" spans="1:30" s="527" customFormat="1" ht="25.5" x14ac:dyDescent="0.2">
      <c r="A10" s="875"/>
      <c r="B10" s="564" t="s">
        <v>589</v>
      </c>
      <c r="C10" s="564" t="s">
        <v>48</v>
      </c>
      <c r="D10" s="530"/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0"/>
      <c r="P10" s="530"/>
      <c r="Q10" s="530"/>
      <c r="R10" s="530"/>
      <c r="S10" s="530"/>
      <c r="T10" s="530"/>
      <c r="U10" s="530"/>
      <c r="V10" s="530"/>
      <c r="W10" s="530"/>
      <c r="X10" s="530"/>
      <c r="Y10" s="530"/>
      <c r="Z10" s="530"/>
      <c r="AA10" s="530"/>
      <c r="AB10" s="530"/>
      <c r="AC10" s="530"/>
      <c r="AD10" s="565">
        <f>SUM(E10:AC10)</f>
        <v>0</v>
      </c>
    </row>
    <row r="11" spans="1:30" s="196" customFormat="1" ht="12.75" x14ac:dyDescent="0.2">
      <c r="A11" s="17"/>
      <c r="B11" s="17"/>
      <c r="C11" s="17"/>
      <c r="D11" s="17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30" s="196" customFormat="1" ht="12.75" x14ac:dyDescent="0.2">
      <c r="A12" s="21" t="s">
        <v>41</v>
      </c>
      <c r="B12" s="21"/>
      <c r="C12" s="21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559"/>
    </row>
    <row r="13" spans="1:30" s="196" customFormat="1" ht="12.75" x14ac:dyDescent="0.2">
      <c r="A13" s="560"/>
      <c r="B13" s="560"/>
      <c r="C13" s="560"/>
      <c r="D13" s="560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</row>
    <row r="14" spans="1:30" s="196" customFormat="1" ht="13.5" customHeight="1" x14ac:dyDescent="0.2">
      <c r="A14" s="562">
        <v>1</v>
      </c>
      <c r="B14" s="563" t="s">
        <v>563</v>
      </c>
      <c r="C14" s="564" t="s">
        <v>20</v>
      </c>
      <c r="D14" s="565">
        <f>ROUND(SUM(D15:D24),2)</f>
        <v>6800</v>
      </c>
      <c r="E14" s="565">
        <f t="shared" ref="E14:AC14" si="12">ROUND(SUM(E15:E24),2)</f>
        <v>8912</v>
      </c>
      <c r="F14" s="565">
        <f t="shared" si="12"/>
        <v>6612</v>
      </c>
      <c r="G14" s="565">
        <f t="shared" si="12"/>
        <v>6612</v>
      </c>
      <c r="H14" s="565">
        <f t="shared" si="12"/>
        <v>6612</v>
      </c>
      <c r="I14" s="565">
        <f t="shared" si="12"/>
        <v>6612</v>
      </c>
      <c r="J14" s="565">
        <f t="shared" si="12"/>
        <v>6612</v>
      </c>
      <c r="K14" s="565">
        <f t="shared" si="12"/>
        <v>6612</v>
      </c>
      <c r="L14" s="565">
        <f t="shared" si="12"/>
        <v>6612</v>
      </c>
      <c r="M14" s="565">
        <f t="shared" si="12"/>
        <v>6612</v>
      </c>
      <c r="N14" s="565">
        <f t="shared" si="12"/>
        <v>6612</v>
      </c>
      <c r="O14" s="565">
        <f t="shared" si="12"/>
        <v>6612</v>
      </c>
      <c r="P14" s="565">
        <f t="shared" si="12"/>
        <v>6612</v>
      </c>
      <c r="Q14" s="565">
        <f t="shared" si="12"/>
        <v>6612</v>
      </c>
      <c r="R14" s="565">
        <f t="shared" si="12"/>
        <v>6612</v>
      </c>
      <c r="S14" s="565">
        <f t="shared" si="12"/>
        <v>6612</v>
      </c>
      <c r="T14" s="565">
        <f t="shared" si="12"/>
        <v>6612</v>
      </c>
      <c r="U14" s="565">
        <f t="shared" si="12"/>
        <v>6612</v>
      </c>
      <c r="V14" s="565">
        <f t="shared" si="12"/>
        <v>6612</v>
      </c>
      <c r="W14" s="565">
        <f t="shared" si="12"/>
        <v>6612</v>
      </c>
      <c r="X14" s="565">
        <f t="shared" si="12"/>
        <v>6612</v>
      </c>
      <c r="Y14" s="565">
        <f t="shared" si="12"/>
        <v>6612</v>
      </c>
      <c r="Z14" s="565">
        <f t="shared" si="12"/>
        <v>6612</v>
      </c>
      <c r="AA14" s="565">
        <f t="shared" si="12"/>
        <v>6612</v>
      </c>
      <c r="AB14" s="565">
        <f t="shared" si="12"/>
        <v>6612</v>
      </c>
      <c r="AC14" s="565">
        <f t="shared" si="12"/>
        <v>6612</v>
      </c>
      <c r="AD14" s="565">
        <f>SUM(E14:AC14)</f>
        <v>167600</v>
      </c>
    </row>
    <row r="15" spans="1:30" s="528" customFormat="1" ht="12.75" x14ac:dyDescent="0.2">
      <c r="A15" s="713" t="s">
        <v>27</v>
      </c>
      <c r="B15" s="564" t="s">
        <v>475</v>
      </c>
      <c r="C15" s="564" t="s">
        <v>20</v>
      </c>
      <c r="D15" s="556"/>
      <c r="E15" s="556">
        <v>5000</v>
      </c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6"/>
      <c r="X15" s="556"/>
      <c r="Y15" s="556"/>
      <c r="Z15" s="556"/>
      <c r="AA15" s="556"/>
      <c r="AB15" s="556"/>
      <c r="AC15" s="556"/>
      <c r="AD15" s="535">
        <f>SUM(E15:AC15)</f>
        <v>5000</v>
      </c>
    </row>
    <row r="16" spans="1:30" s="528" customFormat="1" ht="15" customHeight="1" x14ac:dyDescent="0.2">
      <c r="A16" s="714" t="s">
        <v>28</v>
      </c>
      <c r="B16" s="564" t="s">
        <v>476</v>
      </c>
      <c r="C16" s="567" t="s">
        <v>20</v>
      </c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  <c r="V16" s="530"/>
      <c r="W16" s="530"/>
      <c r="X16" s="530"/>
      <c r="Y16" s="530"/>
      <c r="Z16" s="530"/>
      <c r="AA16" s="530"/>
      <c r="AB16" s="530"/>
      <c r="AC16" s="530"/>
      <c r="AD16" s="535">
        <f t="shared" ref="AD16:AD24" si="13">SUM(E16:AC16)</f>
        <v>0</v>
      </c>
    </row>
    <row r="17" spans="1:30" s="528" customFormat="1" ht="12.75" x14ac:dyDescent="0.2">
      <c r="A17" s="715" t="s">
        <v>80</v>
      </c>
      <c r="B17" s="564" t="s">
        <v>477</v>
      </c>
      <c r="C17" s="567" t="s">
        <v>20</v>
      </c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0"/>
      <c r="S17" s="530"/>
      <c r="T17" s="530"/>
      <c r="U17" s="530"/>
      <c r="V17" s="530"/>
      <c r="W17" s="530"/>
      <c r="X17" s="530"/>
      <c r="Y17" s="530"/>
      <c r="Z17" s="530"/>
      <c r="AA17" s="530"/>
      <c r="AB17" s="530"/>
      <c r="AC17" s="530"/>
      <c r="AD17" s="535">
        <f t="shared" si="13"/>
        <v>0</v>
      </c>
    </row>
    <row r="18" spans="1:30" s="528" customFormat="1" ht="12.75" x14ac:dyDescent="0.2">
      <c r="A18" s="715" t="s">
        <v>142</v>
      </c>
      <c r="B18" s="567" t="s">
        <v>478</v>
      </c>
      <c r="C18" s="567" t="s">
        <v>20</v>
      </c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0"/>
      <c r="V18" s="530"/>
      <c r="W18" s="530"/>
      <c r="X18" s="530"/>
      <c r="Y18" s="530"/>
      <c r="Z18" s="530"/>
      <c r="AA18" s="530"/>
      <c r="AB18" s="530"/>
      <c r="AC18" s="530"/>
      <c r="AD18" s="535">
        <f t="shared" si="13"/>
        <v>0</v>
      </c>
    </row>
    <row r="19" spans="1:30" s="528" customFormat="1" ht="25.5" x14ac:dyDescent="0.2">
      <c r="A19" s="713" t="s">
        <v>81</v>
      </c>
      <c r="B19" s="564" t="s">
        <v>479</v>
      </c>
      <c r="C19" s="564" t="s">
        <v>20</v>
      </c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0"/>
      <c r="V19" s="530"/>
      <c r="W19" s="530"/>
      <c r="X19" s="530"/>
      <c r="Y19" s="530"/>
      <c r="Z19" s="530"/>
      <c r="AA19" s="530"/>
      <c r="AB19" s="530"/>
      <c r="AC19" s="530"/>
      <c r="AD19" s="535">
        <f t="shared" si="13"/>
        <v>0</v>
      </c>
    </row>
    <row r="20" spans="1:30" s="537" customFormat="1" ht="12.75" x14ac:dyDescent="0.2">
      <c r="A20" s="714" t="s">
        <v>82</v>
      </c>
      <c r="B20" s="567" t="s">
        <v>553</v>
      </c>
      <c r="C20" s="567" t="s">
        <v>20</v>
      </c>
      <c r="D20" s="536">
        <f>ROUND(D8*D71,2)</f>
        <v>6800</v>
      </c>
      <c r="E20" s="536">
        <f t="shared" ref="E20:AC20" si="14">ROUND(E8*E71,2)</f>
        <v>2912</v>
      </c>
      <c r="F20" s="536">
        <f t="shared" si="14"/>
        <v>6612</v>
      </c>
      <c r="G20" s="536">
        <f t="shared" si="14"/>
        <v>6612</v>
      </c>
      <c r="H20" s="536">
        <f t="shared" si="14"/>
        <v>6612</v>
      </c>
      <c r="I20" s="536">
        <f t="shared" si="14"/>
        <v>6612</v>
      </c>
      <c r="J20" s="536">
        <f t="shared" si="14"/>
        <v>6612</v>
      </c>
      <c r="K20" s="536">
        <f t="shared" si="14"/>
        <v>6612</v>
      </c>
      <c r="L20" s="536">
        <f t="shared" si="14"/>
        <v>6612</v>
      </c>
      <c r="M20" s="536">
        <f t="shared" si="14"/>
        <v>6612</v>
      </c>
      <c r="N20" s="536">
        <f t="shared" si="14"/>
        <v>6612</v>
      </c>
      <c r="O20" s="536">
        <f t="shared" si="14"/>
        <v>6612</v>
      </c>
      <c r="P20" s="536">
        <f t="shared" si="14"/>
        <v>6612</v>
      </c>
      <c r="Q20" s="536">
        <f t="shared" si="14"/>
        <v>6612</v>
      </c>
      <c r="R20" s="536">
        <f t="shared" si="14"/>
        <v>6612</v>
      </c>
      <c r="S20" s="536">
        <f t="shared" si="14"/>
        <v>6612</v>
      </c>
      <c r="T20" s="536">
        <f t="shared" si="14"/>
        <v>6612</v>
      </c>
      <c r="U20" s="536">
        <f t="shared" si="14"/>
        <v>6612</v>
      </c>
      <c r="V20" s="536">
        <f t="shared" si="14"/>
        <v>6612</v>
      </c>
      <c r="W20" s="536">
        <f t="shared" si="14"/>
        <v>6612</v>
      </c>
      <c r="X20" s="536">
        <f t="shared" si="14"/>
        <v>6612</v>
      </c>
      <c r="Y20" s="536">
        <f t="shared" si="14"/>
        <v>6612</v>
      </c>
      <c r="Z20" s="536">
        <f t="shared" si="14"/>
        <v>6612</v>
      </c>
      <c r="AA20" s="536">
        <f t="shared" si="14"/>
        <v>6612</v>
      </c>
      <c r="AB20" s="536">
        <f t="shared" si="14"/>
        <v>6612</v>
      </c>
      <c r="AC20" s="536">
        <f t="shared" si="14"/>
        <v>6612</v>
      </c>
      <c r="AD20" s="535">
        <f t="shared" si="13"/>
        <v>161600</v>
      </c>
    </row>
    <row r="21" spans="1:30" s="528" customFormat="1" ht="25.5" x14ac:dyDescent="0.2">
      <c r="A21" s="715" t="s">
        <v>145</v>
      </c>
      <c r="B21" s="881" t="s">
        <v>588</v>
      </c>
      <c r="C21" s="567" t="s">
        <v>20</v>
      </c>
      <c r="D21" s="530"/>
      <c r="E21" s="530">
        <v>1000</v>
      </c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530"/>
      <c r="Z21" s="530"/>
      <c r="AA21" s="530"/>
      <c r="AB21" s="530"/>
      <c r="AC21" s="530"/>
      <c r="AD21" s="535">
        <f t="shared" si="13"/>
        <v>1000</v>
      </c>
    </row>
    <row r="22" spans="1:30" s="528" customFormat="1" ht="12.75" x14ac:dyDescent="0.2">
      <c r="A22" s="715" t="s">
        <v>275</v>
      </c>
      <c r="B22" s="557"/>
      <c r="C22" s="567" t="s">
        <v>20</v>
      </c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530"/>
      <c r="AB22" s="530"/>
      <c r="AC22" s="530"/>
      <c r="AD22" s="535">
        <f t="shared" si="13"/>
        <v>0</v>
      </c>
    </row>
    <row r="23" spans="1:30" s="528" customFormat="1" ht="12.75" x14ac:dyDescent="0.2">
      <c r="A23" s="713" t="s">
        <v>276</v>
      </c>
      <c r="B23" s="557"/>
      <c r="C23" s="564" t="s">
        <v>20</v>
      </c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0"/>
      <c r="AC23" s="530"/>
      <c r="AD23" s="535">
        <f t="shared" si="13"/>
        <v>0</v>
      </c>
    </row>
    <row r="24" spans="1:30" s="528" customFormat="1" ht="12.75" x14ac:dyDescent="0.2">
      <c r="A24" s="716" t="s">
        <v>319</v>
      </c>
      <c r="B24" s="557"/>
      <c r="C24" s="567" t="s">
        <v>20</v>
      </c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530"/>
      <c r="Y24" s="530"/>
      <c r="Z24" s="530"/>
      <c r="AA24" s="530"/>
      <c r="AB24" s="530"/>
      <c r="AC24" s="530"/>
      <c r="AD24" s="535">
        <f t="shared" si="13"/>
        <v>0</v>
      </c>
    </row>
    <row r="25" spans="1:30" s="514" customFormat="1" ht="12.75" x14ac:dyDescent="0.2">
      <c r="D25" s="548"/>
      <c r="E25" s="548"/>
      <c r="F25" s="548"/>
      <c r="G25" s="548"/>
      <c r="H25" s="548"/>
      <c r="I25" s="548"/>
      <c r="J25" s="548"/>
      <c r="K25" s="548"/>
      <c r="L25" s="548"/>
      <c r="M25" s="548"/>
      <c r="N25" s="548"/>
      <c r="O25" s="548"/>
      <c r="P25" s="548"/>
      <c r="Q25" s="548"/>
      <c r="R25" s="548"/>
      <c r="S25" s="548"/>
      <c r="T25" s="548"/>
      <c r="U25" s="548"/>
      <c r="V25" s="548"/>
      <c r="W25" s="548"/>
      <c r="X25" s="548"/>
      <c r="Y25" s="548"/>
      <c r="Z25" s="548"/>
      <c r="AA25" s="548"/>
      <c r="AB25" s="548"/>
      <c r="AC25" s="548"/>
      <c r="AD25" s="548"/>
    </row>
    <row r="26" spans="1:30" s="537" customFormat="1" ht="12.75" x14ac:dyDescent="0.2">
      <c r="A26" s="566" t="s">
        <v>29</v>
      </c>
      <c r="B26" s="567" t="s">
        <v>50</v>
      </c>
      <c r="C26" s="532"/>
      <c r="D26" s="535">
        <f>ROUND(SUM(D27,D46,D47),2)</f>
        <v>6612.07</v>
      </c>
      <c r="E26" s="535">
        <f t="shared" ref="E26:AC26" si="15">ROUND(SUM(E27,E46,E47),2)</f>
        <v>6612.07</v>
      </c>
      <c r="F26" s="535">
        <f t="shared" si="15"/>
        <v>6612.07</v>
      </c>
      <c r="G26" s="535">
        <f t="shared" si="15"/>
        <v>6612.07</v>
      </c>
      <c r="H26" s="535">
        <f t="shared" si="15"/>
        <v>6612.07</v>
      </c>
      <c r="I26" s="535">
        <f t="shared" si="15"/>
        <v>6612.07</v>
      </c>
      <c r="J26" s="535">
        <f t="shared" si="15"/>
        <v>6612.07</v>
      </c>
      <c r="K26" s="535">
        <f t="shared" si="15"/>
        <v>6612.07</v>
      </c>
      <c r="L26" s="535">
        <f t="shared" si="15"/>
        <v>6612.07</v>
      </c>
      <c r="M26" s="535">
        <f t="shared" si="15"/>
        <v>6612.07</v>
      </c>
      <c r="N26" s="535">
        <f t="shared" si="15"/>
        <v>6612.07</v>
      </c>
      <c r="O26" s="535">
        <f t="shared" si="15"/>
        <v>6612.07</v>
      </c>
      <c r="P26" s="535">
        <f t="shared" si="15"/>
        <v>6612.07</v>
      </c>
      <c r="Q26" s="535">
        <f t="shared" si="15"/>
        <v>6612.07</v>
      </c>
      <c r="R26" s="535">
        <f t="shared" si="15"/>
        <v>6612.07</v>
      </c>
      <c r="S26" s="535">
        <f t="shared" si="15"/>
        <v>6612.07</v>
      </c>
      <c r="T26" s="535">
        <f t="shared" si="15"/>
        <v>6612.07</v>
      </c>
      <c r="U26" s="535">
        <f t="shared" si="15"/>
        <v>6612.07</v>
      </c>
      <c r="V26" s="535">
        <f t="shared" si="15"/>
        <v>6612.07</v>
      </c>
      <c r="W26" s="535">
        <f t="shared" si="15"/>
        <v>6612.07</v>
      </c>
      <c r="X26" s="535">
        <f t="shared" si="15"/>
        <v>6612.07</v>
      </c>
      <c r="Y26" s="535">
        <f t="shared" si="15"/>
        <v>6612.07</v>
      </c>
      <c r="Z26" s="535">
        <f t="shared" si="15"/>
        <v>6612.07</v>
      </c>
      <c r="AA26" s="535">
        <f t="shared" si="15"/>
        <v>6612.07</v>
      </c>
      <c r="AB26" s="535">
        <f t="shared" si="15"/>
        <v>6612.07</v>
      </c>
      <c r="AC26" s="535">
        <f t="shared" si="15"/>
        <v>6612.07</v>
      </c>
      <c r="AD26" s="535">
        <f>SUM(AD27,AD46,AD47,AD52)</f>
        <v>165301.75000000009</v>
      </c>
    </row>
    <row r="27" spans="1:30" s="537" customFormat="1" ht="25.5" x14ac:dyDescent="0.2">
      <c r="A27" s="566" t="s">
        <v>51</v>
      </c>
      <c r="B27" s="564" t="s">
        <v>480</v>
      </c>
      <c r="C27" s="564" t="s">
        <v>20</v>
      </c>
      <c r="D27" s="535">
        <f>ROUND(SUM(,D28,D31:D40,D44),2)</f>
        <v>6612.07</v>
      </c>
      <c r="E27" s="535">
        <f t="shared" ref="E27:AC27" si="16">ROUND(SUM(,E28,E31:E40,E44),2)</f>
        <v>6612.07</v>
      </c>
      <c r="F27" s="535">
        <f t="shared" si="16"/>
        <v>6612.07</v>
      </c>
      <c r="G27" s="535">
        <f t="shared" si="16"/>
        <v>6612.07</v>
      </c>
      <c r="H27" s="535">
        <f t="shared" si="16"/>
        <v>6612.07</v>
      </c>
      <c r="I27" s="535">
        <f t="shared" si="16"/>
        <v>6612.07</v>
      </c>
      <c r="J27" s="535">
        <f t="shared" si="16"/>
        <v>6612.07</v>
      </c>
      <c r="K27" s="535">
        <f t="shared" si="16"/>
        <v>6612.07</v>
      </c>
      <c r="L27" s="535">
        <f t="shared" si="16"/>
        <v>6612.07</v>
      </c>
      <c r="M27" s="535">
        <f t="shared" si="16"/>
        <v>6612.07</v>
      </c>
      <c r="N27" s="535">
        <f t="shared" si="16"/>
        <v>6612.07</v>
      </c>
      <c r="O27" s="535">
        <f t="shared" si="16"/>
        <v>6612.07</v>
      </c>
      <c r="P27" s="535">
        <f t="shared" si="16"/>
        <v>6612.07</v>
      </c>
      <c r="Q27" s="535">
        <f t="shared" si="16"/>
        <v>6612.07</v>
      </c>
      <c r="R27" s="535">
        <f t="shared" si="16"/>
        <v>6612.07</v>
      </c>
      <c r="S27" s="535">
        <f t="shared" si="16"/>
        <v>6612.07</v>
      </c>
      <c r="T27" s="535">
        <f t="shared" si="16"/>
        <v>6612.07</v>
      </c>
      <c r="U27" s="535">
        <f t="shared" si="16"/>
        <v>6612.07</v>
      </c>
      <c r="V27" s="535">
        <f t="shared" si="16"/>
        <v>6612.07</v>
      </c>
      <c r="W27" s="535">
        <f t="shared" si="16"/>
        <v>6612.07</v>
      </c>
      <c r="X27" s="535">
        <f t="shared" si="16"/>
        <v>6612.07</v>
      </c>
      <c r="Y27" s="535">
        <f t="shared" si="16"/>
        <v>6612.07</v>
      </c>
      <c r="Z27" s="535">
        <f t="shared" si="16"/>
        <v>6612.07</v>
      </c>
      <c r="AA27" s="535">
        <f t="shared" si="16"/>
        <v>6612.07</v>
      </c>
      <c r="AB27" s="535">
        <f t="shared" si="16"/>
        <v>6612.07</v>
      </c>
      <c r="AC27" s="535">
        <f t="shared" si="16"/>
        <v>6612.07</v>
      </c>
      <c r="AD27" s="535">
        <f t="shared" ref="AD27:AD35" si="17">SUM(E27:AC27)</f>
        <v>165301.75000000009</v>
      </c>
    </row>
    <row r="28" spans="1:30" s="520" customFormat="1" ht="12.75" x14ac:dyDescent="0.2">
      <c r="A28" s="717" t="s">
        <v>248</v>
      </c>
      <c r="B28" s="564" t="s">
        <v>481</v>
      </c>
      <c r="C28" s="564" t="s">
        <v>20</v>
      </c>
      <c r="D28" s="536">
        <f>ROUND(SUM(D29:D30),2)</f>
        <v>6179.5</v>
      </c>
      <c r="E28" s="536">
        <f t="shared" ref="E28:AC28" si="18">ROUND(SUM(E29:E30),2)</f>
        <v>6179.5</v>
      </c>
      <c r="F28" s="536">
        <f t="shared" si="18"/>
        <v>6179.5</v>
      </c>
      <c r="G28" s="536">
        <f t="shared" si="18"/>
        <v>6179.5</v>
      </c>
      <c r="H28" s="536">
        <f t="shared" si="18"/>
        <v>6179.5</v>
      </c>
      <c r="I28" s="536">
        <f t="shared" si="18"/>
        <v>6179.5</v>
      </c>
      <c r="J28" s="536">
        <f t="shared" si="18"/>
        <v>6179.5</v>
      </c>
      <c r="K28" s="536">
        <f t="shared" si="18"/>
        <v>6179.5</v>
      </c>
      <c r="L28" s="536">
        <f t="shared" si="18"/>
        <v>6179.5</v>
      </c>
      <c r="M28" s="536">
        <f t="shared" si="18"/>
        <v>6179.5</v>
      </c>
      <c r="N28" s="536">
        <f t="shared" si="18"/>
        <v>6179.5</v>
      </c>
      <c r="O28" s="536">
        <f t="shared" si="18"/>
        <v>6179.5</v>
      </c>
      <c r="P28" s="536">
        <f t="shared" si="18"/>
        <v>6179.5</v>
      </c>
      <c r="Q28" s="536">
        <f t="shared" si="18"/>
        <v>6179.5</v>
      </c>
      <c r="R28" s="536">
        <f t="shared" si="18"/>
        <v>6179.5</v>
      </c>
      <c r="S28" s="536">
        <f t="shared" si="18"/>
        <v>6179.5</v>
      </c>
      <c r="T28" s="536">
        <f t="shared" si="18"/>
        <v>6179.5</v>
      </c>
      <c r="U28" s="536">
        <f t="shared" si="18"/>
        <v>6179.5</v>
      </c>
      <c r="V28" s="536">
        <f t="shared" si="18"/>
        <v>6179.5</v>
      </c>
      <c r="W28" s="536">
        <f t="shared" si="18"/>
        <v>6179.5</v>
      </c>
      <c r="X28" s="536">
        <f t="shared" si="18"/>
        <v>6179.5</v>
      </c>
      <c r="Y28" s="536">
        <f t="shared" si="18"/>
        <v>6179.5</v>
      </c>
      <c r="Z28" s="536">
        <f t="shared" si="18"/>
        <v>6179.5</v>
      </c>
      <c r="AA28" s="536">
        <f t="shared" si="18"/>
        <v>6179.5</v>
      </c>
      <c r="AB28" s="536">
        <f t="shared" si="18"/>
        <v>6179.5</v>
      </c>
      <c r="AC28" s="536">
        <f t="shared" si="18"/>
        <v>6179.5</v>
      </c>
      <c r="AD28" s="536">
        <f t="shared" si="17"/>
        <v>154487.5</v>
      </c>
    </row>
    <row r="29" spans="1:30" s="526" customFormat="1" ht="12.75" x14ac:dyDescent="0.2">
      <c r="A29" s="718"/>
      <c r="B29" s="543" t="s">
        <v>482</v>
      </c>
      <c r="C29" s="543" t="s">
        <v>20</v>
      </c>
      <c r="D29" s="529">
        <v>5000</v>
      </c>
      <c r="E29" s="529">
        <v>5000</v>
      </c>
      <c r="F29" s="529">
        <v>5000</v>
      </c>
      <c r="G29" s="529">
        <v>5000</v>
      </c>
      <c r="H29" s="529">
        <v>5000</v>
      </c>
      <c r="I29" s="529">
        <v>5000</v>
      </c>
      <c r="J29" s="529">
        <v>5000</v>
      </c>
      <c r="K29" s="529">
        <v>5000</v>
      </c>
      <c r="L29" s="529">
        <v>5000</v>
      </c>
      <c r="M29" s="529">
        <v>5000</v>
      </c>
      <c r="N29" s="529">
        <v>5000</v>
      </c>
      <c r="O29" s="529">
        <v>5000</v>
      </c>
      <c r="P29" s="529">
        <v>5000</v>
      </c>
      <c r="Q29" s="529">
        <v>5000</v>
      </c>
      <c r="R29" s="529">
        <v>5000</v>
      </c>
      <c r="S29" s="529">
        <v>5000</v>
      </c>
      <c r="T29" s="529">
        <v>5000</v>
      </c>
      <c r="U29" s="529">
        <v>5000</v>
      </c>
      <c r="V29" s="529">
        <v>5000</v>
      </c>
      <c r="W29" s="529">
        <v>5000</v>
      </c>
      <c r="X29" s="529">
        <v>5000</v>
      </c>
      <c r="Y29" s="529">
        <v>5000</v>
      </c>
      <c r="Z29" s="529">
        <v>5000</v>
      </c>
      <c r="AA29" s="529">
        <v>5000</v>
      </c>
      <c r="AB29" s="529">
        <v>5000</v>
      </c>
      <c r="AC29" s="529">
        <v>5000</v>
      </c>
      <c r="AD29" s="539">
        <f t="shared" si="17"/>
        <v>125000</v>
      </c>
    </row>
    <row r="30" spans="1:30" s="526" customFormat="1" ht="12.75" x14ac:dyDescent="0.2">
      <c r="A30" s="718"/>
      <c r="B30" s="543" t="s">
        <v>483</v>
      </c>
      <c r="C30" s="862">
        <v>0.2359</v>
      </c>
      <c r="D30" s="539">
        <f>ROUND($C$30*D29,2)</f>
        <v>1179.5</v>
      </c>
      <c r="E30" s="539">
        <f t="shared" ref="E30:AC30" si="19">ROUND($C$30*E29,2)</f>
        <v>1179.5</v>
      </c>
      <c r="F30" s="539">
        <f t="shared" si="19"/>
        <v>1179.5</v>
      </c>
      <c r="G30" s="539">
        <f t="shared" si="19"/>
        <v>1179.5</v>
      </c>
      <c r="H30" s="539">
        <f t="shared" si="19"/>
        <v>1179.5</v>
      </c>
      <c r="I30" s="539">
        <f t="shared" si="19"/>
        <v>1179.5</v>
      </c>
      <c r="J30" s="539">
        <f t="shared" si="19"/>
        <v>1179.5</v>
      </c>
      <c r="K30" s="539">
        <f t="shared" si="19"/>
        <v>1179.5</v>
      </c>
      <c r="L30" s="539">
        <f t="shared" si="19"/>
        <v>1179.5</v>
      </c>
      <c r="M30" s="539">
        <f t="shared" si="19"/>
        <v>1179.5</v>
      </c>
      <c r="N30" s="539">
        <f t="shared" si="19"/>
        <v>1179.5</v>
      </c>
      <c r="O30" s="539">
        <f t="shared" si="19"/>
        <v>1179.5</v>
      </c>
      <c r="P30" s="539">
        <f t="shared" si="19"/>
        <v>1179.5</v>
      </c>
      <c r="Q30" s="539">
        <f t="shared" si="19"/>
        <v>1179.5</v>
      </c>
      <c r="R30" s="539">
        <f t="shared" si="19"/>
        <v>1179.5</v>
      </c>
      <c r="S30" s="539">
        <f t="shared" si="19"/>
        <v>1179.5</v>
      </c>
      <c r="T30" s="539">
        <f t="shared" si="19"/>
        <v>1179.5</v>
      </c>
      <c r="U30" s="539">
        <f t="shared" si="19"/>
        <v>1179.5</v>
      </c>
      <c r="V30" s="539">
        <f t="shared" si="19"/>
        <v>1179.5</v>
      </c>
      <c r="W30" s="539">
        <f t="shared" si="19"/>
        <v>1179.5</v>
      </c>
      <c r="X30" s="539">
        <f t="shared" si="19"/>
        <v>1179.5</v>
      </c>
      <c r="Y30" s="539">
        <f t="shared" si="19"/>
        <v>1179.5</v>
      </c>
      <c r="Z30" s="539">
        <f t="shared" si="19"/>
        <v>1179.5</v>
      </c>
      <c r="AA30" s="539">
        <f t="shared" si="19"/>
        <v>1179.5</v>
      </c>
      <c r="AB30" s="539">
        <f t="shared" si="19"/>
        <v>1179.5</v>
      </c>
      <c r="AC30" s="539">
        <f t="shared" si="19"/>
        <v>1179.5</v>
      </c>
      <c r="AD30" s="539">
        <f t="shared" si="17"/>
        <v>29487.5</v>
      </c>
    </row>
    <row r="31" spans="1:30" s="528" customFormat="1" ht="52.5" customHeight="1" x14ac:dyDescent="0.2">
      <c r="A31" s="716" t="s">
        <v>249</v>
      </c>
      <c r="B31" s="564" t="s">
        <v>503</v>
      </c>
      <c r="C31" s="564" t="s">
        <v>20</v>
      </c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0"/>
      <c r="R31" s="530"/>
      <c r="S31" s="530"/>
      <c r="T31" s="530"/>
      <c r="U31" s="530"/>
      <c r="V31" s="530"/>
      <c r="W31" s="530"/>
      <c r="X31" s="530"/>
      <c r="Y31" s="530"/>
      <c r="Z31" s="530"/>
      <c r="AA31" s="530"/>
      <c r="AB31" s="530"/>
      <c r="AC31" s="530"/>
      <c r="AD31" s="535">
        <f t="shared" si="17"/>
        <v>0</v>
      </c>
    </row>
    <row r="32" spans="1:30" s="528" customFormat="1" ht="31.5" customHeight="1" x14ac:dyDescent="0.2">
      <c r="A32" s="716" t="s">
        <v>250</v>
      </c>
      <c r="B32" s="564" t="s">
        <v>490</v>
      </c>
      <c r="C32" s="564" t="s">
        <v>20</v>
      </c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0"/>
      <c r="R32" s="530"/>
      <c r="S32" s="530"/>
      <c r="T32" s="530"/>
      <c r="U32" s="530"/>
      <c r="V32" s="530"/>
      <c r="W32" s="530"/>
      <c r="X32" s="530"/>
      <c r="Y32" s="530"/>
      <c r="Z32" s="530"/>
      <c r="AA32" s="530"/>
      <c r="AB32" s="530"/>
      <c r="AC32" s="530"/>
      <c r="AD32" s="535">
        <f t="shared" si="17"/>
        <v>0</v>
      </c>
    </row>
    <row r="33" spans="1:30" s="521" customFormat="1" ht="25.5" x14ac:dyDescent="0.2">
      <c r="A33" s="716" t="s">
        <v>251</v>
      </c>
      <c r="B33" s="564" t="s">
        <v>491</v>
      </c>
      <c r="C33" s="564" t="s">
        <v>20</v>
      </c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0"/>
      <c r="R33" s="530"/>
      <c r="S33" s="530"/>
      <c r="T33" s="530"/>
      <c r="U33" s="530"/>
      <c r="V33" s="530"/>
      <c r="W33" s="530"/>
      <c r="X33" s="530"/>
      <c r="Y33" s="530"/>
      <c r="Z33" s="530"/>
      <c r="AA33" s="530"/>
      <c r="AB33" s="530"/>
      <c r="AC33" s="530"/>
      <c r="AD33" s="535">
        <f t="shared" si="17"/>
        <v>0</v>
      </c>
    </row>
    <row r="34" spans="1:30" s="521" customFormat="1" ht="12.75" x14ac:dyDescent="0.2">
      <c r="A34" s="716" t="s">
        <v>252</v>
      </c>
      <c r="B34" s="564" t="s">
        <v>492</v>
      </c>
      <c r="C34" s="564" t="s">
        <v>20</v>
      </c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0"/>
      <c r="T34" s="530"/>
      <c r="U34" s="530"/>
      <c r="V34" s="530"/>
      <c r="W34" s="530"/>
      <c r="X34" s="530"/>
      <c r="Y34" s="530"/>
      <c r="Z34" s="530"/>
      <c r="AA34" s="530"/>
      <c r="AB34" s="530"/>
      <c r="AC34" s="530"/>
      <c r="AD34" s="535">
        <f t="shared" si="17"/>
        <v>0</v>
      </c>
    </row>
    <row r="35" spans="1:30" s="527" customFormat="1" ht="12.75" x14ac:dyDescent="0.2">
      <c r="A35" s="717" t="s">
        <v>253</v>
      </c>
      <c r="B35" s="564" t="s">
        <v>493</v>
      </c>
      <c r="C35" s="564" t="s">
        <v>20</v>
      </c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0"/>
      <c r="R35" s="530"/>
      <c r="S35" s="530"/>
      <c r="T35" s="530"/>
      <c r="U35" s="530"/>
      <c r="V35" s="530"/>
      <c r="W35" s="530"/>
      <c r="X35" s="530"/>
      <c r="Y35" s="530"/>
      <c r="Z35" s="530"/>
      <c r="AA35" s="530"/>
      <c r="AB35" s="530"/>
      <c r="AC35" s="530"/>
      <c r="AD35" s="535">
        <f t="shared" si="17"/>
        <v>0</v>
      </c>
    </row>
    <row r="36" spans="1:30" s="527" customFormat="1" ht="27.75" customHeight="1" x14ac:dyDescent="0.2">
      <c r="A36" s="717" t="s">
        <v>365</v>
      </c>
      <c r="B36" s="564" t="s">
        <v>494</v>
      </c>
      <c r="C36" s="564" t="s">
        <v>20</v>
      </c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0"/>
      <c r="R36" s="530"/>
      <c r="S36" s="530"/>
      <c r="T36" s="530"/>
      <c r="U36" s="530"/>
      <c r="V36" s="530"/>
      <c r="W36" s="530"/>
      <c r="X36" s="530"/>
      <c r="Y36" s="530"/>
      <c r="Z36" s="530"/>
      <c r="AA36" s="530"/>
      <c r="AB36" s="530"/>
      <c r="AC36" s="530"/>
      <c r="AD36" s="565">
        <f>SUM(E36:AC36)</f>
        <v>0</v>
      </c>
    </row>
    <row r="37" spans="1:30" s="527" customFormat="1" ht="25.5" x14ac:dyDescent="0.2">
      <c r="A37" s="716" t="s">
        <v>366</v>
      </c>
      <c r="B37" s="564" t="s">
        <v>495</v>
      </c>
      <c r="C37" s="564" t="s">
        <v>20</v>
      </c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0"/>
      <c r="U37" s="530"/>
      <c r="V37" s="530"/>
      <c r="W37" s="530"/>
      <c r="X37" s="530"/>
      <c r="Y37" s="530"/>
      <c r="Z37" s="530"/>
      <c r="AA37" s="530"/>
      <c r="AB37" s="530"/>
      <c r="AC37" s="530"/>
      <c r="AD37" s="565">
        <f>SUM(E37:AC37)</f>
        <v>0</v>
      </c>
    </row>
    <row r="38" spans="1:30" s="527" customFormat="1" ht="12.75" x14ac:dyDescent="0.2">
      <c r="A38" s="717" t="s">
        <v>367</v>
      </c>
      <c r="B38" s="564" t="s">
        <v>496</v>
      </c>
      <c r="C38" s="564" t="s">
        <v>20</v>
      </c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30"/>
      <c r="AC38" s="530"/>
      <c r="AD38" s="565">
        <f>SUM(E38:AC38)</f>
        <v>0</v>
      </c>
    </row>
    <row r="39" spans="1:30" s="527" customFormat="1" ht="12.75" x14ac:dyDescent="0.2">
      <c r="A39" s="716" t="s">
        <v>439</v>
      </c>
      <c r="B39" s="564" t="s">
        <v>497</v>
      </c>
      <c r="C39" s="564" t="s">
        <v>20</v>
      </c>
      <c r="D39" s="530"/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0"/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30"/>
      <c r="AC39" s="530"/>
      <c r="AD39" s="565">
        <f>SUM(E39:AC39)</f>
        <v>0</v>
      </c>
    </row>
    <row r="40" spans="1:30" s="741" customFormat="1" ht="12.75" x14ac:dyDescent="0.2">
      <c r="A40" s="717" t="s">
        <v>484</v>
      </c>
      <c r="B40" s="564" t="s">
        <v>486</v>
      </c>
      <c r="C40" s="564" t="s">
        <v>20</v>
      </c>
      <c r="D40" s="536">
        <f>SUM(D41:D43)</f>
        <v>0</v>
      </c>
      <c r="E40" s="536">
        <f t="shared" ref="E40:AC40" si="20">SUM(E41:E43)</f>
        <v>0</v>
      </c>
      <c r="F40" s="536">
        <f t="shared" si="20"/>
        <v>0</v>
      </c>
      <c r="G40" s="536">
        <f t="shared" si="20"/>
        <v>0</v>
      </c>
      <c r="H40" s="536">
        <f t="shared" si="20"/>
        <v>0</v>
      </c>
      <c r="I40" s="536">
        <f t="shared" si="20"/>
        <v>0</v>
      </c>
      <c r="J40" s="536">
        <f t="shared" si="20"/>
        <v>0</v>
      </c>
      <c r="K40" s="536">
        <f t="shared" si="20"/>
        <v>0</v>
      </c>
      <c r="L40" s="536">
        <f t="shared" si="20"/>
        <v>0</v>
      </c>
      <c r="M40" s="536">
        <f t="shared" si="20"/>
        <v>0</v>
      </c>
      <c r="N40" s="536">
        <f t="shared" si="20"/>
        <v>0</v>
      </c>
      <c r="O40" s="536">
        <f t="shared" si="20"/>
        <v>0</v>
      </c>
      <c r="P40" s="536">
        <f t="shared" si="20"/>
        <v>0</v>
      </c>
      <c r="Q40" s="536">
        <f t="shared" si="20"/>
        <v>0</v>
      </c>
      <c r="R40" s="536">
        <f t="shared" si="20"/>
        <v>0</v>
      </c>
      <c r="S40" s="536">
        <f t="shared" si="20"/>
        <v>0</v>
      </c>
      <c r="T40" s="536">
        <f t="shared" si="20"/>
        <v>0</v>
      </c>
      <c r="U40" s="536">
        <f t="shared" si="20"/>
        <v>0</v>
      </c>
      <c r="V40" s="536">
        <f t="shared" si="20"/>
        <v>0</v>
      </c>
      <c r="W40" s="536">
        <f t="shared" si="20"/>
        <v>0</v>
      </c>
      <c r="X40" s="536">
        <f t="shared" si="20"/>
        <v>0</v>
      </c>
      <c r="Y40" s="536">
        <f t="shared" si="20"/>
        <v>0</v>
      </c>
      <c r="Z40" s="536">
        <f t="shared" si="20"/>
        <v>0</v>
      </c>
      <c r="AA40" s="536">
        <f t="shared" si="20"/>
        <v>0</v>
      </c>
      <c r="AB40" s="536">
        <f t="shared" si="20"/>
        <v>0</v>
      </c>
      <c r="AC40" s="536">
        <f t="shared" si="20"/>
        <v>0</v>
      </c>
      <c r="AD40" s="565">
        <f t="shared" ref="AD40:AD46" si="21">SUM(E40:AC40)</f>
        <v>0</v>
      </c>
    </row>
    <row r="41" spans="1:30" s="527" customFormat="1" ht="12.75" x14ac:dyDescent="0.2">
      <c r="A41" s="717"/>
      <c r="B41" s="564" t="s">
        <v>487</v>
      </c>
      <c r="C41" s="564" t="s">
        <v>20</v>
      </c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65">
        <f t="shared" si="21"/>
        <v>0</v>
      </c>
    </row>
    <row r="42" spans="1:30" s="527" customFormat="1" ht="12.75" x14ac:dyDescent="0.2">
      <c r="A42" s="717"/>
      <c r="B42" s="564" t="s">
        <v>488</v>
      </c>
      <c r="C42" s="564" t="s">
        <v>20</v>
      </c>
      <c r="D42" s="530"/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30"/>
      <c r="P42" s="530"/>
      <c r="Q42" s="530"/>
      <c r="R42" s="530"/>
      <c r="S42" s="530"/>
      <c r="T42" s="530"/>
      <c r="U42" s="530"/>
      <c r="V42" s="530"/>
      <c r="W42" s="530"/>
      <c r="X42" s="530"/>
      <c r="Y42" s="530"/>
      <c r="Z42" s="530"/>
      <c r="AA42" s="530"/>
      <c r="AB42" s="530"/>
      <c r="AC42" s="530"/>
      <c r="AD42" s="565">
        <f t="shared" si="21"/>
        <v>0</v>
      </c>
    </row>
    <row r="43" spans="1:30" s="527" customFormat="1" ht="23.25" customHeight="1" x14ac:dyDescent="0.2">
      <c r="A43" s="717"/>
      <c r="B43" s="764" t="s">
        <v>512</v>
      </c>
      <c r="C43" s="564" t="s">
        <v>20</v>
      </c>
      <c r="D43" s="530"/>
      <c r="E43" s="530"/>
      <c r="F43" s="530"/>
      <c r="G43" s="530"/>
      <c r="H43" s="530"/>
      <c r="I43" s="530"/>
      <c r="J43" s="530"/>
      <c r="K43" s="530"/>
      <c r="L43" s="530"/>
      <c r="M43" s="530"/>
      <c r="N43" s="530"/>
      <c r="O43" s="530"/>
      <c r="P43" s="530"/>
      <c r="Q43" s="530"/>
      <c r="R43" s="530"/>
      <c r="S43" s="530"/>
      <c r="T43" s="530"/>
      <c r="U43" s="530"/>
      <c r="V43" s="530"/>
      <c r="W43" s="530"/>
      <c r="X43" s="530"/>
      <c r="Y43" s="530"/>
      <c r="Z43" s="530"/>
      <c r="AA43" s="530"/>
      <c r="AB43" s="530"/>
      <c r="AC43" s="530"/>
      <c r="AD43" s="565">
        <f t="shared" si="21"/>
        <v>0</v>
      </c>
    </row>
    <row r="44" spans="1:30" s="741" customFormat="1" ht="12.75" x14ac:dyDescent="0.2">
      <c r="A44" s="717" t="s">
        <v>485</v>
      </c>
      <c r="B44" s="564" t="s">
        <v>498</v>
      </c>
      <c r="C44" s="564" t="s">
        <v>20</v>
      </c>
      <c r="D44" s="536">
        <f>ROUND($C$45*SUM(D28,D31:D40),2)</f>
        <v>432.57</v>
      </c>
      <c r="E44" s="536">
        <f>ROUND($C$45*SUM(E28,E31:E40),2)</f>
        <v>432.57</v>
      </c>
      <c r="F44" s="536">
        <f t="shared" ref="F44:AC44" si="22">ROUND($C$45*SUM(F28,F31:F40),2)</f>
        <v>432.57</v>
      </c>
      <c r="G44" s="536">
        <f t="shared" si="22"/>
        <v>432.57</v>
      </c>
      <c r="H44" s="536">
        <f t="shared" si="22"/>
        <v>432.57</v>
      </c>
      <c r="I44" s="536">
        <f t="shared" si="22"/>
        <v>432.57</v>
      </c>
      <c r="J44" s="536">
        <f t="shared" si="22"/>
        <v>432.57</v>
      </c>
      <c r="K44" s="536">
        <f t="shared" si="22"/>
        <v>432.57</v>
      </c>
      <c r="L44" s="536">
        <f t="shared" si="22"/>
        <v>432.57</v>
      </c>
      <c r="M44" s="536">
        <f t="shared" si="22"/>
        <v>432.57</v>
      </c>
      <c r="N44" s="536">
        <f t="shared" si="22"/>
        <v>432.57</v>
      </c>
      <c r="O44" s="536">
        <f t="shared" si="22"/>
        <v>432.57</v>
      </c>
      <c r="P44" s="536">
        <f t="shared" si="22"/>
        <v>432.57</v>
      </c>
      <c r="Q44" s="536">
        <f t="shared" si="22"/>
        <v>432.57</v>
      </c>
      <c r="R44" s="536">
        <f t="shared" si="22"/>
        <v>432.57</v>
      </c>
      <c r="S44" s="536">
        <f t="shared" si="22"/>
        <v>432.57</v>
      </c>
      <c r="T44" s="536">
        <f t="shared" si="22"/>
        <v>432.57</v>
      </c>
      <c r="U44" s="536">
        <f t="shared" si="22"/>
        <v>432.57</v>
      </c>
      <c r="V44" s="536">
        <f t="shared" si="22"/>
        <v>432.57</v>
      </c>
      <c r="W44" s="536">
        <f t="shared" si="22"/>
        <v>432.57</v>
      </c>
      <c r="X44" s="536">
        <f t="shared" si="22"/>
        <v>432.57</v>
      </c>
      <c r="Y44" s="536">
        <f t="shared" si="22"/>
        <v>432.57</v>
      </c>
      <c r="Z44" s="536">
        <f t="shared" si="22"/>
        <v>432.57</v>
      </c>
      <c r="AA44" s="536">
        <f t="shared" si="22"/>
        <v>432.57</v>
      </c>
      <c r="AB44" s="536">
        <f t="shared" si="22"/>
        <v>432.57</v>
      </c>
      <c r="AC44" s="536">
        <f t="shared" si="22"/>
        <v>432.57</v>
      </c>
      <c r="AD44" s="565">
        <f t="shared" si="21"/>
        <v>10814.249999999996</v>
      </c>
    </row>
    <row r="45" spans="1:30" s="527" customFormat="1" ht="12.75" x14ac:dyDescent="0.2">
      <c r="A45" s="717"/>
      <c r="B45" s="543" t="s">
        <v>489</v>
      </c>
      <c r="C45" s="763">
        <v>7.0000000000000007E-2</v>
      </c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N45" s="863"/>
      <c r="O45" s="863"/>
      <c r="P45" s="863"/>
      <c r="Q45" s="863"/>
      <c r="R45" s="863"/>
      <c r="S45" s="863"/>
      <c r="T45" s="863"/>
      <c r="U45" s="863"/>
      <c r="V45" s="863"/>
      <c r="W45" s="863"/>
      <c r="X45" s="863"/>
      <c r="Y45" s="863"/>
      <c r="Z45" s="863"/>
      <c r="AA45" s="863"/>
      <c r="AB45" s="863"/>
      <c r="AC45" s="863"/>
      <c r="AD45" s="565"/>
    </row>
    <row r="46" spans="1:30" s="528" customFormat="1" ht="25.5" x14ac:dyDescent="0.2">
      <c r="A46" s="532" t="s">
        <v>52</v>
      </c>
      <c r="B46" s="564" t="s">
        <v>502</v>
      </c>
      <c r="C46" s="532" t="s">
        <v>20</v>
      </c>
      <c r="D46" s="530"/>
      <c r="E46" s="530"/>
      <c r="F46" s="530"/>
      <c r="G46" s="530"/>
      <c r="H46" s="530"/>
      <c r="I46" s="530"/>
      <c r="J46" s="530"/>
      <c r="K46" s="530"/>
      <c r="L46" s="530"/>
      <c r="M46" s="530"/>
      <c r="N46" s="530"/>
      <c r="O46" s="530"/>
      <c r="P46" s="530"/>
      <c r="Q46" s="530"/>
      <c r="R46" s="530"/>
      <c r="S46" s="530"/>
      <c r="T46" s="530"/>
      <c r="U46" s="530"/>
      <c r="V46" s="530"/>
      <c r="W46" s="530"/>
      <c r="X46" s="530"/>
      <c r="Y46" s="530"/>
      <c r="Z46" s="530"/>
      <c r="AA46" s="530"/>
      <c r="AB46" s="530"/>
      <c r="AC46" s="530"/>
      <c r="AD46" s="565">
        <f t="shared" si="21"/>
        <v>0</v>
      </c>
    </row>
    <row r="47" spans="1:30" s="537" customFormat="1" ht="29.25" customHeight="1" x14ac:dyDescent="0.2">
      <c r="A47" s="532" t="s">
        <v>53</v>
      </c>
      <c r="B47" s="564" t="s">
        <v>506</v>
      </c>
      <c r="C47" s="532" t="s">
        <v>20</v>
      </c>
      <c r="D47" s="535">
        <f>ROUND(SUM(D48:D49,D52:D54),2)</f>
        <v>0</v>
      </c>
      <c r="E47" s="535">
        <f t="shared" ref="E47:AC47" si="23">ROUND(SUM(E48:E49,E52:E54),2)</f>
        <v>0</v>
      </c>
      <c r="F47" s="535">
        <f t="shared" si="23"/>
        <v>0</v>
      </c>
      <c r="G47" s="535">
        <f t="shared" si="23"/>
        <v>0</v>
      </c>
      <c r="H47" s="535">
        <f t="shared" si="23"/>
        <v>0</v>
      </c>
      <c r="I47" s="535">
        <f t="shared" si="23"/>
        <v>0</v>
      </c>
      <c r="J47" s="535">
        <f t="shared" si="23"/>
        <v>0</v>
      </c>
      <c r="K47" s="535">
        <f t="shared" si="23"/>
        <v>0</v>
      </c>
      <c r="L47" s="535">
        <f t="shared" si="23"/>
        <v>0</v>
      </c>
      <c r="M47" s="535">
        <f t="shared" si="23"/>
        <v>0</v>
      </c>
      <c r="N47" s="535">
        <f t="shared" si="23"/>
        <v>0</v>
      </c>
      <c r="O47" s="535">
        <f t="shared" si="23"/>
        <v>0</v>
      </c>
      <c r="P47" s="535">
        <f t="shared" si="23"/>
        <v>0</v>
      </c>
      <c r="Q47" s="535">
        <f t="shared" si="23"/>
        <v>0</v>
      </c>
      <c r="R47" s="535">
        <f t="shared" si="23"/>
        <v>0</v>
      </c>
      <c r="S47" s="535">
        <f t="shared" si="23"/>
        <v>0</v>
      </c>
      <c r="T47" s="535">
        <f t="shared" si="23"/>
        <v>0</v>
      </c>
      <c r="U47" s="535">
        <f t="shared" si="23"/>
        <v>0</v>
      </c>
      <c r="V47" s="535">
        <f t="shared" si="23"/>
        <v>0</v>
      </c>
      <c r="W47" s="535">
        <f t="shared" si="23"/>
        <v>0</v>
      </c>
      <c r="X47" s="535">
        <f t="shared" si="23"/>
        <v>0</v>
      </c>
      <c r="Y47" s="535">
        <f t="shared" si="23"/>
        <v>0</v>
      </c>
      <c r="Z47" s="535">
        <f t="shared" si="23"/>
        <v>0</v>
      </c>
      <c r="AA47" s="535">
        <f t="shared" si="23"/>
        <v>0</v>
      </c>
      <c r="AB47" s="535">
        <f t="shared" si="23"/>
        <v>0</v>
      </c>
      <c r="AC47" s="535">
        <f t="shared" si="23"/>
        <v>0</v>
      </c>
      <c r="AD47" s="535">
        <f t="shared" ref="AD47:AD54" si="24">SUM(E47:AC47)</f>
        <v>0</v>
      </c>
    </row>
    <row r="48" spans="1:30" s="528" customFormat="1" ht="62.25" customHeight="1" x14ac:dyDescent="0.2">
      <c r="A48" s="716" t="s">
        <v>160</v>
      </c>
      <c r="B48" s="564" t="s">
        <v>504</v>
      </c>
      <c r="C48" s="532" t="s">
        <v>20</v>
      </c>
      <c r="D48" s="530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30"/>
      <c r="P48" s="530"/>
      <c r="Q48" s="530"/>
      <c r="R48" s="530"/>
      <c r="S48" s="530"/>
      <c r="T48" s="530"/>
      <c r="U48" s="530"/>
      <c r="V48" s="530"/>
      <c r="W48" s="530"/>
      <c r="X48" s="530"/>
      <c r="Y48" s="530"/>
      <c r="Z48" s="530"/>
      <c r="AA48" s="530"/>
      <c r="AB48" s="530"/>
      <c r="AC48" s="530"/>
      <c r="AD48" s="535">
        <f t="shared" si="24"/>
        <v>0</v>
      </c>
    </row>
    <row r="49" spans="1:30" s="741" customFormat="1" ht="12.75" x14ac:dyDescent="0.2">
      <c r="A49" s="717" t="s">
        <v>261</v>
      </c>
      <c r="B49" s="564" t="s">
        <v>505</v>
      </c>
      <c r="C49" s="564" t="s">
        <v>20</v>
      </c>
      <c r="D49" s="536">
        <f>ROUND(SUM(D50:D51),2)</f>
        <v>0</v>
      </c>
      <c r="E49" s="536">
        <f t="shared" ref="E49:AC49" si="25">ROUND(SUM(E50:E51),2)</f>
        <v>0</v>
      </c>
      <c r="F49" s="536">
        <f t="shared" si="25"/>
        <v>0</v>
      </c>
      <c r="G49" s="536">
        <f t="shared" si="25"/>
        <v>0</v>
      </c>
      <c r="H49" s="536">
        <f t="shared" si="25"/>
        <v>0</v>
      </c>
      <c r="I49" s="536">
        <f t="shared" si="25"/>
        <v>0</v>
      </c>
      <c r="J49" s="536">
        <f t="shared" si="25"/>
        <v>0</v>
      </c>
      <c r="K49" s="536">
        <f t="shared" si="25"/>
        <v>0</v>
      </c>
      <c r="L49" s="536">
        <f t="shared" si="25"/>
        <v>0</v>
      </c>
      <c r="M49" s="536">
        <f t="shared" si="25"/>
        <v>0</v>
      </c>
      <c r="N49" s="536">
        <f t="shared" si="25"/>
        <v>0</v>
      </c>
      <c r="O49" s="536">
        <f t="shared" si="25"/>
        <v>0</v>
      </c>
      <c r="P49" s="536">
        <f t="shared" si="25"/>
        <v>0</v>
      </c>
      <c r="Q49" s="536">
        <f t="shared" si="25"/>
        <v>0</v>
      </c>
      <c r="R49" s="536">
        <f t="shared" si="25"/>
        <v>0</v>
      </c>
      <c r="S49" s="536">
        <f t="shared" si="25"/>
        <v>0</v>
      </c>
      <c r="T49" s="536">
        <f t="shared" si="25"/>
        <v>0</v>
      </c>
      <c r="U49" s="536">
        <f t="shared" si="25"/>
        <v>0</v>
      </c>
      <c r="V49" s="536">
        <f t="shared" si="25"/>
        <v>0</v>
      </c>
      <c r="W49" s="536">
        <f t="shared" si="25"/>
        <v>0</v>
      </c>
      <c r="X49" s="536">
        <f t="shared" si="25"/>
        <v>0</v>
      </c>
      <c r="Y49" s="536">
        <f t="shared" si="25"/>
        <v>0</v>
      </c>
      <c r="Z49" s="536">
        <f t="shared" si="25"/>
        <v>0</v>
      </c>
      <c r="AA49" s="536">
        <f t="shared" si="25"/>
        <v>0</v>
      </c>
      <c r="AB49" s="536">
        <f t="shared" si="25"/>
        <v>0</v>
      </c>
      <c r="AC49" s="536">
        <f t="shared" si="25"/>
        <v>0</v>
      </c>
      <c r="AD49" s="536">
        <f t="shared" ref="AD49:AD51" si="26">SUM(E49:AC49)</f>
        <v>0</v>
      </c>
    </row>
    <row r="50" spans="1:30" s="527" customFormat="1" ht="12.75" x14ac:dyDescent="0.2">
      <c r="A50" s="717"/>
      <c r="B50" s="564" t="s">
        <v>482</v>
      </c>
      <c r="C50" s="564" t="s">
        <v>20</v>
      </c>
      <c r="D50" s="530"/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530"/>
      <c r="P50" s="530"/>
      <c r="Q50" s="530"/>
      <c r="R50" s="530"/>
      <c r="S50" s="530"/>
      <c r="T50" s="530"/>
      <c r="U50" s="530"/>
      <c r="V50" s="530"/>
      <c r="W50" s="530"/>
      <c r="X50" s="530"/>
      <c r="Y50" s="530"/>
      <c r="Z50" s="530"/>
      <c r="AA50" s="530"/>
      <c r="AB50" s="530"/>
      <c r="AC50" s="530"/>
      <c r="AD50" s="535">
        <f t="shared" si="26"/>
        <v>0</v>
      </c>
    </row>
    <row r="51" spans="1:30" s="527" customFormat="1" ht="12.75" x14ac:dyDescent="0.2">
      <c r="A51" s="717"/>
      <c r="B51" s="564" t="s">
        <v>483</v>
      </c>
      <c r="C51" s="864">
        <v>0.2359</v>
      </c>
      <c r="D51" s="535">
        <f>ROUND($C$51*D50,2)</f>
        <v>0</v>
      </c>
      <c r="E51" s="535">
        <f t="shared" ref="E51:AC51" si="27">ROUND($C$51*E50,2)</f>
        <v>0</v>
      </c>
      <c r="F51" s="535">
        <f t="shared" si="27"/>
        <v>0</v>
      </c>
      <c r="G51" s="535">
        <f t="shared" si="27"/>
        <v>0</v>
      </c>
      <c r="H51" s="535">
        <f t="shared" si="27"/>
        <v>0</v>
      </c>
      <c r="I51" s="535">
        <f t="shared" si="27"/>
        <v>0</v>
      </c>
      <c r="J51" s="535">
        <f t="shared" si="27"/>
        <v>0</v>
      </c>
      <c r="K51" s="535">
        <f t="shared" si="27"/>
        <v>0</v>
      </c>
      <c r="L51" s="535">
        <f t="shared" si="27"/>
        <v>0</v>
      </c>
      <c r="M51" s="535">
        <f t="shared" si="27"/>
        <v>0</v>
      </c>
      <c r="N51" s="535">
        <f t="shared" si="27"/>
        <v>0</v>
      </c>
      <c r="O51" s="535">
        <f t="shared" si="27"/>
        <v>0</v>
      </c>
      <c r="P51" s="535">
        <f t="shared" si="27"/>
        <v>0</v>
      </c>
      <c r="Q51" s="535">
        <f t="shared" si="27"/>
        <v>0</v>
      </c>
      <c r="R51" s="535">
        <f t="shared" si="27"/>
        <v>0</v>
      </c>
      <c r="S51" s="535">
        <f t="shared" si="27"/>
        <v>0</v>
      </c>
      <c r="T51" s="535">
        <f t="shared" si="27"/>
        <v>0</v>
      </c>
      <c r="U51" s="535">
        <f t="shared" si="27"/>
        <v>0</v>
      </c>
      <c r="V51" s="535">
        <f t="shared" si="27"/>
        <v>0</v>
      </c>
      <c r="W51" s="535">
        <f t="shared" si="27"/>
        <v>0</v>
      </c>
      <c r="X51" s="535">
        <f t="shared" si="27"/>
        <v>0</v>
      </c>
      <c r="Y51" s="535">
        <f t="shared" si="27"/>
        <v>0</v>
      </c>
      <c r="Z51" s="535">
        <f t="shared" si="27"/>
        <v>0</v>
      </c>
      <c r="AA51" s="535">
        <f t="shared" si="27"/>
        <v>0</v>
      </c>
      <c r="AB51" s="535">
        <f t="shared" si="27"/>
        <v>0</v>
      </c>
      <c r="AC51" s="535">
        <f t="shared" si="27"/>
        <v>0</v>
      </c>
      <c r="AD51" s="535">
        <f t="shared" si="26"/>
        <v>0</v>
      </c>
    </row>
    <row r="52" spans="1:30" s="528" customFormat="1" ht="12.75" x14ac:dyDescent="0.2">
      <c r="A52" s="716" t="s">
        <v>262</v>
      </c>
      <c r="B52" s="564" t="s">
        <v>509</v>
      </c>
      <c r="C52" s="532" t="s">
        <v>20</v>
      </c>
      <c r="D52" s="530"/>
      <c r="E52" s="530"/>
      <c r="F52" s="530"/>
      <c r="G52" s="530"/>
      <c r="H52" s="530"/>
      <c r="I52" s="530"/>
      <c r="J52" s="530"/>
      <c r="K52" s="530"/>
      <c r="L52" s="530"/>
      <c r="M52" s="530"/>
      <c r="N52" s="530"/>
      <c r="O52" s="530"/>
      <c r="P52" s="530"/>
      <c r="Q52" s="530"/>
      <c r="R52" s="530"/>
      <c r="S52" s="530"/>
      <c r="T52" s="530"/>
      <c r="U52" s="530"/>
      <c r="V52" s="530"/>
      <c r="W52" s="530"/>
      <c r="X52" s="530"/>
      <c r="Y52" s="530"/>
      <c r="Z52" s="530"/>
      <c r="AA52" s="530"/>
      <c r="AB52" s="530"/>
      <c r="AC52" s="530"/>
      <c r="AD52" s="535">
        <f t="shared" si="24"/>
        <v>0</v>
      </c>
    </row>
    <row r="53" spans="1:30" s="528" customFormat="1" ht="25.5" x14ac:dyDescent="0.2">
      <c r="A53" s="716" t="s">
        <v>260</v>
      </c>
      <c r="B53" s="564" t="s">
        <v>507</v>
      </c>
      <c r="C53" s="532" t="s">
        <v>20</v>
      </c>
      <c r="D53" s="530"/>
      <c r="E53" s="530"/>
      <c r="F53" s="530"/>
      <c r="G53" s="530"/>
      <c r="H53" s="530"/>
      <c r="I53" s="530"/>
      <c r="J53" s="530"/>
      <c r="K53" s="530"/>
      <c r="L53" s="530"/>
      <c r="M53" s="530"/>
      <c r="N53" s="530"/>
      <c r="O53" s="530"/>
      <c r="P53" s="530"/>
      <c r="Q53" s="530"/>
      <c r="R53" s="530"/>
      <c r="S53" s="530"/>
      <c r="T53" s="530"/>
      <c r="U53" s="530"/>
      <c r="V53" s="530"/>
      <c r="W53" s="530"/>
      <c r="X53" s="530"/>
      <c r="Y53" s="530"/>
      <c r="Z53" s="530"/>
      <c r="AA53" s="530"/>
      <c r="AB53" s="530"/>
      <c r="AC53" s="530"/>
      <c r="AD53" s="535">
        <f t="shared" si="24"/>
        <v>0</v>
      </c>
    </row>
    <row r="54" spans="1:30" s="528" customFormat="1" ht="12.75" x14ac:dyDescent="0.2">
      <c r="A54" s="716" t="s">
        <v>508</v>
      </c>
      <c r="B54" s="564" t="s">
        <v>259</v>
      </c>
      <c r="C54" s="532" t="s">
        <v>20</v>
      </c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N54" s="530"/>
      <c r="O54" s="530"/>
      <c r="P54" s="530"/>
      <c r="Q54" s="530"/>
      <c r="R54" s="530"/>
      <c r="S54" s="530"/>
      <c r="T54" s="530"/>
      <c r="U54" s="530"/>
      <c r="V54" s="530"/>
      <c r="W54" s="530"/>
      <c r="X54" s="530"/>
      <c r="Y54" s="530"/>
      <c r="Z54" s="530"/>
      <c r="AA54" s="530"/>
      <c r="AB54" s="530"/>
      <c r="AC54" s="530"/>
      <c r="AD54" s="535">
        <f t="shared" si="24"/>
        <v>0</v>
      </c>
    </row>
    <row r="55" spans="1:30" s="514" customFormat="1" ht="12.75" x14ac:dyDescent="0.2"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  <c r="R55" s="548"/>
      <c r="S55" s="548"/>
      <c r="T55" s="548"/>
      <c r="U55" s="548"/>
      <c r="V55" s="548"/>
      <c r="W55" s="548"/>
      <c r="X55" s="548"/>
      <c r="Y55" s="548"/>
      <c r="Z55" s="548"/>
      <c r="AA55" s="548"/>
      <c r="AB55" s="548"/>
      <c r="AC55" s="548"/>
      <c r="AD55" s="548"/>
    </row>
    <row r="56" spans="1:30" s="537" customFormat="1" ht="12.75" x14ac:dyDescent="0.2">
      <c r="A56" s="532" t="s">
        <v>30</v>
      </c>
      <c r="B56" s="568" t="s">
        <v>89</v>
      </c>
      <c r="C56" s="533"/>
      <c r="D56" s="535">
        <f t="shared" ref="D56:AC56" si="28">(D14-D26)</f>
        <v>187.93000000000029</v>
      </c>
      <c r="E56" s="535">
        <f t="shared" si="28"/>
        <v>2299.9300000000003</v>
      </c>
      <c r="F56" s="535">
        <f t="shared" si="28"/>
        <v>-6.9999999999708962E-2</v>
      </c>
      <c r="G56" s="535">
        <f t="shared" si="28"/>
        <v>-6.9999999999708962E-2</v>
      </c>
      <c r="H56" s="535">
        <f t="shared" si="28"/>
        <v>-6.9999999999708962E-2</v>
      </c>
      <c r="I56" s="535">
        <f t="shared" si="28"/>
        <v>-6.9999999999708962E-2</v>
      </c>
      <c r="J56" s="535">
        <f t="shared" si="28"/>
        <v>-6.9999999999708962E-2</v>
      </c>
      <c r="K56" s="535">
        <f t="shared" si="28"/>
        <v>-6.9999999999708962E-2</v>
      </c>
      <c r="L56" s="535">
        <f t="shared" si="28"/>
        <v>-6.9999999999708962E-2</v>
      </c>
      <c r="M56" s="535">
        <f t="shared" si="28"/>
        <v>-6.9999999999708962E-2</v>
      </c>
      <c r="N56" s="535">
        <f t="shared" si="28"/>
        <v>-6.9999999999708962E-2</v>
      </c>
      <c r="O56" s="535">
        <f t="shared" si="28"/>
        <v>-6.9999999999708962E-2</v>
      </c>
      <c r="P56" s="535">
        <f t="shared" si="28"/>
        <v>-6.9999999999708962E-2</v>
      </c>
      <c r="Q56" s="535">
        <f t="shared" si="28"/>
        <v>-6.9999999999708962E-2</v>
      </c>
      <c r="R56" s="535">
        <f t="shared" si="28"/>
        <v>-6.9999999999708962E-2</v>
      </c>
      <c r="S56" s="535">
        <f t="shared" si="28"/>
        <v>-6.9999999999708962E-2</v>
      </c>
      <c r="T56" s="535">
        <f t="shared" si="28"/>
        <v>-6.9999999999708962E-2</v>
      </c>
      <c r="U56" s="535">
        <f t="shared" si="28"/>
        <v>-6.9999999999708962E-2</v>
      </c>
      <c r="V56" s="535">
        <f t="shared" si="28"/>
        <v>-6.9999999999708962E-2</v>
      </c>
      <c r="W56" s="535">
        <f t="shared" si="28"/>
        <v>-6.9999999999708962E-2</v>
      </c>
      <c r="X56" s="535">
        <f t="shared" si="28"/>
        <v>-6.9999999999708962E-2</v>
      </c>
      <c r="Y56" s="535">
        <f t="shared" si="28"/>
        <v>-6.9999999999708962E-2</v>
      </c>
      <c r="Z56" s="535">
        <f t="shared" si="28"/>
        <v>-6.9999999999708962E-2</v>
      </c>
      <c r="AA56" s="535">
        <f t="shared" si="28"/>
        <v>-6.9999999999708962E-2</v>
      </c>
      <c r="AB56" s="535">
        <f t="shared" si="28"/>
        <v>-6.9999999999708962E-2</v>
      </c>
      <c r="AC56" s="535">
        <f t="shared" si="28"/>
        <v>-6.9999999999708962E-2</v>
      </c>
      <c r="AD56" s="535">
        <f>SUM(E56:AC56)</f>
        <v>2298.2500000000073</v>
      </c>
    </row>
    <row r="57" spans="1:30" s="514" customFormat="1" ht="12.75" x14ac:dyDescent="0.2"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548"/>
      <c r="T57" s="548"/>
      <c r="U57" s="548"/>
      <c r="V57" s="548"/>
      <c r="W57" s="548"/>
      <c r="X57" s="548"/>
      <c r="Y57" s="548"/>
      <c r="Z57" s="548"/>
      <c r="AA57" s="548"/>
      <c r="AB57" s="548"/>
      <c r="AC57" s="548"/>
      <c r="AD57" s="548"/>
    </row>
    <row r="58" spans="1:30" s="514" customFormat="1" ht="25.5" x14ac:dyDescent="0.2">
      <c r="A58" s="532" t="s">
        <v>34</v>
      </c>
      <c r="B58" s="569" t="s">
        <v>499</v>
      </c>
      <c r="C58" s="570"/>
      <c r="D58" s="571"/>
      <c r="E58" s="539"/>
      <c r="F58" s="539"/>
      <c r="G58" s="539"/>
      <c r="H58" s="539"/>
      <c r="I58" s="539"/>
      <c r="J58" s="539"/>
      <c r="K58" s="539"/>
      <c r="L58" s="539"/>
      <c r="M58" s="539"/>
      <c r="N58" s="539"/>
      <c r="O58" s="539"/>
      <c r="P58" s="539"/>
      <c r="Q58" s="539"/>
      <c r="R58" s="539"/>
      <c r="S58" s="539"/>
      <c r="T58" s="539"/>
      <c r="U58" s="539"/>
      <c r="V58" s="539"/>
      <c r="W58" s="539"/>
      <c r="X58" s="539"/>
      <c r="Y58" s="539"/>
      <c r="Z58" s="539"/>
      <c r="AA58" s="539"/>
      <c r="AB58" s="539"/>
      <c r="AC58" s="539"/>
      <c r="AD58" s="539"/>
    </row>
    <row r="59" spans="1:30" s="521" customFormat="1" ht="12.75" x14ac:dyDescent="0.2">
      <c r="A59" s="516"/>
      <c r="B59" s="572" t="s">
        <v>57</v>
      </c>
      <c r="C59" s="573"/>
      <c r="D59" s="278"/>
      <c r="E59" s="279">
        <f>IF(D59&lt;D65,0,D59-D65)</f>
        <v>0</v>
      </c>
      <c r="F59" s="279">
        <f>IF(E59&lt;E65,0,E59-E65)</f>
        <v>0</v>
      </c>
      <c r="G59" s="279">
        <f t="shared" ref="G59:AC59" si="29">IF(F59&lt;F65,0,F59-F65)</f>
        <v>0</v>
      </c>
      <c r="H59" s="279">
        <f t="shared" si="29"/>
        <v>0</v>
      </c>
      <c r="I59" s="279">
        <f t="shared" si="29"/>
        <v>0</v>
      </c>
      <c r="J59" s="279">
        <f t="shared" si="29"/>
        <v>0</v>
      </c>
      <c r="K59" s="279">
        <f t="shared" si="29"/>
        <v>0</v>
      </c>
      <c r="L59" s="279">
        <f t="shared" si="29"/>
        <v>0</v>
      </c>
      <c r="M59" s="279">
        <f t="shared" si="29"/>
        <v>0</v>
      </c>
      <c r="N59" s="279">
        <f t="shared" si="29"/>
        <v>0</v>
      </c>
      <c r="O59" s="279">
        <f t="shared" si="29"/>
        <v>0</v>
      </c>
      <c r="P59" s="279">
        <f t="shared" si="29"/>
        <v>0</v>
      </c>
      <c r="Q59" s="279">
        <f t="shared" si="29"/>
        <v>0</v>
      </c>
      <c r="R59" s="279">
        <f t="shared" si="29"/>
        <v>0</v>
      </c>
      <c r="S59" s="279">
        <f t="shared" si="29"/>
        <v>0</v>
      </c>
      <c r="T59" s="279">
        <f t="shared" si="29"/>
        <v>0</v>
      </c>
      <c r="U59" s="279">
        <f t="shared" si="29"/>
        <v>0</v>
      </c>
      <c r="V59" s="279">
        <f t="shared" si="29"/>
        <v>0</v>
      </c>
      <c r="W59" s="279">
        <f t="shared" si="29"/>
        <v>0</v>
      </c>
      <c r="X59" s="279">
        <f t="shared" si="29"/>
        <v>0</v>
      </c>
      <c r="Y59" s="279">
        <f t="shared" si="29"/>
        <v>0</v>
      </c>
      <c r="Z59" s="279">
        <f t="shared" si="29"/>
        <v>0</v>
      </c>
      <c r="AA59" s="279">
        <f t="shared" si="29"/>
        <v>0</v>
      </c>
      <c r="AB59" s="279">
        <f t="shared" si="29"/>
        <v>0</v>
      </c>
      <c r="AC59" s="279">
        <f t="shared" si="29"/>
        <v>0</v>
      </c>
      <c r="AD59" s="279"/>
    </row>
    <row r="60" spans="1:30" s="521" customFormat="1" ht="12.75" x14ac:dyDescent="0.2">
      <c r="A60" s="516"/>
      <c r="B60" s="572" t="s">
        <v>58</v>
      </c>
      <c r="C60" s="573"/>
      <c r="D60" s="278"/>
      <c r="E60" s="279">
        <f>IF(D60&lt;D66,D66,D60-D66)</f>
        <v>0</v>
      </c>
      <c r="F60" s="279">
        <f t="shared" ref="F60:AC60" si="30">IF(E60&lt;E66,0,E60-E66)</f>
        <v>0</v>
      </c>
      <c r="G60" s="279">
        <f t="shared" si="30"/>
        <v>0</v>
      </c>
      <c r="H60" s="279">
        <f t="shared" si="30"/>
        <v>0</v>
      </c>
      <c r="I60" s="279">
        <f t="shared" si="30"/>
        <v>0</v>
      </c>
      <c r="J60" s="279">
        <f t="shared" si="30"/>
        <v>0</v>
      </c>
      <c r="K60" s="279">
        <f t="shared" si="30"/>
        <v>0</v>
      </c>
      <c r="L60" s="279">
        <f t="shared" si="30"/>
        <v>0</v>
      </c>
      <c r="M60" s="279">
        <f t="shared" si="30"/>
        <v>0</v>
      </c>
      <c r="N60" s="279">
        <f t="shared" si="30"/>
        <v>0</v>
      </c>
      <c r="O60" s="279">
        <f t="shared" si="30"/>
        <v>0</v>
      </c>
      <c r="P60" s="279">
        <f t="shared" si="30"/>
        <v>0</v>
      </c>
      <c r="Q60" s="279">
        <f t="shared" si="30"/>
        <v>0</v>
      </c>
      <c r="R60" s="279">
        <f t="shared" si="30"/>
        <v>0</v>
      </c>
      <c r="S60" s="279">
        <f t="shared" si="30"/>
        <v>0</v>
      </c>
      <c r="T60" s="279">
        <f t="shared" si="30"/>
        <v>0</v>
      </c>
      <c r="U60" s="279">
        <f t="shared" si="30"/>
        <v>0</v>
      </c>
      <c r="V60" s="279">
        <f t="shared" si="30"/>
        <v>0</v>
      </c>
      <c r="W60" s="279">
        <f t="shared" si="30"/>
        <v>0</v>
      </c>
      <c r="X60" s="279">
        <f t="shared" si="30"/>
        <v>0</v>
      </c>
      <c r="Y60" s="279">
        <f t="shared" si="30"/>
        <v>0</v>
      </c>
      <c r="Z60" s="279">
        <f t="shared" si="30"/>
        <v>0</v>
      </c>
      <c r="AA60" s="279">
        <f t="shared" si="30"/>
        <v>0</v>
      </c>
      <c r="AB60" s="279">
        <f t="shared" si="30"/>
        <v>0</v>
      </c>
      <c r="AC60" s="279">
        <f t="shared" si="30"/>
        <v>0</v>
      </c>
      <c r="AD60" s="279"/>
    </row>
    <row r="61" spans="1:30" s="521" customFormat="1" ht="12.75" x14ac:dyDescent="0.2">
      <c r="A61" s="516"/>
      <c r="B61" s="572" t="s">
        <v>59</v>
      </c>
      <c r="C61" s="573"/>
      <c r="D61" s="278"/>
      <c r="E61" s="279">
        <f>IF(D61&lt;D67,0,D61-D67)</f>
        <v>0</v>
      </c>
      <c r="F61" s="279">
        <f t="shared" ref="F61:AC61" si="31">IF(E61&lt;E67,0,E61-E67)</f>
        <v>0</v>
      </c>
      <c r="G61" s="279">
        <f t="shared" si="31"/>
        <v>0</v>
      </c>
      <c r="H61" s="279">
        <f t="shared" si="31"/>
        <v>0</v>
      </c>
      <c r="I61" s="279">
        <f t="shared" si="31"/>
        <v>0</v>
      </c>
      <c r="J61" s="279">
        <f t="shared" si="31"/>
        <v>0</v>
      </c>
      <c r="K61" s="279">
        <f t="shared" si="31"/>
        <v>0</v>
      </c>
      <c r="L61" s="279">
        <f t="shared" si="31"/>
        <v>0</v>
      </c>
      <c r="M61" s="279">
        <f t="shared" si="31"/>
        <v>0</v>
      </c>
      <c r="N61" s="279">
        <f t="shared" si="31"/>
        <v>0</v>
      </c>
      <c r="O61" s="279">
        <f t="shared" si="31"/>
        <v>0</v>
      </c>
      <c r="P61" s="279">
        <f t="shared" si="31"/>
        <v>0</v>
      </c>
      <c r="Q61" s="279">
        <f t="shared" si="31"/>
        <v>0</v>
      </c>
      <c r="R61" s="279">
        <f t="shared" si="31"/>
        <v>0</v>
      </c>
      <c r="S61" s="279">
        <f t="shared" si="31"/>
        <v>0</v>
      </c>
      <c r="T61" s="279">
        <f t="shared" si="31"/>
        <v>0</v>
      </c>
      <c r="U61" s="279">
        <f t="shared" si="31"/>
        <v>0</v>
      </c>
      <c r="V61" s="279">
        <f t="shared" si="31"/>
        <v>0</v>
      </c>
      <c r="W61" s="279">
        <f t="shared" si="31"/>
        <v>0</v>
      </c>
      <c r="X61" s="279">
        <f t="shared" si="31"/>
        <v>0</v>
      </c>
      <c r="Y61" s="279">
        <f t="shared" si="31"/>
        <v>0</v>
      </c>
      <c r="Z61" s="279">
        <f t="shared" si="31"/>
        <v>0</v>
      </c>
      <c r="AA61" s="279">
        <f t="shared" si="31"/>
        <v>0</v>
      </c>
      <c r="AB61" s="279">
        <f t="shared" si="31"/>
        <v>0</v>
      </c>
      <c r="AC61" s="279">
        <f t="shared" si="31"/>
        <v>0</v>
      </c>
      <c r="AD61" s="279"/>
    </row>
    <row r="62" spans="1:30" s="521" customFormat="1" ht="12.75" x14ac:dyDescent="0.2">
      <c r="A62" s="516"/>
      <c r="B62" s="572" t="s">
        <v>60</v>
      </c>
      <c r="C62" s="573"/>
      <c r="D62" s="278"/>
      <c r="E62" s="279">
        <f>IF(D62&lt;D68,0,D62-D68)</f>
        <v>0</v>
      </c>
      <c r="F62" s="279">
        <f t="shared" ref="F62:AC62" si="32">IF(E62&lt;E68,0,E62-E68)</f>
        <v>0</v>
      </c>
      <c r="G62" s="279">
        <f t="shared" si="32"/>
        <v>0</v>
      </c>
      <c r="H62" s="279">
        <f t="shared" si="32"/>
        <v>0</v>
      </c>
      <c r="I62" s="279">
        <f t="shared" si="32"/>
        <v>0</v>
      </c>
      <c r="J62" s="279">
        <f t="shared" si="32"/>
        <v>0</v>
      </c>
      <c r="K62" s="279">
        <f t="shared" si="32"/>
        <v>0</v>
      </c>
      <c r="L62" s="279">
        <f t="shared" si="32"/>
        <v>0</v>
      </c>
      <c r="M62" s="279">
        <f t="shared" si="32"/>
        <v>0</v>
      </c>
      <c r="N62" s="279">
        <f t="shared" si="32"/>
        <v>0</v>
      </c>
      <c r="O62" s="279">
        <f t="shared" si="32"/>
        <v>0</v>
      </c>
      <c r="P62" s="279">
        <f t="shared" si="32"/>
        <v>0</v>
      </c>
      <c r="Q62" s="279">
        <f t="shared" si="32"/>
        <v>0</v>
      </c>
      <c r="R62" s="279">
        <f t="shared" si="32"/>
        <v>0</v>
      </c>
      <c r="S62" s="279">
        <f t="shared" si="32"/>
        <v>0</v>
      </c>
      <c r="T62" s="279">
        <f t="shared" si="32"/>
        <v>0</v>
      </c>
      <c r="U62" s="279">
        <f t="shared" si="32"/>
        <v>0</v>
      </c>
      <c r="V62" s="279">
        <f t="shared" si="32"/>
        <v>0</v>
      </c>
      <c r="W62" s="279">
        <f t="shared" si="32"/>
        <v>0</v>
      </c>
      <c r="X62" s="279">
        <f t="shared" si="32"/>
        <v>0</v>
      </c>
      <c r="Y62" s="279">
        <f t="shared" si="32"/>
        <v>0</v>
      </c>
      <c r="Z62" s="279">
        <f t="shared" si="32"/>
        <v>0</v>
      </c>
      <c r="AA62" s="279">
        <f t="shared" si="32"/>
        <v>0</v>
      </c>
      <c r="AB62" s="279">
        <f t="shared" si="32"/>
        <v>0</v>
      </c>
      <c r="AC62" s="279">
        <f t="shared" si="32"/>
        <v>0</v>
      </c>
      <c r="AD62" s="279"/>
    </row>
    <row r="63" spans="1:30" s="514" customFormat="1" ht="12.75" x14ac:dyDescent="0.2">
      <c r="A63" s="516"/>
      <c r="B63" s="574" t="s">
        <v>61</v>
      </c>
      <c r="C63" s="575"/>
      <c r="D63" s="577">
        <f>SUM(D59:D62)</f>
        <v>0</v>
      </c>
      <c r="E63" s="577">
        <f t="shared" ref="E63:AC63" si="33">SUM(E59:E62)</f>
        <v>0</v>
      </c>
      <c r="F63" s="577">
        <f t="shared" si="33"/>
        <v>0</v>
      </c>
      <c r="G63" s="577">
        <f t="shared" si="33"/>
        <v>0</v>
      </c>
      <c r="H63" s="577">
        <f t="shared" si="33"/>
        <v>0</v>
      </c>
      <c r="I63" s="577">
        <f t="shared" si="33"/>
        <v>0</v>
      </c>
      <c r="J63" s="577">
        <f t="shared" si="33"/>
        <v>0</v>
      </c>
      <c r="K63" s="577">
        <f t="shared" si="33"/>
        <v>0</v>
      </c>
      <c r="L63" s="577">
        <f t="shared" si="33"/>
        <v>0</v>
      </c>
      <c r="M63" s="577">
        <f t="shared" si="33"/>
        <v>0</v>
      </c>
      <c r="N63" s="577">
        <f t="shared" si="33"/>
        <v>0</v>
      </c>
      <c r="O63" s="577">
        <f t="shared" si="33"/>
        <v>0</v>
      </c>
      <c r="P63" s="577">
        <f t="shared" si="33"/>
        <v>0</v>
      </c>
      <c r="Q63" s="577">
        <f t="shared" si="33"/>
        <v>0</v>
      </c>
      <c r="R63" s="577">
        <f t="shared" si="33"/>
        <v>0</v>
      </c>
      <c r="S63" s="577">
        <f t="shared" si="33"/>
        <v>0</v>
      </c>
      <c r="T63" s="577">
        <f t="shared" si="33"/>
        <v>0</v>
      </c>
      <c r="U63" s="577">
        <f t="shared" si="33"/>
        <v>0</v>
      </c>
      <c r="V63" s="577">
        <f t="shared" si="33"/>
        <v>0</v>
      </c>
      <c r="W63" s="577">
        <f t="shared" si="33"/>
        <v>0</v>
      </c>
      <c r="X63" s="577">
        <f t="shared" si="33"/>
        <v>0</v>
      </c>
      <c r="Y63" s="577">
        <f t="shared" si="33"/>
        <v>0</v>
      </c>
      <c r="Z63" s="577">
        <f t="shared" si="33"/>
        <v>0</v>
      </c>
      <c r="AA63" s="577">
        <f t="shared" si="33"/>
        <v>0</v>
      </c>
      <c r="AB63" s="577">
        <f t="shared" si="33"/>
        <v>0</v>
      </c>
      <c r="AC63" s="577">
        <f t="shared" si="33"/>
        <v>0</v>
      </c>
      <c r="AD63" s="540"/>
    </row>
    <row r="64" spans="1:30" s="514" customFormat="1" ht="38.25" x14ac:dyDescent="0.2">
      <c r="A64" s="532" t="s">
        <v>35</v>
      </c>
      <c r="B64" s="569" t="s">
        <v>500</v>
      </c>
      <c r="C64" s="576"/>
      <c r="D64" s="578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</row>
    <row r="65" spans="1:30" s="521" customFormat="1" ht="12.75" x14ac:dyDescent="0.2">
      <c r="A65" s="516"/>
      <c r="B65" s="572" t="s">
        <v>57</v>
      </c>
      <c r="C65" s="573"/>
      <c r="D65" s="278"/>
      <c r="E65" s="279">
        <f>IF(D65&gt;D59,D59,D65)</f>
        <v>0</v>
      </c>
      <c r="F65" s="279">
        <f t="shared" ref="F65:AC65" si="34">IF(E65&gt;E59,E59,E65)</f>
        <v>0</v>
      </c>
      <c r="G65" s="279">
        <f t="shared" si="34"/>
        <v>0</v>
      </c>
      <c r="H65" s="279">
        <f t="shared" si="34"/>
        <v>0</v>
      </c>
      <c r="I65" s="279">
        <f t="shared" si="34"/>
        <v>0</v>
      </c>
      <c r="J65" s="279">
        <f t="shared" si="34"/>
        <v>0</v>
      </c>
      <c r="K65" s="279">
        <f t="shared" si="34"/>
        <v>0</v>
      </c>
      <c r="L65" s="279">
        <f t="shared" si="34"/>
        <v>0</v>
      </c>
      <c r="M65" s="279">
        <f t="shared" si="34"/>
        <v>0</v>
      </c>
      <c r="N65" s="279">
        <f t="shared" si="34"/>
        <v>0</v>
      </c>
      <c r="O65" s="279">
        <f t="shared" si="34"/>
        <v>0</v>
      </c>
      <c r="P65" s="279">
        <f t="shared" si="34"/>
        <v>0</v>
      </c>
      <c r="Q65" s="279">
        <f t="shared" si="34"/>
        <v>0</v>
      </c>
      <c r="R65" s="279">
        <f t="shared" si="34"/>
        <v>0</v>
      </c>
      <c r="S65" s="279">
        <f t="shared" si="34"/>
        <v>0</v>
      </c>
      <c r="T65" s="279">
        <f t="shared" si="34"/>
        <v>0</v>
      </c>
      <c r="U65" s="279">
        <f t="shared" si="34"/>
        <v>0</v>
      </c>
      <c r="V65" s="279">
        <f t="shared" si="34"/>
        <v>0</v>
      </c>
      <c r="W65" s="279">
        <f t="shared" si="34"/>
        <v>0</v>
      </c>
      <c r="X65" s="279">
        <f t="shared" si="34"/>
        <v>0</v>
      </c>
      <c r="Y65" s="279">
        <f t="shared" si="34"/>
        <v>0</v>
      </c>
      <c r="Z65" s="279">
        <f t="shared" si="34"/>
        <v>0</v>
      </c>
      <c r="AA65" s="279">
        <f t="shared" si="34"/>
        <v>0</v>
      </c>
      <c r="AB65" s="279">
        <f t="shared" si="34"/>
        <v>0</v>
      </c>
      <c r="AC65" s="279">
        <f t="shared" si="34"/>
        <v>0</v>
      </c>
      <c r="AD65" s="279"/>
    </row>
    <row r="66" spans="1:30" s="521" customFormat="1" ht="12.75" x14ac:dyDescent="0.2">
      <c r="A66" s="516"/>
      <c r="B66" s="572" t="s">
        <v>58</v>
      </c>
      <c r="C66" s="573"/>
      <c r="D66" s="278"/>
      <c r="E66" s="279">
        <f>IF(D66&gt;D60,D60,D66)</f>
        <v>0</v>
      </c>
      <c r="F66" s="279">
        <f t="shared" ref="F66:AC66" si="35">IF(E66&gt;E60,E60,E66)</f>
        <v>0</v>
      </c>
      <c r="G66" s="279">
        <f t="shared" si="35"/>
        <v>0</v>
      </c>
      <c r="H66" s="279">
        <f t="shared" si="35"/>
        <v>0</v>
      </c>
      <c r="I66" s="279">
        <f t="shared" si="35"/>
        <v>0</v>
      </c>
      <c r="J66" s="279">
        <f t="shared" si="35"/>
        <v>0</v>
      </c>
      <c r="K66" s="279">
        <f t="shared" si="35"/>
        <v>0</v>
      </c>
      <c r="L66" s="279">
        <f t="shared" si="35"/>
        <v>0</v>
      </c>
      <c r="M66" s="279">
        <f t="shared" si="35"/>
        <v>0</v>
      </c>
      <c r="N66" s="279">
        <f t="shared" si="35"/>
        <v>0</v>
      </c>
      <c r="O66" s="279">
        <f t="shared" si="35"/>
        <v>0</v>
      </c>
      <c r="P66" s="279">
        <f t="shared" si="35"/>
        <v>0</v>
      </c>
      <c r="Q66" s="279">
        <f t="shared" si="35"/>
        <v>0</v>
      </c>
      <c r="R66" s="279">
        <f t="shared" si="35"/>
        <v>0</v>
      </c>
      <c r="S66" s="279">
        <f t="shared" si="35"/>
        <v>0</v>
      </c>
      <c r="T66" s="279">
        <f t="shared" si="35"/>
        <v>0</v>
      </c>
      <c r="U66" s="279">
        <f t="shared" si="35"/>
        <v>0</v>
      </c>
      <c r="V66" s="279">
        <f t="shared" si="35"/>
        <v>0</v>
      </c>
      <c r="W66" s="279">
        <f t="shared" si="35"/>
        <v>0</v>
      </c>
      <c r="X66" s="279">
        <f t="shared" si="35"/>
        <v>0</v>
      </c>
      <c r="Y66" s="279">
        <f t="shared" si="35"/>
        <v>0</v>
      </c>
      <c r="Z66" s="279">
        <f t="shared" si="35"/>
        <v>0</v>
      </c>
      <c r="AA66" s="279">
        <f t="shared" si="35"/>
        <v>0</v>
      </c>
      <c r="AB66" s="279">
        <f t="shared" si="35"/>
        <v>0</v>
      </c>
      <c r="AC66" s="279">
        <f t="shared" si="35"/>
        <v>0</v>
      </c>
      <c r="AD66" s="279"/>
    </row>
    <row r="67" spans="1:30" s="521" customFormat="1" ht="12.75" x14ac:dyDescent="0.2">
      <c r="A67" s="516"/>
      <c r="B67" s="572" t="s">
        <v>59</v>
      </c>
      <c r="C67" s="573"/>
      <c r="D67" s="278"/>
      <c r="E67" s="279">
        <f>IF(D67&gt;D61,D61,D67)</f>
        <v>0</v>
      </c>
      <c r="F67" s="279">
        <f t="shared" ref="F67:AC67" si="36">IF(E67&gt;E61,E61,E67)</f>
        <v>0</v>
      </c>
      <c r="G67" s="279">
        <f t="shared" si="36"/>
        <v>0</v>
      </c>
      <c r="H67" s="279">
        <f t="shared" si="36"/>
        <v>0</v>
      </c>
      <c r="I67" s="279">
        <f t="shared" si="36"/>
        <v>0</v>
      </c>
      <c r="J67" s="279">
        <f t="shared" si="36"/>
        <v>0</v>
      </c>
      <c r="K67" s="279">
        <f t="shared" si="36"/>
        <v>0</v>
      </c>
      <c r="L67" s="279">
        <f t="shared" si="36"/>
        <v>0</v>
      </c>
      <c r="M67" s="279">
        <f t="shared" si="36"/>
        <v>0</v>
      </c>
      <c r="N67" s="279">
        <f t="shared" si="36"/>
        <v>0</v>
      </c>
      <c r="O67" s="279">
        <f t="shared" si="36"/>
        <v>0</v>
      </c>
      <c r="P67" s="279">
        <f t="shared" si="36"/>
        <v>0</v>
      </c>
      <c r="Q67" s="279">
        <f t="shared" si="36"/>
        <v>0</v>
      </c>
      <c r="R67" s="279">
        <f t="shared" si="36"/>
        <v>0</v>
      </c>
      <c r="S67" s="279">
        <f t="shared" si="36"/>
        <v>0</v>
      </c>
      <c r="T67" s="279">
        <f t="shared" si="36"/>
        <v>0</v>
      </c>
      <c r="U67" s="279">
        <f t="shared" si="36"/>
        <v>0</v>
      </c>
      <c r="V67" s="279">
        <f t="shared" si="36"/>
        <v>0</v>
      </c>
      <c r="W67" s="279">
        <f t="shared" si="36"/>
        <v>0</v>
      </c>
      <c r="X67" s="279">
        <f t="shared" si="36"/>
        <v>0</v>
      </c>
      <c r="Y67" s="279">
        <f t="shared" si="36"/>
        <v>0</v>
      </c>
      <c r="Z67" s="279">
        <f t="shared" si="36"/>
        <v>0</v>
      </c>
      <c r="AA67" s="279">
        <f t="shared" si="36"/>
        <v>0</v>
      </c>
      <c r="AB67" s="279">
        <f t="shared" si="36"/>
        <v>0</v>
      </c>
      <c r="AC67" s="279">
        <f t="shared" si="36"/>
        <v>0</v>
      </c>
      <c r="AD67" s="279"/>
    </row>
    <row r="68" spans="1:30" s="521" customFormat="1" ht="12.75" x14ac:dyDescent="0.2">
      <c r="A68" s="516"/>
      <c r="B68" s="572" t="s">
        <v>60</v>
      </c>
      <c r="C68" s="573"/>
      <c r="D68" s="278"/>
      <c r="E68" s="279">
        <f>IF(D68&gt;D62,D62,D68)</f>
        <v>0</v>
      </c>
      <c r="F68" s="279">
        <f t="shared" ref="F68:AC68" si="37">IF(E68&gt;E62,E62,E68)</f>
        <v>0</v>
      </c>
      <c r="G68" s="279">
        <f t="shared" si="37"/>
        <v>0</v>
      </c>
      <c r="H68" s="279">
        <f t="shared" si="37"/>
        <v>0</v>
      </c>
      <c r="I68" s="279">
        <f t="shared" si="37"/>
        <v>0</v>
      </c>
      <c r="J68" s="279">
        <f t="shared" si="37"/>
        <v>0</v>
      </c>
      <c r="K68" s="279">
        <f t="shared" si="37"/>
        <v>0</v>
      </c>
      <c r="L68" s="279">
        <f t="shared" si="37"/>
        <v>0</v>
      </c>
      <c r="M68" s="279">
        <f t="shared" si="37"/>
        <v>0</v>
      </c>
      <c r="N68" s="279">
        <f t="shared" si="37"/>
        <v>0</v>
      </c>
      <c r="O68" s="279">
        <f t="shared" si="37"/>
        <v>0</v>
      </c>
      <c r="P68" s="279">
        <f t="shared" si="37"/>
        <v>0</v>
      </c>
      <c r="Q68" s="279">
        <f t="shared" si="37"/>
        <v>0</v>
      </c>
      <c r="R68" s="279">
        <f t="shared" si="37"/>
        <v>0</v>
      </c>
      <c r="S68" s="279">
        <f t="shared" si="37"/>
        <v>0</v>
      </c>
      <c r="T68" s="279">
        <f t="shared" si="37"/>
        <v>0</v>
      </c>
      <c r="U68" s="279">
        <f t="shared" si="37"/>
        <v>0</v>
      </c>
      <c r="V68" s="279">
        <f t="shared" si="37"/>
        <v>0</v>
      </c>
      <c r="W68" s="279">
        <f t="shared" si="37"/>
        <v>0</v>
      </c>
      <c r="X68" s="279">
        <f t="shared" si="37"/>
        <v>0</v>
      </c>
      <c r="Y68" s="279">
        <f t="shared" si="37"/>
        <v>0</v>
      </c>
      <c r="Z68" s="279">
        <f t="shared" si="37"/>
        <v>0</v>
      </c>
      <c r="AA68" s="279">
        <f t="shared" si="37"/>
        <v>0</v>
      </c>
      <c r="AB68" s="279">
        <f t="shared" si="37"/>
        <v>0</v>
      </c>
      <c r="AC68" s="279">
        <f t="shared" si="37"/>
        <v>0</v>
      </c>
      <c r="AD68" s="279"/>
    </row>
    <row r="69" spans="1:30" s="514" customFormat="1" ht="12.75" x14ac:dyDescent="0.2">
      <c r="A69" s="516"/>
      <c r="B69" s="574" t="s">
        <v>62</v>
      </c>
      <c r="C69" s="575"/>
      <c r="D69" s="577">
        <f>SUM(D65:D68)</f>
        <v>0</v>
      </c>
      <c r="E69" s="577">
        <f t="shared" ref="E69:AC69" si="38">SUM(E65:E68)</f>
        <v>0</v>
      </c>
      <c r="F69" s="577">
        <f t="shared" si="38"/>
        <v>0</v>
      </c>
      <c r="G69" s="577">
        <f t="shared" si="38"/>
        <v>0</v>
      </c>
      <c r="H69" s="577">
        <f t="shared" si="38"/>
        <v>0</v>
      </c>
      <c r="I69" s="577">
        <f t="shared" si="38"/>
        <v>0</v>
      </c>
      <c r="J69" s="577">
        <f t="shared" si="38"/>
        <v>0</v>
      </c>
      <c r="K69" s="577">
        <f t="shared" si="38"/>
        <v>0</v>
      </c>
      <c r="L69" s="577">
        <f t="shared" si="38"/>
        <v>0</v>
      </c>
      <c r="M69" s="577">
        <f t="shared" si="38"/>
        <v>0</v>
      </c>
      <c r="N69" s="577">
        <f t="shared" si="38"/>
        <v>0</v>
      </c>
      <c r="O69" s="577">
        <f t="shared" si="38"/>
        <v>0</v>
      </c>
      <c r="P69" s="577">
        <f t="shared" si="38"/>
        <v>0</v>
      </c>
      <c r="Q69" s="577">
        <f t="shared" si="38"/>
        <v>0</v>
      </c>
      <c r="R69" s="577">
        <f t="shared" si="38"/>
        <v>0</v>
      </c>
      <c r="S69" s="577">
        <f t="shared" si="38"/>
        <v>0</v>
      </c>
      <c r="T69" s="577">
        <f t="shared" si="38"/>
        <v>0</v>
      </c>
      <c r="U69" s="577">
        <f t="shared" si="38"/>
        <v>0</v>
      </c>
      <c r="V69" s="577">
        <f t="shared" si="38"/>
        <v>0</v>
      </c>
      <c r="W69" s="577">
        <f t="shared" si="38"/>
        <v>0</v>
      </c>
      <c r="X69" s="577">
        <f t="shared" si="38"/>
        <v>0</v>
      </c>
      <c r="Y69" s="577">
        <f t="shared" si="38"/>
        <v>0</v>
      </c>
      <c r="Z69" s="577">
        <f t="shared" si="38"/>
        <v>0</v>
      </c>
      <c r="AA69" s="577">
        <f t="shared" si="38"/>
        <v>0</v>
      </c>
      <c r="AB69" s="577">
        <f t="shared" si="38"/>
        <v>0</v>
      </c>
      <c r="AC69" s="577">
        <f t="shared" si="38"/>
        <v>0</v>
      </c>
      <c r="AD69" s="539"/>
    </row>
    <row r="70" spans="1:30" s="514" customFormat="1" ht="12.75" x14ac:dyDescent="0.2"/>
    <row r="71" spans="1:30" s="528" customFormat="1" ht="12.75" x14ac:dyDescent="0.2">
      <c r="A71" s="532" t="s">
        <v>36</v>
      </c>
      <c r="B71" s="758" t="s">
        <v>501</v>
      </c>
      <c r="C71" s="532" t="s">
        <v>20</v>
      </c>
      <c r="D71" s="557">
        <v>68</v>
      </c>
      <c r="E71" s="532">
        <f t="shared" ref="E71:AC71" si="39">E75+E74</f>
        <v>29.120000000000005</v>
      </c>
      <c r="F71" s="532">
        <f t="shared" si="39"/>
        <v>66.12</v>
      </c>
      <c r="G71" s="532">
        <f t="shared" si="39"/>
        <v>66.12</v>
      </c>
      <c r="H71" s="532">
        <f t="shared" si="39"/>
        <v>66.12</v>
      </c>
      <c r="I71" s="532">
        <f t="shared" si="39"/>
        <v>66.12</v>
      </c>
      <c r="J71" s="532">
        <f t="shared" si="39"/>
        <v>66.12</v>
      </c>
      <c r="K71" s="532">
        <f t="shared" si="39"/>
        <v>66.12</v>
      </c>
      <c r="L71" s="532">
        <f t="shared" si="39"/>
        <v>66.12</v>
      </c>
      <c r="M71" s="532">
        <f t="shared" si="39"/>
        <v>66.12</v>
      </c>
      <c r="N71" s="532">
        <f t="shared" si="39"/>
        <v>66.12</v>
      </c>
      <c r="O71" s="532">
        <f t="shared" si="39"/>
        <v>66.12</v>
      </c>
      <c r="P71" s="532">
        <f t="shared" si="39"/>
        <v>66.12</v>
      </c>
      <c r="Q71" s="532">
        <f t="shared" si="39"/>
        <v>66.12</v>
      </c>
      <c r="R71" s="532">
        <f t="shared" si="39"/>
        <v>66.12</v>
      </c>
      <c r="S71" s="532">
        <f t="shared" si="39"/>
        <v>66.12</v>
      </c>
      <c r="T71" s="532">
        <f t="shared" si="39"/>
        <v>66.12</v>
      </c>
      <c r="U71" s="532">
        <f t="shared" si="39"/>
        <v>66.12</v>
      </c>
      <c r="V71" s="532">
        <f t="shared" si="39"/>
        <v>66.12</v>
      </c>
      <c r="W71" s="532">
        <f t="shared" si="39"/>
        <v>66.12</v>
      </c>
      <c r="X71" s="532">
        <f t="shared" si="39"/>
        <v>66.12</v>
      </c>
      <c r="Y71" s="532">
        <f t="shared" si="39"/>
        <v>66.12</v>
      </c>
      <c r="Z71" s="532">
        <f t="shared" si="39"/>
        <v>66.12</v>
      </c>
      <c r="AA71" s="532">
        <f t="shared" si="39"/>
        <v>66.12</v>
      </c>
      <c r="AB71" s="532">
        <f t="shared" si="39"/>
        <v>66.12</v>
      </c>
      <c r="AC71" s="532">
        <f t="shared" si="39"/>
        <v>66.12</v>
      </c>
      <c r="AD71" s="532"/>
    </row>
    <row r="72" spans="1:30" s="521" customFormat="1" ht="12.75" x14ac:dyDescent="0.2">
      <c r="A72" s="516"/>
      <c r="B72" s="516" t="s">
        <v>510</v>
      </c>
      <c r="C72" s="516" t="s">
        <v>513</v>
      </c>
      <c r="D72" s="522"/>
      <c r="E72" s="587">
        <f>ROUND((E27+E69*Titullapa!$B$22-SUM(E15:E19))/E8,2)</f>
        <v>16.12</v>
      </c>
      <c r="F72" s="587">
        <f>ROUND((F27+F69*Titullapa!$B$22-SUM(F15:F19))/F8,2)</f>
        <v>66.12</v>
      </c>
      <c r="G72" s="587">
        <f>ROUND((G27+G69*Titullapa!$B$22-SUM(G15:G19))/G8,2)</f>
        <v>66.12</v>
      </c>
      <c r="H72" s="587">
        <f>ROUND((H27+H69*Titullapa!$B$22-SUM(H15:H19))/H8,2)</f>
        <v>66.12</v>
      </c>
      <c r="I72" s="587">
        <f>ROUND((I27+I69*Titullapa!$B$22-SUM(I15:I19))/I8,2)</f>
        <v>66.12</v>
      </c>
      <c r="J72" s="587">
        <f>ROUND((J27+J69*Titullapa!$B$22-SUM(J15:J19))/J8,2)</f>
        <v>66.12</v>
      </c>
      <c r="K72" s="587">
        <f>ROUND((K27+K69*Titullapa!$B$22-SUM(K15:K19))/K8,2)</f>
        <v>66.12</v>
      </c>
      <c r="L72" s="587">
        <f>ROUND((L27+L69*Titullapa!$B$22-SUM(L15:L19))/L8,2)</f>
        <v>66.12</v>
      </c>
      <c r="M72" s="587">
        <f>ROUND((M27+M69*Titullapa!$B$22-SUM(M15:M19))/M8,2)</f>
        <v>66.12</v>
      </c>
      <c r="N72" s="587">
        <f>ROUND((N27+N69*Titullapa!$B$22-SUM(N15:N19))/N8,2)</f>
        <v>66.12</v>
      </c>
      <c r="O72" s="587">
        <f>ROUND((O27+O69*Titullapa!$B$22-SUM(O15:O19))/O8,2)</f>
        <v>66.12</v>
      </c>
      <c r="P72" s="587">
        <f>ROUND((P27+P69*Titullapa!$B$22-SUM(P15:P19))/P8,2)</f>
        <v>66.12</v>
      </c>
      <c r="Q72" s="587">
        <f>ROUND((Q27+Q69*Titullapa!$B$22-SUM(Q15:Q19))/Q8,2)</f>
        <v>66.12</v>
      </c>
      <c r="R72" s="587">
        <f>ROUND((R27+R69*Titullapa!$B$22-SUM(R15:R19))/R8,2)</f>
        <v>66.12</v>
      </c>
      <c r="S72" s="587">
        <f>ROUND((S27+S69*Titullapa!$B$22-SUM(S15:S19))/S8,2)</f>
        <v>66.12</v>
      </c>
      <c r="T72" s="587">
        <f>ROUND((T27+T69*Titullapa!$B$22-SUM(T15:T19))/T8,2)</f>
        <v>66.12</v>
      </c>
      <c r="U72" s="587">
        <f>ROUND((U27+U69*Titullapa!$B$22-SUM(U15:U19))/U8,2)</f>
        <v>66.12</v>
      </c>
      <c r="V72" s="587">
        <f>ROUND((V27+V69*Titullapa!$B$22-SUM(V15:V19))/V8,2)</f>
        <v>66.12</v>
      </c>
      <c r="W72" s="587">
        <f>ROUND((W27+W69*Titullapa!$B$22-SUM(W15:W19))/W8,2)</f>
        <v>66.12</v>
      </c>
      <c r="X72" s="587">
        <f>ROUND((X27+X69*Titullapa!$B$22-SUM(X15:X19))/X8,2)</f>
        <v>66.12</v>
      </c>
      <c r="Y72" s="587">
        <f>ROUND((Y27+Y69*Titullapa!$B$22-SUM(Y15:Y19))/Y8,2)</f>
        <v>66.12</v>
      </c>
      <c r="Z72" s="587">
        <f>ROUND((Z27+Z69*Titullapa!$B$22-SUM(Z15:Z19))/Z8,2)</f>
        <v>66.12</v>
      </c>
      <c r="AA72" s="587">
        <f>ROUND((AA27+AA69*Titullapa!$B$22-SUM(AA15:AA19))/AA8,2)</f>
        <v>66.12</v>
      </c>
      <c r="AB72" s="587">
        <f>ROUND((AB27+AB69*Titullapa!$B$22-SUM(AB15:AB19))/AB8,2)</f>
        <v>66.12</v>
      </c>
      <c r="AC72" s="587">
        <f>ROUND((AC27+AC69*Titullapa!$B$22-SUM(AC15:AC19))/AC8,2)</f>
        <v>66.12</v>
      </c>
      <c r="AD72" s="516"/>
    </row>
    <row r="73" spans="1:30" s="521" customFormat="1" ht="12.75" x14ac:dyDescent="0.2">
      <c r="A73" s="516"/>
      <c r="B73" s="516" t="s">
        <v>511</v>
      </c>
      <c r="C73" s="516" t="s">
        <v>513</v>
      </c>
      <c r="D73" s="522"/>
      <c r="E73" s="516">
        <f t="shared" ref="E73:AC73" si="40">ROUND((E74*E8-E74*E9)/E8,2)</f>
        <v>52</v>
      </c>
      <c r="F73" s="516">
        <f t="shared" si="40"/>
        <v>0</v>
      </c>
      <c r="G73" s="516">
        <f t="shared" si="40"/>
        <v>0</v>
      </c>
      <c r="H73" s="516">
        <f t="shared" si="40"/>
        <v>0</v>
      </c>
      <c r="I73" s="516">
        <f t="shared" si="40"/>
        <v>0</v>
      </c>
      <c r="J73" s="516">
        <f t="shared" si="40"/>
        <v>0</v>
      </c>
      <c r="K73" s="516">
        <f t="shared" si="40"/>
        <v>0</v>
      </c>
      <c r="L73" s="516">
        <f t="shared" si="40"/>
        <v>0</v>
      </c>
      <c r="M73" s="516">
        <f t="shared" si="40"/>
        <v>0</v>
      </c>
      <c r="N73" s="516">
        <f t="shared" si="40"/>
        <v>0</v>
      </c>
      <c r="O73" s="516">
        <f t="shared" si="40"/>
        <v>0</v>
      </c>
      <c r="P73" s="516">
        <f t="shared" si="40"/>
        <v>0</v>
      </c>
      <c r="Q73" s="516">
        <f t="shared" si="40"/>
        <v>0</v>
      </c>
      <c r="R73" s="516">
        <f t="shared" si="40"/>
        <v>0</v>
      </c>
      <c r="S73" s="516">
        <f t="shared" si="40"/>
        <v>0</v>
      </c>
      <c r="T73" s="516">
        <f t="shared" si="40"/>
        <v>0</v>
      </c>
      <c r="U73" s="516">
        <f t="shared" si="40"/>
        <v>0</v>
      </c>
      <c r="V73" s="516">
        <f t="shared" si="40"/>
        <v>0</v>
      </c>
      <c r="W73" s="516">
        <f t="shared" si="40"/>
        <v>0</v>
      </c>
      <c r="X73" s="516">
        <f t="shared" si="40"/>
        <v>0</v>
      </c>
      <c r="Y73" s="516">
        <f t="shared" si="40"/>
        <v>0</v>
      </c>
      <c r="Z73" s="516">
        <f t="shared" si="40"/>
        <v>0</v>
      </c>
      <c r="AA73" s="516">
        <f t="shared" si="40"/>
        <v>0</v>
      </c>
      <c r="AB73" s="516">
        <f t="shared" si="40"/>
        <v>0</v>
      </c>
      <c r="AC73" s="516">
        <f t="shared" si="40"/>
        <v>0</v>
      </c>
      <c r="AD73" s="516"/>
    </row>
    <row r="74" spans="1:30" s="521" customFormat="1" ht="12.75" x14ac:dyDescent="0.2">
      <c r="A74" s="516"/>
      <c r="B74" s="516" t="s">
        <v>515</v>
      </c>
      <c r="C74" s="516" t="s">
        <v>20</v>
      </c>
      <c r="D74" s="522"/>
      <c r="E74" s="522">
        <v>65</v>
      </c>
      <c r="F74" s="522"/>
      <c r="G74" s="522"/>
      <c r="H74" s="522"/>
      <c r="I74" s="522"/>
      <c r="J74" s="522"/>
      <c r="K74" s="522"/>
      <c r="L74" s="522"/>
      <c r="M74" s="522"/>
      <c r="N74" s="522"/>
      <c r="O74" s="522"/>
      <c r="P74" s="522"/>
      <c r="Q74" s="522"/>
      <c r="R74" s="522"/>
      <c r="S74" s="522"/>
      <c r="T74" s="522"/>
      <c r="U74" s="522"/>
      <c r="V74" s="522"/>
      <c r="W74" s="522"/>
      <c r="X74" s="522"/>
      <c r="Y74" s="522"/>
      <c r="Z74" s="522"/>
      <c r="AA74" s="522"/>
      <c r="AB74" s="522"/>
      <c r="AC74" s="522"/>
      <c r="AD74" s="516"/>
    </row>
    <row r="75" spans="1:30" s="521" customFormat="1" ht="12.75" x14ac:dyDescent="0.2">
      <c r="A75" s="516"/>
      <c r="B75" s="516" t="s">
        <v>514</v>
      </c>
      <c r="C75" s="516" t="s">
        <v>513</v>
      </c>
      <c r="D75" s="522"/>
      <c r="E75" s="516">
        <f t="shared" ref="E75:AC75" si="41">E72-E73</f>
        <v>-35.879999999999995</v>
      </c>
      <c r="F75" s="516">
        <f t="shared" si="41"/>
        <v>66.12</v>
      </c>
      <c r="G75" s="516">
        <f t="shared" si="41"/>
        <v>66.12</v>
      </c>
      <c r="H75" s="516">
        <f t="shared" si="41"/>
        <v>66.12</v>
      </c>
      <c r="I75" s="516">
        <f t="shared" si="41"/>
        <v>66.12</v>
      </c>
      <c r="J75" s="516">
        <f t="shared" si="41"/>
        <v>66.12</v>
      </c>
      <c r="K75" s="516">
        <f t="shared" si="41"/>
        <v>66.12</v>
      </c>
      <c r="L75" s="516">
        <f t="shared" si="41"/>
        <v>66.12</v>
      </c>
      <c r="M75" s="516">
        <f t="shared" si="41"/>
        <v>66.12</v>
      </c>
      <c r="N75" s="516">
        <f t="shared" si="41"/>
        <v>66.12</v>
      </c>
      <c r="O75" s="516">
        <f t="shared" si="41"/>
        <v>66.12</v>
      </c>
      <c r="P75" s="516">
        <f t="shared" si="41"/>
        <v>66.12</v>
      </c>
      <c r="Q75" s="516">
        <f t="shared" si="41"/>
        <v>66.12</v>
      </c>
      <c r="R75" s="516">
        <f t="shared" si="41"/>
        <v>66.12</v>
      </c>
      <c r="S75" s="516">
        <f t="shared" si="41"/>
        <v>66.12</v>
      </c>
      <c r="T75" s="516">
        <f t="shared" si="41"/>
        <v>66.12</v>
      </c>
      <c r="U75" s="516">
        <f t="shared" si="41"/>
        <v>66.12</v>
      </c>
      <c r="V75" s="516">
        <f t="shared" si="41"/>
        <v>66.12</v>
      </c>
      <c r="W75" s="516">
        <f t="shared" si="41"/>
        <v>66.12</v>
      </c>
      <c r="X75" s="516">
        <f t="shared" si="41"/>
        <v>66.12</v>
      </c>
      <c r="Y75" s="516">
        <f t="shared" si="41"/>
        <v>66.12</v>
      </c>
      <c r="Z75" s="516">
        <f t="shared" si="41"/>
        <v>66.12</v>
      </c>
      <c r="AA75" s="516">
        <f t="shared" si="41"/>
        <v>66.12</v>
      </c>
      <c r="AB75" s="516">
        <f t="shared" si="41"/>
        <v>66.12</v>
      </c>
      <c r="AC75" s="516">
        <f t="shared" si="41"/>
        <v>66.12</v>
      </c>
      <c r="AD75" s="516"/>
    </row>
  </sheetData>
  <sheetProtection algorithmName="SHA-512" hashValue="Of6WVONNPX7wrgEYaRf1Y3mAiseugevN+LuRBqgFGZXnyoHqRkwfMMPs0dlUCW+Yz6yYNALRTbdZKINnUhaR7w==" saltValue="yAHqNV3Fz9tNJubFiYOuyA==" spinCount="100000" sheet="1" objects="1" scenarios="1" formatCells="0" formatColumns="0" formatRows="0"/>
  <mergeCells count="4">
    <mergeCell ref="AD4:AD6"/>
    <mergeCell ref="D4:D6"/>
    <mergeCell ref="C4:C6"/>
    <mergeCell ref="A1:D1"/>
  </mergeCells>
  <dataValidations count="1">
    <dataValidation operator="equal" allowBlank="1" showErrorMessage="1" errorTitle="Jāievada pozitīvs skaitlis" error="Jāievada pozitīvs skaitlis" sqref="C58:D69 E69:AC69 E59:AD62 E63:AC63 E65:AD68" xr:uid="{00000000-0002-0000-0300-000000000000}">
      <formula1>0</formula1>
      <formula2>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D84"/>
  <sheetViews>
    <sheetView workbookViewId="0">
      <pane xSplit="3" ySplit="6" topLeftCell="V34" activePane="bottomRight" state="frozen"/>
      <selection pane="topRight" activeCell="D1" sqref="D1"/>
      <selection pane="bottomLeft" activeCell="A7" sqref="A7"/>
      <selection pane="bottomRight" activeCell="V31" sqref="V31"/>
    </sheetView>
  </sheetViews>
  <sheetFormatPr defaultColWidth="9.140625" defaultRowHeight="15" x14ac:dyDescent="0.25"/>
  <cols>
    <col min="1" max="1" width="9.140625" style="762"/>
    <col min="2" max="2" width="45" style="762" customWidth="1"/>
    <col min="3" max="3" width="10.85546875" style="423" customWidth="1"/>
    <col min="4" max="4" width="12.5703125" style="423" customWidth="1"/>
    <col min="5" max="5" width="12.140625" style="423" bestFit="1" customWidth="1"/>
    <col min="6" max="6" width="12.85546875" style="423" bestFit="1" customWidth="1"/>
    <col min="7" max="13" width="11.7109375" style="423" bestFit="1" customWidth="1"/>
    <col min="14" max="29" width="11.42578125" style="423" bestFit="1" customWidth="1"/>
    <col min="30" max="30" width="12.42578125" style="428" bestFit="1" customWidth="1"/>
    <col min="31" max="16384" width="9.140625" style="423"/>
  </cols>
  <sheetData>
    <row r="1" spans="1:30" s="514" customFormat="1" ht="26.25" x14ac:dyDescent="0.2">
      <c r="A1" s="903" t="s">
        <v>429</v>
      </c>
      <c r="B1" s="903"/>
      <c r="C1" s="903"/>
      <c r="D1" s="903"/>
    </row>
    <row r="2" spans="1:30" s="514" customFormat="1" ht="27" customHeight="1" x14ac:dyDescent="0.35">
      <c r="A2" s="955" t="s">
        <v>430</v>
      </c>
      <c r="B2" s="955"/>
      <c r="C2" s="955"/>
      <c r="D2" s="955"/>
    </row>
    <row r="3" spans="1:30" s="514" customFormat="1" ht="12.75" x14ac:dyDescent="0.2">
      <c r="A3" s="579"/>
      <c r="B3" s="579"/>
    </row>
    <row r="4" spans="1:30" s="196" customFormat="1" ht="12.75" x14ac:dyDescent="0.2">
      <c r="A4" s="580"/>
      <c r="B4" s="580"/>
      <c r="C4" s="952" t="s">
        <v>47</v>
      </c>
      <c r="D4" s="949" t="s">
        <v>46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946" t="s">
        <v>40</v>
      </c>
    </row>
    <row r="5" spans="1:30" s="196" customFormat="1" ht="12.75" x14ac:dyDescent="0.2">
      <c r="A5" s="727"/>
      <c r="B5" s="581"/>
      <c r="C5" s="953"/>
      <c r="D5" s="950"/>
      <c r="E5" s="878">
        <v>0</v>
      </c>
      <c r="F5" s="878">
        <f>1+E5</f>
        <v>1</v>
      </c>
      <c r="G5" s="878">
        <f t="shared" ref="G5:AC5" si="0">1+F5</f>
        <v>2</v>
      </c>
      <c r="H5" s="878">
        <f t="shared" si="0"/>
        <v>3</v>
      </c>
      <c r="I5" s="878">
        <f t="shared" si="0"/>
        <v>4</v>
      </c>
      <c r="J5" s="878">
        <f t="shared" si="0"/>
        <v>5</v>
      </c>
      <c r="K5" s="878">
        <f t="shared" si="0"/>
        <v>6</v>
      </c>
      <c r="L5" s="878">
        <f t="shared" si="0"/>
        <v>7</v>
      </c>
      <c r="M5" s="878">
        <f t="shared" si="0"/>
        <v>8</v>
      </c>
      <c r="N5" s="878">
        <f t="shared" si="0"/>
        <v>9</v>
      </c>
      <c r="O5" s="878">
        <f t="shared" si="0"/>
        <v>10</v>
      </c>
      <c r="P5" s="878">
        <f t="shared" si="0"/>
        <v>11</v>
      </c>
      <c r="Q5" s="878">
        <f t="shared" si="0"/>
        <v>12</v>
      </c>
      <c r="R5" s="878">
        <f t="shared" si="0"/>
        <v>13</v>
      </c>
      <c r="S5" s="878">
        <f t="shared" si="0"/>
        <v>14</v>
      </c>
      <c r="T5" s="878">
        <f t="shared" si="0"/>
        <v>15</v>
      </c>
      <c r="U5" s="878">
        <f t="shared" si="0"/>
        <v>16</v>
      </c>
      <c r="V5" s="878">
        <f t="shared" si="0"/>
        <v>17</v>
      </c>
      <c r="W5" s="878">
        <f t="shared" si="0"/>
        <v>18</v>
      </c>
      <c r="X5" s="878">
        <f t="shared" si="0"/>
        <v>19</v>
      </c>
      <c r="Y5" s="878">
        <f t="shared" si="0"/>
        <v>20</v>
      </c>
      <c r="Z5" s="878">
        <f t="shared" si="0"/>
        <v>21</v>
      </c>
      <c r="AA5" s="878">
        <f t="shared" si="0"/>
        <v>22</v>
      </c>
      <c r="AB5" s="878">
        <f t="shared" si="0"/>
        <v>23</v>
      </c>
      <c r="AC5" s="878">
        <f t="shared" si="0"/>
        <v>24</v>
      </c>
      <c r="AD5" s="947"/>
    </row>
    <row r="6" spans="1:30" s="196" customFormat="1" ht="24.75" customHeight="1" x14ac:dyDescent="0.2">
      <c r="A6" s="728"/>
      <c r="B6" s="582" t="s">
        <v>39</v>
      </c>
      <c r="C6" s="954"/>
      <c r="D6" s="951"/>
      <c r="E6" s="879">
        <f>Titullapa!D10</f>
        <v>2021</v>
      </c>
      <c r="F6" s="879">
        <f>E6+1</f>
        <v>2022</v>
      </c>
      <c r="G6" s="879">
        <f>F6+1</f>
        <v>2023</v>
      </c>
      <c r="H6" s="879">
        <f t="shared" ref="H6:AC6" si="1">G6+1</f>
        <v>2024</v>
      </c>
      <c r="I6" s="879">
        <f t="shared" si="1"/>
        <v>2025</v>
      </c>
      <c r="J6" s="879">
        <f t="shared" si="1"/>
        <v>2026</v>
      </c>
      <c r="K6" s="879">
        <f t="shared" si="1"/>
        <v>2027</v>
      </c>
      <c r="L6" s="879">
        <f t="shared" si="1"/>
        <v>2028</v>
      </c>
      <c r="M6" s="879">
        <f t="shared" si="1"/>
        <v>2029</v>
      </c>
      <c r="N6" s="879">
        <f t="shared" si="1"/>
        <v>2030</v>
      </c>
      <c r="O6" s="879">
        <f t="shared" si="1"/>
        <v>2031</v>
      </c>
      <c r="P6" s="879">
        <f t="shared" si="1"/>
        <v>2032</v>
      </c>
      <c r="Q6" s="879">
        <f t="shared" si="1"/>
        <v>2033</v>
      </c>
      <c r="R6" s="879">
        <f t="shared" si="1"/>
        <v>2034</v>
      </c>
      <c r="S6" s="879">
        <f t="shared" si="1"/>
        <v>2035</v>
      </c>
      <c r="T6" s="879">
        <f t="shared" si="1"/>
        <v>2036</v>
      </c>
      <c r="U6" s="879">
        <f t="shared" si="1"/>
        <v>2037</v>
      </c>
      <c r="V6" s="879">
        <f t="shared" si="1"/>
        <v>2038</v>
      </c>
      <c r="W6" s="879">
        <f t="shared" si="1"/>
        <v>2039</v>
      </c>
      <c r="X6" s="879">
        <f t="shared" si="1"/>
        <v>2040</v>
      </c>
      <c r="Y6" s="879">
        <f t="shared" si="1"/>
        <v>2041</v>
      </c>
      <c r="Z6" s="879">
        <f t="shared" si="1"/>
        <v>2042</v>
      </c>
      <c r="AA6" s="879">
        <f t="shared" si="1"/>
        <v>2043</v>
      </c>
      <c r="AB6" s="879">
        <f t="shared" si="1"/>
        <v>2044</v>
      </c>
      <c r="AC6" s="879">
        <f t="shared" si="1"/>
        <v>2045</v>
      </c>
      <c r="AD6" s="948"/>
    </row>
    <row r="7" spans="1:30" s="190" customFormat="1" ht="24.75" customHeight="1" x14ac:dyDescent="0.2">
      <c r="A7" s="729"/>
      <c r="B7" s="726"/>
      <c r="C7" s="71"/>
      <c r="D7" s="118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24"/>
    </row>
    <row r="8" spans="1:30" s="527" customFormat="1" ht="25.5" x14ac:dyDescent="0.2">
      <c r="A8" s="730"/>
      <c r="B8" s="564" t="s">
        <v>554</v>
      </c>
      <c r="C8" s="564" t="s">
        <v>48</v>
      </c>
      <c r="D8" s="536">
        <f>'2.DL Naudas plūsma bez projekta'!D8</f>
        <v>100</v>
      </c>
      <c r="E8" s="530">
        <v>100</v>
      </c>
      <c r="F8" s="530">
        <v>100</v>
      </c>
      <c r="G8" s="530">
        <v>100</v>
      </c>
      <c r="H8" s="530">
        <v>100</v>
      </c>
      <c r="I8" s="530">
        <v>100</v>
      </c>
      <c r="J8" s="530">
        <v>100</v>
      </c>
      <c r="K8" s="530">
        <v>100</v>
      </c>
      <c r="L8" s="530">
        <v>100</v>
      </c>
      <c r="M8" s="530">
        <v>100</v>
      </c>
      <c r="N8" s="530">
        <v>100</v>
      </c>
      <c r="O8" s="530">
        <v>100</v>
      </c>
      <c r="P8" s="530">
        <v>100</v>
      </c>
      <c r="Q8" s="530">
        <v>100</v>
      </c>
      <c r="R8" s="530">
        <v>100</v>
      </c>
      <c r="S8" s="530">
        <v>100</v>
      </c>
      <c r="T8" s="530">
        <v>100</v>
      </c>
      <c r="U8" s="530">
        <v>100</v>
      </c>
      <c r="V8" s="530">
        <v>100</v>
      </c>
      <c r="W8" s="530">
        <v>100</v>
      </c>
      <c r="X8" s="530">
        <v>100</v>
      </c>
      <c r="Y8" s="530">
        <v>100</v>
      </c>
      <c r="Z8" s="530">
        <v>100</v>
      </c>
      <c r="AA8" s="530">
        <v>100</v>
      </c>
      <c r="AB8" s="530">
        <v>100</v>
      </c>
      <c r="AC8" s="530">
        <v>100</v>
      </c>
      <c r="AD8" s="565">
        <f>SUM(E8:AC8)</f>
        <v>2500</v>
      </c>
    </row>
    <row r="9" spans="1:30" s="527" customFormat="1" ht="25.5" x14ac:dyDescent="0.2">
      <c r="A9" s="730"/>
      <c r="B9" s="564" t="s">
        <v>555</v>
      </c>
      <c r="C9" s="564" t="s">
        <v>48</v>
      </c>
      <c r="D9" s="536">
        <f>'2.DL Naudas plūsma bez projekta'!D9</f>
        <v>20</v>
      </c>
      <c r="E9" s="530">
        <v>20</v>
      </c>
      <c r="F9" s="530">
        <v>20</v>
      </c>
      <c r="G9" s="530">
        <v>20</v>
      </c>
      <c r="H9" s="530">
        <v>20</v>
      </c>
      <c r="I9" s="530">
        <v>20</v>
      </c>
      <c r="J9" s="530">
        <v>20</v>
      </c>
      <c r="K9" s="530">
        <v>20</v>
      </c>
      <c r="L9" s="530">
        <v>20</v>
      </c>
      <c r="M9" s="530">
        <v>20</v>
      </c>
      <c r="N9" s="530">
        <v>20</v>
      </c>
      <c r="O9" s="530">
        <v>20</v>
      </c>
      <c r="P9" s="530">
        <v>20</v>
      </c>
      <c r="Q9" s="530">
        <v>20</v>
      </c>
      <c r="R9" s="530">
        <v>20</v>
      </c>
      <c r="S9" s="530">
        <v>20</v>
      </c>
      <c r="T9" s="530">
        <v>20</v>
      </c>
      <c r="U9" s="530">
        <v>20</v>
      </c>
      <c r="V9" s="530">
        <v>20</v>
      </c>
      <c r="W9" s="530">
        <v>20</v>
      </c>
      <c r="X9" s="530">
        <v>20</v>
      </c>
      <c r="Y9" s="530">
        <v>20</v>
      </c>
      <c r="Z9" s="530">
        <v>20</v>
      </c>
      <c r="AA9" s="530">
        <v>20</v>
      </c>
      <c r="AB9" s="530">
        <v>20</v>
      </c>
      <c r="AC9" s="530">
        <v>20</v>
      </c>
      <c r="AD9" s="565">
        <f>SUM(E9:AC9)</f>
        <v>500</v>
      </c>
    </row>
    <row r="10" spans="1:30" s="527" customFormat="1" ht="25.5" x14ac:dyDescent="0.2">
      <c r="A10" s="876"/>
      <c r="B10" s="564" t="str">
        <f>'2.DL Naudas plūsma bez projekta'!B10</f>
        <v>Dalīti vākto bioloģiski noārdāmo atkritumu daudzums kārtējā gadā</v>
      </c>
      <c r="C10" s="564" t="s">
        <v>48</v>
      </c>
      <c r="D10" s="536">
        <f>'2.DL Naudas plūsma bez projekta'!D10</f>
        <v>0</v>
      </c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0"/>
      <c r="P10" s="530"/>
      <c r="Q10" s="530"/>
      <c r="R10" s="530"/>
      <c r="S10" s="530"/>
      <c r="T10" s="530"/>
      <c r="U10" s="530"/>
      <c r="V10" s="530"/>
      <c r="W10" s="530"/>
      <c r="X10" s="530"/>
      <c r="Y10" s="530"/>
      <c r="Z10" s="530"/>
      <c r="AA10" s="530"/>
      <c r="AB10" s="530"/>
      <c r="AC10" s="530"/>
      <c r="AD10" s="565">
        <f>SUM(E10:AC10)</f>
        <v>0</v>
      </c>
    </row>
    <row r="11" spans="1:30" s="196" customFormat="1" ht="12.75" x14ac:dyDescent="0.2">
      <c r="A11" s="583"/>
      <c r="B11" s="583"/>
      <c r="C11" s="17"/>
      <c r="D11" s="17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30" s="196" customFormat="1" ht="38.25" x14ac:dyDescent="0.2">
      <c r="A12" s="584" t="s">
        <v>41</v>
      </c>
      <c r="B12" s="584"/>
      <c r="C12" s="21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559"/>
    </row>
    <row r="13" spans="1:30" s="196" customFormat="1" ht="12.75" x14ac:dyDescent="0.2">
      <c r="A13" s="585"/>
      <c r="B13" s="585"/>
      <c r="C13" s="560"/>
      <c r="D13" s="560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</row>
    <row r="14" spans="1:30" s="196" customFormat="1" ht="13.5" customHeight="1" x14ac:dyDescent="0.2">
      <c r="A14" s="731">
        <v>1</v>
      </c>
      <c r="B14" s="586" t="s">
        <v>564</v>
      </c>
      <c r="C14" s="563"/>
      <c r="D14" s="565">
        <f>SUM(D15:D24)</f>
        <v>6800</v>
      </c>
      <c r="E14" s="565">
        <f t="shared" ref="E14:AC14" si="2">SUM(E15:E24)</f>
        <v>10912</v>
      </c>
      <c r="F14" s="565">
        <f t="shared" si="2"/>
        <v>9612</v>
      </c>
      <c r="G14" s="565">
        <f t="shared" si="2"/>
        <v>11632</v>
      </c>
      <c r="H14" s="565">
        <f t="shared" si="2"/>
        <v>7630</v>
      </c>
      <c r="I14" s="565">
        <f t="shared" si="2"/>
        <v>7628</v>
      </c>
      <c r="J14" s="565">
        <f t="shared" si="2"/>
        <v>7626</v>
      </c>
      <c r="K14" s="565">
        <f t="shared" si="2"/>
        <v>7624</v>
      </c>
      <c r="L14" s="565">
        <f t="shared" si="2"/>
        <v>7622</v>
      </c>
      <c r="M14" s="565">
        <f t="shared" si="2"/>
        <v>7620</v>
      </c>
      <c r="N14" s="565">
        <f t="shared" si="2"/>
        <v>7618</v>
      </c>
      <c r="O14" s="565">
        <f t="shared" si="2"/>
        <v>7616</v>
      </c>
      <c r="P14" s="565">
        <f t="shared" si="2"/>
        <v>7614</v>
      </c>
      <c r="Q14" s="565">
        <f t="shared" si="2"/>
        <v>7612</v>
      </c>
      <c r="R14" s="565">
        <f t="shared" si="2"/>
        <v>7612</v>
      </c>
      <c r="S14" s="565">
        <f t="shared" si="2"/>
        <v>7612</v>
      </c>
      <c r="T14" s="565">
        <f t="shared" si="2"/>
        <v>7612</v>
      </c>
      <c r="U14" s="565">
        <f t="shared" si="2"/>
        <v>7612</v>
      </c>
      <c r="V14" s="565">
        <f t="shared" si="2"/>
        <v>7612</v>
      </c>
      <c r="W14" s="565">
        <f t="shared" si="2"/>
        <v>7612</v>
      </c>
      <c r="X14" s="565">
        <f t="shared" si="2"/>
        <v>7612</v>
      </c>
      <c r="Y14" s="565">
        <f t="shared" si="2"/>
        <v>7612</v>
      </c>
      <c r="Z14" s="565">
        <f t="shared" si="2"/>
        <v>7612</v>
      </c>
      <c r="AA14" s="565">
        <f t="shared" si="2"/>
        <v>7612</v>
      </c>
      <c r="AB14" s="565">
        <f t="shared" si="2"/>
        <v>7612</v>
      </c>
      <c r="AC14" s="565">
        <f t="shared" si="2"/>
        <v>7612</v>
      </c>
      <c r="AD14" s="565">
        <f>SUM(E14:AC14)</f>
        <v>199710</v>
      </c>
    </row>
    <row r="15" spans="1:30" s="528" customFormat="1" ht="12.75" x14ac:dyDescent="0.2">
      <c r="A15" s="732" t="str">
        <f>'2.DL Naudas plūsma bez projekta'!A15</f>
        <v>1.1.</v>
      </c>
      <c r="B15" s="564" t="str">
        <f>'2.DL Naudas plūsma bez projekta'!B15</f>
        <v>no biogāzes tirdzniecības</v>
      </c>
      <c r="C15" s="564" t="str">
        <f>'2.DL Naudas plūsma bez projekta'!C15</f>
        <v>EUR</v>
      </c>
      <c r="D15" s="740">
        <f>'2.DL Naudas plūsma bez projekta'!D15</f>
        <v>0</v>
      </c>
      <c r="E15" s="556"/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6"/>
      <c r="X15" s="556"/>
      <c r="Y15" s="556"/>
      <c r="Z15" s="556"/>
      <c r="AA15" s="556"/>
      <c r="AB15" s="556"/>
      <c r="AC15" s="556"/>
      <c r="AD15" s="535">
        <f>SUM(E15:AC15)</f>
        <v>0</v>
      </c>
    </row>
    <row r="16" spans="1:30" s="528" customFormat="1" ht="12.75" x14ac:dyDescent="0.2">
      <c r="A16" s="732" t="str">
        <f>'2.DL Naudas plūsma bez projekta'!A16</f>
        <v>1.2.</v>
      </c>
      <c r="B16" s="564" t="str">
        <f>'2.DL Naudas plūsma bez projekta'!B16</f>
        <v>no elektroenerģijas tirdzniecības</v>
      </c>
      <c r="C16" s="564" t="str">
        <f>'2.DL Naudas plūsma bez projekta'!C16</f>
        <v>EUR</v>
      </c>
      <c r="D16" s="740">
        <f>'2.DL Naudas plūsma bez projekta'!D16</f>
        <v>0</v>
      </c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  <c r="V16" s="530"/>
      <c r="W16" s="530"/>
      <c r="X16" s="530"/>
      <c r="Y16" s="530"/>
      <c r="Z16" s="530"/>
      <c r="AA16" s="530"/>
      <c r="AB16" s="530"/>
      <c r="AC16" s="530"/>
      <c r="AD16" s="535">
        <f t="shared" ref="AD16:AD24" si="3">SUM(E16:AC16)</f>
        <v>0</v>
      </c>
    </row>
    <row r="17" spans="1:30" s="521" customFormat="1" ht="19.5" customHeight="1" x14ac:dyDescent="0.2">
      <c r="A17" s="732" t="str">
        <f>'2.DL Naudas plūsma bez projekta'!A17</f>
        <v>1.3.</v>
      </c>
      <c r="B17" s="564" t="str">
        <f>'2.DL Naudas plūsma bez projekta'!B17</f>
        <v xml:space="preserve">no siltumenerģijas tirdzniecības </v>
      </c>
      <c r="C17" s="564" t="str">
        <f>'2.DL Naudas plūsma bez projekta'!C17</f>
        <v>EUR</v>
      </c>
      <c r="D17" s="740">
        <f>'2.DL Naudas plūsma bez projekta'!D17</f>
        <v>0</v>
      </c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0"/>
      <c r="S17" s="530"/>
      <c r="T17" s="530"/>
      <c r="U17" s="530"/>
      <c r="V17" s="530"/>
      <c r="W17" s="530"/>
      <c r="X17" s="530"/>
      <c r="Y17" s="530"/>
      <c r="Z17" s="530"/>
      <c r="AA17" s="530"/>
      <c r="AB17" s="530"/>
      <c r="AC17" s="530"/>
      <c r="AD17" s="535">
        <f t="shared" si="3"/>
        <v>0</v>
      </c>
    </row>
    <row r="18" spans="1:30" s="521" customFormat="1" ht="12.75" x14ac:dyDescent="0.2">
      <c r="A18" s="732" t="str">
        <f>'2.DL Naudas plūsma bez projekta'!A18</f>
        <v>1.4.</v>
      </c>
      <c r="B18" s="564" t="str">
        <f>'2.DL Naudas plūsma bez projekta'!B18</f>
        <v>no zemes, ēku un tehnoloģisko iekārtu izmantošanas</v>
      </c>
      <c r="C18" s="564" t="str">
        <f>'2.DL Naudas plūsma bez projekta'!C18</f>
        <v>EUR</v>
      </c>
      <c r="D18" s="740">
        <f>'2.DL Naudas plūsma bez projekta'!D18</f>
        <v>0</v>
      </c>
      <c r="E18" s="530">
        <v>1000</v>
      </c>
      <c r="F18" s="530">
        <v>1000</v>
      </c>
      <c r="G18" s="530">
        <v>1000</v>
      </c>
      <c r="H18" s="530">
        <v>1000</v>
      </c>
      <c r="I18" s="530">
        <v>1000</v>
      </c>
      <c r="J18" s="530">
        <v>1000</v>
      </c>
      <c r="K18" s="530">
        <v>1000</v>
      </c>
      <c r="L18" s="530">
        <v>1000</v>
      </c>
      <c r="M18" s="530">
        <v>1000</v>
      </c>
      <c r="N18" s="530">
        <v>1000</v>
      </c>
      <c r="O18" s="530">
        <v>1000</v>
      </c>
      <c r="P18" s="530">
        <v>1000</v>
      </c>
      <c r="Q18" s="530">
        <v>1000</v>
      </c>
      <c r="R18" s="530">
        <v>1000</v>
      </c>
      <c r="S18" s="530">
        <v>1000</v>
      </c>
      <c r="T18" s="530">
        <v>1000</v>
      </c>
      <c r="U18" s="530">
        <v>1000</v>
      </c>
      <c r="V18" s="530">
        <v>1000</v>
      </c>
      <c r="W18" s="530">
        <v>1000</v>
      </c>
      <c r="X18" s="530">
        <v>1000</v>
      </c>
      <c r="Y18" s="530">
        <v>1000</v>
      </c>
      <c r="Z18" s="530">
        <v>1000</v>
      </c>
      <c r="AA18" s="530">
        <v>1000</v>
      </c>
      <c r="AB18" s="530">
        <v>1000</v>
      </c>
      <c r="AC18" s="530">
        <v>1000</v>
      </c>
      <c r="AD18" s="535">
        <f t="shared" si="3"/>
        <v>25000</v>
      </c>
    </row>
    <row r="19" spans="1:30" s="528" customFormat="1" ht="25.5" customHeight="1" x14ac:dyDescent="0.2">
      <c r="A19" s="732" t="str">
        <f>'2.DL Naudas plūsma bez projekta'!A19</f>
        <v>1.5.</v>
      </c>
      <c r="B19" s="564" t="str">
        <f>'2.DL Naudas plūsma bez projekta'!B19</f>
        <v>no nošķiroto, reģenerējamo sadzīves atkritumu tirdzniecības</v>
      </c>
      <c r="C19" s="564" t="str">
        <f>'2.DL Naudas plūsma bez projekta'!C19</f>
        <v>EUR</v>
      </c>
      <c r="D19" s="740">
        <f>'2.DL Naudas plūsma bez projekta'!D19</f>
        <v>0</v>
      </c>
      <c r="E19" s="530">
        <v>2000</v>
      </c>
      <c r="F19" s="530">
        <v>2000</v>
      </c>
      <c r="G19" s="530">
        <v>2000</v>
      </c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0"/>
      <c r="V19" s="530"/>
      <c r="W19" s="530"/>
      <c r="X19" s="530"/>
      <c r="Y19" s="530"/>
      <c r="Z19" s="530"/>
      <c r="AA19" s="530"/>
      <c r="AB19" s="530"/>
      <c r="AC19" s="530"/>
      <c r="AD19" s="535">
        <f t="shared" si="3"/>
        <v>6000</v>
      </c>
    </row>
    <row r="20" spans="1:30" s="520" customFormat="1" ht="12.75" x14ac:dyDescent="0.2">
      <c r="A20" s="733" t="str">
        <f>'2.DL Naudas plūsma bez projekta'!A20</f>
        <v>1.6.</v>
      </c>
      <c r="B20" s="564" t="str">
        <f>'2.DL Naudas plūsma bez projekta'!B20</f>
        <v>no sadzīves atkritumu apglabāšanas pakalpojuma</v>
      </c>
      <c r="C20" s="564" t="str">
        <f>'2.DL Naudas plūsma bez projekta'!C20</f>
        <v>EUR</v>
      </c>
      <c r="D20" s="740">
        <f>'2.DL Naudas plūsma bez projekta'!D20</f>
        <v>6800</v>
      </c>
      <c r="E20" s="540">
        <f>ROUND(E8*E80,2)</f>
        <v>4912</v>
      </c>
      <c r="F20" s="540">
        <f t="shared" ref="F20:AC20" si="4">ROUND(F8*F80,2)</f>
        <v>3612</v>
      </c>
      <c r="G20" s="540">
        <f t="shared" si="4"/>
        <v>3632</v>
      </c>
      <c r="H20" s="540">
        <f t="shared" si="4"/>
        <v>5630</v>
      </c>
      <c r="I20" s="540">
        <f t="shared" si="4"/>
        <v>5628</v>
      </c>
      <c r="J20" s="540">
        <f t="shared" si="4"/>
        <v>5626</v>
      </c>
      <c r="K20" s="540">
        <f t="shared" si="4"/>
        <v>5624</v>
      </c>
      <c r="L20" s="540">
        <f t="shared" si="4"/>
        <v>5622</v>
      </c>
      <c r="M20" s="540">
        <f t="shared" si="4"/>
        <v>5620</v>
      </c>
      <c r="N20" s="540">
        <f t="shared" si="4"/>
        <v>5618</v>
      </c>
      <c r="O20" s="540">
        <f t="shared" si="4"/>
        <v>5616</v>
      </c>
      <c r="P20" s="540">
        <f t="shared" si="4"/>
        <v>5614</v>
      </c>
      <c r="Q20" s="540">
        <f t="shared" si="4"/>
        <v>5612</v>
      </c>
      <c r="R20" s="540">
        <f t="shared" si="4"/>
        <v>5612</v>
      </c>
      <c r="S20" s="540">
        <f t="shared" si="4"/>
        <v>5612</v>
      </c>
      <c r="T20" s="540">
        <f t="shared" si="4"/>
        <v>5612</v>
      </c>
      <c r="U20" s="540">
        <f t="shared" si="4"/>
        <v>5612</v>
      </c>
      <c r="V20" s="540">
        <f t="shared" si="4"/>
        <v>5612</v>
      </c>
      <c r="W20" s="540">
        <f t="shared" si="4"/>
        <v>5612</v>
      </c>
      <c r="X20" s="540">
        <f t="shared" si="4"/>
        <v>5612</v>
      </c>
      <c r="Y20" s="540">
        <f t="shared" si="4"/>
        <v>5612</v>
      </c>
      <c r="Z20" s="540">
        <f t="shared" si="4"/>
        <v>5612</v>
      </c>
      <c r="AA20" s="540">
        <f t="shared" si="4"/>
        <v>5612</v>
      </c>
      <c r="AB20" s="540">
        <f t="shared" si="4"/>
        <v>5612</v>
      </c>
      <c r="AC20" s="540">
        <f t="shared" si="4"/>
        <v>5612</v>
      </c>
      <c r="AD20" s="536">
        <f t="shared" si="3"/>
        <v>135710</v>
      </c>
    </row>
    <row r="21" spans="1:30" s="521" customFormat="1" ht="25.5" x14ac:dyDescent="0.2">
      <c r="A21" s="732" t="str">
        <f>'2.DL Naudas plūsma bez projekta'!A21</f>
        <v>1.7.</v>
      </c>
      <c r="B21" s="564" t="str">
        <f>'2.DL Naudas plūsma bez projekta'!B21</f>
        <v>no dalīti vāktajiem bioloģiski noārdāmajaiem atkritumiem</v>
      </c>
      <c r="C21" s="564" t="str">
        <f>'2.DL Naudas plūsma bez projekta'!C21</f>
        <v>EUR</v>
      </c>
      <c r="D21" s="740">
        <f>'2.DL Naudas plūsma bez projekta'!D21</f>
        <v>0</v>
      </c>
      <c r="E21" s="759">
        <v>3000</v>
      </c>
      <c r="F21" s="759">
        <v>3000</v>
      </c>
      <c r="G21" s="759">
        <v>5000</v>
      </c>
      <c r="H21" s="759">
        <v>1000</v>
      </c>
      <c r="I21" s="759">
        <v>1000</v>
      </c>
      <c r="J21" s="759">
        <v>1000</v>
      </c>
      <c r="K21" s="759">
        <v>1000</v>
      </c>
      <c r="L21" s="759">
        <v>1000</v>
      </c>
      <c r="M21" s="759">
        <v>1000</v>
      </c>
      <c r="N21" s="759">
        <v>1000</v>
      </c>
      <c r="O21" s="759">
        <v>1000</v>
      </c>
      <c r="P21" s="759">
        <v>1000</v>
      </c>
      <c r="Q21" s="759">
        <v>1000</v>
      </c>
      <c r="R21" s="759">
        <v>1000</v>
      </c>
      <c r="S21" s="759">
        <v>1000</v>
      </c>
      <c r="T21" s="759">
        <v>1000</v>
      </c>
      <c r="U21" s="759">
        <v>1000</v>
      </c>
      <c r="V21" s="759">
        <v>1000</v>
      </c>
      <c r="W21" s="759">
        <v>1000</v>
      </c>
      <c r="X21" s="759">
        <v>1000</v>
      </c>
      <c r="Y21" s="759">
        <v>1000</v>
      </c>
      <c r="Z21" s="759">
        <v>1000</v>
      </c>
      <c r="AA21" s="759">
        <v>1000</v>
      </c>
      <c r="AB21" s="759">
        <v>1000</v>
      </c>
      <c r="AC21" s="759">
        <v>1000</v>
      </c>
      <c r="AD21" s="535">
        <f t="shared" si="3"/>
        <v>33000</v>
      </c>
    </row>
    <row r="22" spans="1:30" s="521" customFormat="1" ht="12.75" x14ac:dyDescent="0.2">
      <c r="A22" s="732" t="str">
        <f>'2.DL Naudas plūsma bez projekta'!A22</f>
        <v>1.8.</v>
      </c>
      <c r="B22" s="564" t="str">
        <f>IF('2.DL Naudas plūsma bez projekta'!B22="","",'2.DL Naudas plūsma bez projekta'!B22)</f>
        <v/>
      </c>
      <c r="C22" s="564" t="str">
        <f>'2.DL Naudas plūsma bez projekta'!C22</f>
        <v>EUR</v>
      </c>
      <c r="D22" s="740">
        <f>'2.DL Naudas plūsma bez projekta'!D22</f>
        <v>0</v>
      </c>
      <c r="E22" s="529"/>
      <c r="F22" s="529"/>
      <c r="G22" s="529"/>
      <c r="H22" s="529"/>
      <c r="I22" s="529"/>
      <c r="J22" s="529"/>
      <c r="K22" s="529"/>
      <c r="L22" s="529"/>
      <c r="M22" s="529"/>
      <c r="N22" s="529"/>
      <c r="O22" s="529"/>
      <c r="P22" s="529"/>
      <c r="Q22" s="529"/>
      <c r="R22" s="529"/>
      <c r="S22" s="529"/>
      <c r="T22" s="529"/>
      <c r="U22" s="529"/>
      <c r="V22" s="529"/>
      <c r="W22" s="529"/>
      <c r="X22" s="529"/>
      <c r="Y22" s="529"/>
      <c r="Z22" s="529"/>
      <c r="AA22" s="529"/>
      <c r="AB22" s="529"/>
      <c r="AC22" s="529"/>
      <c r="AD22" s="535">
        <f t="shared" si="3"/>
        <v>0</v>
      </c>
    </row>
    <row r="23" spans="1:30" s="528" customFormat="1" ht="24" customHeight="1" x14ac:dyDescent="0.2">
      <c r="A23" s="732" t="str">
        <f>'2.DL Naudas plūsma bez projekta'!A23</f>
        <v>1.9.</v>
      </c>
      <c r="B23" s="564" t="str">
        <f>IF('2.DL Naudas plūsma bez projekta'!B23="","",'2.DL Naudas plūsma bez projekta'!B23)</f>
        <v/>
      </c>
      <c r="C23" s="564" t="str">
        <f>'2.DL Naudas plūsma bez projekta'!C23</f>
        <v>EUR</v>
      </c>
      <c r="D23" s="740">
        <f>'2.DL Naudas plūsma bez projekta'!D23</f>
        <v>0</v>
      </c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0"/>
      <c r="AC23" s="530"/>
      <c r="AD23" s="535">
        <f t="shared" si="3"/>
        <v>0</v>
      </c>
    </row>
    <row r="24" spans="1:30" s="521" customFormat="1" ht="12.75" x14ac:dyDescent="0.2">
      <c r="A24" s="732" t="str">
        <f>'2.DL Naudas plūsma bez projekta'!A24</f>
        <v>1.10.</v>
      </c>
      <c r="B24" s="564" t="str">
        <f>IF('2.DL Naudas plūsma bez projekta'!B24="","",'2.DL Naudas plūsma bez projekta'!B24)</f>
        <v/>
      </c>
      <c r="C24" s="564" t="str">
        <f>'2.DL Naudas plūsma bez projekta'!C24</f>
        <v>EUR</v>
      </c>
      <c r="D24" s="740">
        <f>'2.DL Naudas plūsma bez projekta'!D24</f>
        <v>0</v>
      </c>
      <c r="E24" s="529"/>
      <c r="F24" s="529"/>
      <c r="G24" s="529"/>
      <c r="H24" s="529"/>
      <c r="I24" s="529"/>
      <c r="J24" s="529"/>
      <c r="K24" s="529"/>
      <c r="L24" s="529"/>
      <c r="M24" s="529"/>
      <c r="N24" s="529"/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35">
        <f t="shared" si="3"/>
        <v>0</v>
      </c>
    </row>
    <row r="25" spans="1:30" s="514" customFormat="1" ht="12.75" x14ac:dyDescent="0.2">
      <c r="A25" s="579"/>
      <c r="B25" s="579"/>
      <c r="D25" s="548"/>
      <c r="E25" s="548"/>
      <c r="F25" s="548"/>
      <c r="G25" s="548"/>
      <c r="H25" s="548"/>
      <c r="I25" s="548"/>
      <c r="J25" s="548"/>
      <c r="K25" s="548"/>
      <c r="L25" s="548"/>
      <c r="M25" s="548"/>
      <c r="N25" s="548"/>
      <c r="O25" s="548"/>
      <c r="P25" s="548"/>
      <c r="Q25" s="548"/>
      <c r="R25" s="548"/>
      <c r="S25" s="548"/>
      <c r="T25" s="548"/>
      <c r="U25" s="548"/>
      <c r="V25" s="548"/>
      <c r="W25" s="548"/>
      <c r="X25" s="548"/>
      <c r="Y25" s="548"/>
      <c r="Z25" s="548"/>
      <c r="AA25" s="548"/>
      <c r="AB25" s="548"/>
      <c r="AC25" s="548"/>
      <c r="AD25" s="548"/>
    </row>
    <row r="26" spans="1:30" s="537" customFormat="1" ht="12.75" x14ac:dyDescent="0.2">
      <c r="A26" s="734" t="str">
        <f>'2.DL Naudas plūsma bez projekta'!A26</f>
        <v>2.</v>
      </c>
      <c r="B26" s="734" t="s">
        <v>516</v>
      </c>
      <c r="C26" s="566" t="str">
        <f>IF('2.DL Naudas plūsma bez projekta'!C26="","",'2.DL Naudas plūsma bez projekta'!C26)</f>
        <v/>
      </c>
      <c r="D26" s="716">
        <f>'2.DL Naudas plūsma bez projekta'!D26</f>
        <v>6612.07</v>
      </c>
      <c r="E26" s="535">
        <f>SUM(E27,E46:E47)</f>
        <v>6612.07</v>
      </c>
      <c r="F26" s="535">
        <f t="shared" ref="F26:AC26" si="5">SUM(F27,F46:F47)</f>
        <v>6612.07</v>
      </c>
      <c r="G26" s="535">
        <f t="shared" si="5"/>
        <v>6612.07</v>
      </c>
      <c r="H26" s="535">
        <f t="shared" si="5"/>
        <v>6612.07</v>
      </c>
      <c r="I26" s="535">
        <f t="shared" si="5"/>
        <v>6612.07</v>
      </c>
      <c r="J26" s="535">
        <f t="shared" si="5"/>
        <v>6612.07</v>
      </c>
      <c r="K26" s="535">
        <f t="shared" si="5"/>
        <v>6612.07</v>
      </c>
      <c r="L26" s="535">
        <f t="shared" si="5"/>
        <v>6612.07</v>
      </c>
      <c r="M26" s="535">
        <f t="shared" si="5"/>
        <v>6612.07</v>
      </c>
      <c r="N26" s="535">
        <f t="shared" si="5"/>
        <v>6612.07</v>
      </c>
      <c r="O26" s="535">
        <f t="shared" si="5"/>
        <v>6612.07</v>
      </c>
      <c r="P26" s="535">
        <f t="shared" si="5"/>
        <v>6612.07</v>
      </c>
      <c r="Q26" s="535">
        <f t="shared" si="5"/>
        <v>6612.07</v>
      </c>
      <c r="R26" s="535">
        <f t="shared" si="5"/>
        <v>6612.07</v>
      </c>
      <c r="S26" s="535">
        <f t="shared" si="5"/>
        <v>6612.07</v>
      </c>
      <c r="T26" s="535">
        <f t="shared" si="5"/>
        <v>6612.07</v>
      </c>
      <c r="U26" s="535">
        <f t="shared" si="5"/>
        <v>6612.07</v>
      </c>
      <c r="V26" s="535">
        <f t="shared" si="5"/>
        <v>6612.07</v>
      </c>
      <c r="W26" s="535">
        <f t="shared" si="5"/>
        <v>6612.07</v>
      </c>
      <c r="X26" s="535">
        <f t="shared" si="5"/>
        <v>6612.07</v>
      </c>
      <c r="Y26" s="535">
        <f t="shared" si="5"/>
        <v>6612.07</v>
      </c>
      <c r="Z26" s="535">
        <f t="shared" si="5"/>
        <v>6612.07</v>
      </c>
      <c r="AA26" s="535">
        <f t="shared" si="5"/>
        <v>6612.07</v>
      </c>
      <c r="AB26" s="535">
        <f t="shared" si="5"/>
        <v>6612.07</v>
      </c>
      <c r="AC26" s="535">
        <f t="shared" si="5"/>
        <v>6612.07</v>
      </c>
      <c r="AD26" s="535">
        <f t="shared" ref="AD26:AD27" si="6">SUM(E26:AC26)</f>
        <v>165301.75000000009</v>
      </c>
    </row>
    <row r="27" spans="1:30" s="537" customFormat="1" ht="25.5" x14ac:dyDescent="0.2">
      <c r="A27" s="734" t="str">
        <f>'2.DL Naudas plūsma bez projekta'!A27</f>
        <v>2.1.</v>
      </c>
      <c r="B27" s="734" t="str">
        <f>'2.DL Naudas plūsma bez projekta'!B27</f>
        <v>Izdevumi, kas rodas saistībā ar sadzīves atkritumu apglabāšanas pakalpojumu sniegšanu</v>
      </c>
      <c r="C27" s="566" t="str">
        <f>'2.DL Naudas plūsma bez projekta'!C27</f>
        <v>EUR</v>
      </c>
      <c r="D27" s="716">
        <f>'2.DL Naudas plūsma bez projekta'!D27</f>
        <v>6612.07</v>
      </c>
      <c r="E27" s="535">
        <f t="shared" ref="E27:AC27" si="7">ROUND(SUM(E28:E28,E31:E40,E44),2)</f>
        <v>6612.07</v>
      </c>
      <c r="F27" s="535">
        <f t="shared" si="7"/>
        <v>6612.07</v>
      </c>
      <c r="G27" s="535">
        <f t="shared" si="7"/>
        <v>6612.07</v>
      </c>
      <c r="H27" s="535">
        <f t="shared" si="7"/>
        <v>6612.07</v>
      </c>
      <c r="I27" s="535">
        <f t="shared" si="7"/>
        <v>6612.07</v>
      </c>
      <c r="J27" s="535">
        <f t="shared" si="7"/>
        <v>6612.07</v>
      </c>
      <c r="K27" s="535">
        <f t="shared" si="7"/>
        <v>6612.07</v>
      </c>
      <c r="L27" s="535">
        <f t="shared" si="7"/>
        <v>6612.07</v>
      </c>
      <c r="M27" s="535">
        <f t="shared" si="7"/>
        <v>6612.07</v>
      </c>
      <c r="N27" s="535">
        <f t="shared" si="7"/>
        <v>6612.07</v>
      </c>
      <c r="O27" s="535">
        <f t="shared" si="7"/>
        <v>6612.07</v>
      </c>
      <c r="P27" s="535">
        <f t="shared" si="7"/>
        <v>6612.07</v>
      </c>
      <c r="Q27" s="535">
        <f t="shared" si="7"/>
        <v>6612.07</v>
      </c>
      <c r="R27" s="535">
        <f t="shared" si="7"/>
        <v>6612.07</v>
      </c>
      <c r="S27" s="535">
        <f t="shared" si="7"/>
        <v>6612.07</v>
      </c>
      <c r="T27" s="535">
        <f t="shared" si="7"/>
        <v>6612.07</v>
      </c>
      <c r="U27" s="535">
        <f t="shared" si="7"/>
        <v>6612.07</v>
      </c>
      <c r="V27" s="535">
        <f t="shared" si="7"/>
        <v>6612.07</v>
      </c>
      <c r="W27" s="535">
        <f t="shared" si="7"/>
        <v>6612.07</v>
      </c>
      <c r="X27" s="535">
        <f t="shared" si="7"/>
        <v>6612.07</v>
      </c>
      <c r="Y27" s="535">
        <f t="shared" si="7"/>
        <v>6612.07</v>
      </c>
      <c r="Z27" s="535">
        <f t="shared" si="7"/>
        <v>6612.07</v>
      </c>
      <c r="AA27" s="535">
        <f t="shared" si="7"/>
        <v>6612.07</v>
      </c>
      <c r="AB27" s="535">
        <f t="shared" si="7"/>
        <v>6612.07</v>
      </c>
      <c r="AC27" s="535">
        <f t="shared" si="7"/>
        <v>6612.07</v>
      </c>
      <c r="AD27" s="535">
        <f t="shared" si="6"/>
        <v>165301.75000000009</v>
      </c>
    </row>
    <row r="28" spans="1:30" s="537" customFormat="1" ht="12.75" x14ac:dyDescent="0.2">
      <c r="A28" s="734" t="str">
        <f>'2.DL Naudas plūsma bez projekta'!A28</f>
        <v>2.1.1.</v>
      </c>
      <c r="B28" s="734" t="str">
        <f>'2.DL Naudas plūsma bez projekta'!B28</f>
        <v>Personāla izmaksas</v>
      </c>
      <c r="C28" s="566" t="str">
        <f>'2.DL Naudas plūsma bez projekta'!C28</f>
        <v>EUR</v>
      </c>
      <c r="D28" s="716">
        <f>'2.DL Naudas plūsma bez projekta'!D28</f>
        <v>6179.5</v>
      </c>
      <c r="E28" s="536">
        <f>ROUND(SUM(E29:E30),2)</f>
        <v>6179.5</v>
      </c>
      <c r="F28" s="536">
        <f t="shared" ref="F28:AC28" si="8">ROUND(SUM(F29:F30),2)</f>
        <v>6179.5</v>
      </c>
      <c r="G28" s="536">
        <f t="shared" si="8"/>
        <v>6179.5</v>
      </c>
      <c r="H28" s="536">
        <f t="shared" si="8"/>
        <v>6179.5</v>
      </c>
      <c r="I28" s="536">
        <f t="shared" si="8"/>
        <v>6179.5</v>
      </c>
      <c r="J28" s="536">
        <f t="shared" si="8"/>
        <v>6179.5</v>
      </c>
      <c r="K28" s="536">
        <f t="shared" si="8"/>
        <v>6179.5</v>
      </c>
      <c r="L28" s="536">
        <f t="shared" si="8"/>
        <v>6179.5</v>
      </c>
      <c r="M28" s="536">
        <f t="shared" si="8"/>
        <v>6179.5</v>
      </c>
      <c r="N28" s="536">
        <f t="shared" si="8"/>
        <v>6179.5</v>
      </c>
      <c r="O28" s="536">
        <f t="shared" si="8"/>
        <v>6179.5</v>
      </c>
      <c r="P28" s="536">
        <f t="shared" si="8"/>
        <v>6179.5</v>
      </c>
      <c r="Q28" s="536">
        <f t="shared" si="8"/>
        <v>6179.5</v>
      </c>
      <c r="R28" s="536">
        <f t="shared" si="8"/>
        <v>6179.5</v>
      </c>
      <c r="S28" s="536">
        <f t="shared" si="8"/>
        <v>6179.5</v>
      </c>
      <c r="T28" s="536">
        <f t="shared" si="8"/>
        <v>6179.5</v>
      </c>
      <c r="U28" s="536">
        <f t="shared" si="8"/>
        <v>6179.5</v>
      </c>
      <c r="V28" s="536">
        <f t="shared" si="8"/>
        <v>6179.5</v>
      </c>
      <c r="W28" s="536">
        <f t="shared" si="8"/>
        <v>6179.5</v>
      </c>
      <c r="X28" s="536">
        <f t="shared" si="8"/>
        <v>6179.5</v>
      </c>
      <c r="Y28" s="536">
        <f t="shared" si="8"/>
        <v>6179.5</v>
      </c>
      <c r="Z28" s="536">
        <f t="shared" si="8"/>
        <v>6179.5</v>
      </c>
      <c r="AA28" s="536">
        <f t="shared" si="8"/>
        <v>6179.5</v>
      </c>
      <c r="AB28" s="536">
        <f t="shared" si="8"/>
        <v>6179.5</v>
      </c>
      <c r="AC28" s="536">
        <f t="shared" si="8"/>
        <v>6179.5</v>
      </c>
      <c r="AD28" s="535">
        <f t="shared" ref="AD28:AD35" si="9">SUM(E28:AC28)</f>
        <v>154487.5</v>
      </c>
    </row>
    <row r="29" spans="1:30" s="528" customFormat="1" ht="12.75" x14ac:dyDescent="0.2">
      <c r="A29" s="734"/>
      <c r="B29" s="734" t="str">
        <f>'2.DL Naudas plūsma bez projekta'!B29</f>
        <v>darba samaksa</v>
      </c>
      <c r="C29" s="566" t="str">
        <f>'2.DL Naudas plūsma bez projekta'!C29</f>
        <v>EUR</v>
      </c>
      <c r="D29" s="716">
        <f>'2.DL Naudas plūsma bez projekta'!D29</f>
        <v>5000</v>
      </c>
      <c r="E29" s="530">
        <v>5000</v>
      </c>
      <c r="F29" s="530">
        <v>5000</v>
      </c>
      <c r="G29" s="530">
        <v>5000</v>
      </c>
      <c r="H29" s="530">
        <v>5000</v>
      </c>
      <c r="I29" s="530">
        <v>5000</v>
      </c>
      <c r="J29" s="530">
        <v>5000</v>
      </c>
      <c r="K29" s="530">
        <v>5000</v>
      </c>
      <c r="L29" s="530">
        <v>5000</v>
      </c>
      <c r="M29" s="530">
        <v>5000</v>
      </c>
      <c r="N29" s="530">
        <v>5000</v>
      </c>
      <c r="O29" s="530">
        <v>5000</v>
      </c>
      <c r="P29" s="530">
        <v>5000</v>
      </c>
      <c r="Q29" s="530">
        <v>5000</v>
      </c>
      <c r="R29" s="530">
        <v>5000</v>
      </c>
      <c r="S29" s="530">
        <v>5000</v>
      </c>
      <c r="T29" s="530">
        <v>5000</v>
      </c>
      <c r="U29" s="530">
        <v>5000</v>
      </c>
      <c r="V29" s="530">
        <v>5000</v>
      </c>
      <c r="W29" s="530">
        <v>5000</v>
      </c>
      <c r="X29" s="530">
        <v>5000</v>
      </c>
      <c r="Y29" s="530">
        <v>5000</v>
      </c>
      <c r="Z29" s="530">
        <v>5000</v>
      </c>
      <c r="AA29" s="530">
        <v>5000</v>
      </c>
      <c r="AB29" s="530">
        <v>5000</v>
      </c>
      <c r="AC29" s="530">
        <v>5000</v>
      </c>
      <c r="AD29" s="535">
        <f t="shared" si="9"/>
        <v>125000</v>
      </c>
    </row>
    <row r="30" spans="1:30" s="528" customFormat="1" ht="12.75" x14ac:dyDescent="0.2">
      <c r="A30" s="734"/>
      <c r="B30" s="734" t="str">
        <f>'2.DL Naudas plūsma bez projekta'!B30</f>
        <v>sociālās apdrošināšanas izmaksas</v>
      </c>
      <c r="C30" s="760">
        <v>0.2359</v>
      </c>
      <c r="D30" s="716">
        <f>'2.DL Naudas plūsma bez projekta'!D30</f>
        <v>1179.5</v>
      </c>
      <c r="E30" s="536">
        <f>$C$30*E29</f>
        <v>1179.5</v>
      </c>
      <c r="F30" s="536">
        <f t="shared" ref="F30:AC30" si="10">$C$30*F29</f>
        <v>1179.5</v>
      </c>
      <c r="G30" s="536">
        <f t="shared" si="10"/>
        <v>1179.5</v>
      </c>
      <c r="H30" s="536">
        <f t="shared" si="10"/>
        <v>1179.5</v>
      </c>
      <c r="I30" s="536">
        <f t="shared" si="10"/>
        <v>1179.5</v>
      </c>
      <c r="J30" s="536">
        <f t="shared" si="10"/>
        <v>1179.5</v>
      </c>
      <c r="K30" s="536">
        <f t="shared" si="10"/>
        <v>1179.5</v>
      </c>
      <c r="L30" s="536">
        <f t="shared" si="10"/>
        <v>1179.5</v>
      </c>
      <c r="M30" s="536">
        <f t="shared" si="10"/>
        <v>1179.5</v>
      </c>
      <c r="N30" s="536">
        <f t="shared" si="10"/>
        <v>1179.5</v>
      </c>
      <c r="O30" s="536">
        <f t="shared" si="10"/>
        <v>1179.5</v>
      </c>
      <c r="P30" s="536">
        <f t="shared" si="10"/>
        <v>1179.5</v>
      </c>
      <c r="Q30" s="536">
        <f t="shared" si="10"/>
        <v>1179.5</v>
      </c>
      <c r="R30" s="536">
        <f t="shared" si="10"/>
        <v>1179.5</v>
      </c>
      <c r="S30" s="536">
        <f t="shared" si="10"/>
        <v>1179.5</v>
      </c>
      <c r="T30" s="536">
        <f t="shared" si="10"/>
        <v>1179.5</v>
      </c>
      <c r="U30" s="536">
        <f t="shared" si="10"/>
        <v>1179.5</v>
      </c>
      <c r="V30" s="536">
        <f t="shared" si="10"/>
        <v>1179.5</v>
      </c>
      <c r="W30" s="536">
        <f t="shared" si="10"/>
        <v>1179.5</v>
      </c>
      <c r="X30" s="536">
        <f t="shared" si="10"/>
        <v>1179.5</v>
      </c>
      <c r="Y30" s="536">
        <f t="shared" si="10"/>
        <v>1179.5</v>
      </c>
      <c r="Z30" s="536">
        <f t="shared" si="10"/>
        <v>1179.5</v>
      </c>
      <c r="AA30" s="536">
        <f t="shared" si="10"/>
        <v>1179.5</v>
      </c>
      <c r="AB30" s="536">
        <f t="shared" si="10"/>
        <v>1179.5</v>
      </c>
      <c r="AC30" s="536">
        <f t="shared" si="10"/>
        <v>1179.5</v>
      </c>
      <c r="AD30" s="535">
        <f t="shared" si="9"/>
        <v>29487.5</v>
      </c>
    </row>
    <row r="31" spans="1:30" s="528" customFormat="1" ht="51" x14ac:dyDescent="0.2">
      <c r="A31" s="734" t="str">
        <f>'2.DL Naudas plūsma bez projekta'!A31</f>
        <v>2.1.2.</v>
      </c>
      <c r="B31" s="734" t="str">
        <f>'2.DL Naudas plūsma bez projekta'!B31</f>
        <v>Ekspluatācijas, remontu un uzturēšanas izmaksas transportlīdzekļiem, iekārtām, mehānismiem un būvēm, kā arī izmaksas materiāliem sadzīves atkritumu apglabāšanas pakalpojumu nodrošināšanai (t.sk. noma)</v>
      </c>
      <c r="C31" s="566" t="str">
        <f>'2.DL Naudas plūsma bez projekta'!C31</f>
        <v>EUR</v>
      </c>
      <c r="D31" s="716">
        <f>'2.DL Naudas plūsma bez projekta'!D31</f>
        <v>0</v>
      </c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0"/>
      <c r="R31" s="530"/>
      <c r="S31" s="530"/>
      <c r="T31" s="530"/>
      <c r="U31" s="530"/>
      <c r="V31" s="530"/>
      <c r="W31" s="530"/>
      <c r="X31" s="530"/>
      <c r="Y31" s="530"/>
      <c r="Z31" s="530"/>
      <c r="AA31" s="530"/>
      <c r="AB31" s="530"/>
      <c r="AC31" s="530"/>
      <c r="AD31" s="535">
        <f t="shared" si="9"/>
        <v>0</v>
      </c>
    </row>
    <row r="32" spans="1:30" s="528" customFormat="1" ht="25.5" x14ac:dyDescent="0.2">
      <c r="A32" s="734" t="str">
        <f>'2.DL Naudas plūsma bez projekta'!A32</f>
        <v>2.1.3.</v>
      </c>
      <c r="B32" s="734" t="str">
        <f>'2.DL Naudas plūsma bez projekta'!B32</f>
        <v>Izmaksas vides stāvokļa kontrolei un aizsardzībai poligona darbības laikā</v>
      </c>
      <c r="C32" s="566" t="str">
        <f>'2.DL Naudas plūsma bez projekta'!C32</f>
        <v>EUR</v>
      </c>
      <c r="D32" s="716">
        <f>'2.DL Naudas plūsma bez projekta'!D32</f>
        <v>0</v>
      </c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0"/>
      <c r="R32" s="530"/>
      <c r="S32" s="530"/>
      <c r="T32" s="530"/>
      <c r="U32" s="530"/>
      <c r="V32" s="530"/>
      <c r="W32" s="530"/>
      <c r="X32" s="530"/>
      <c r="Y32" s="530"/>
      <c r="Z32" s="530"/>
      <c r="AA32" s="530"/>
      <c r="AB32" s="530"/>
      <c r="AC32" s="530"/>
      <c r="AD32" s="535">
        <f t="shared" si="9"/>
        <v>0</v>
      </c>
    </row>
    <row r="33" spans="1:30" s="527" customFormat="1" ht="25.5" x14ac:dyDescent="0.2">
      <c r="A33" s="734" t="str">
        <f>'2.DL Naudas plūsma bez projekta'!A33</f>
        <v>2.1.4.</v>
      </c>
      <c r="B33" s="734" t="str">
        <f>'2.DL Naudas plūsma bez projekta'!B33</f>
        <v>Sadzīves atkritumos konstatēto bīstamo atkritumu apsaimniekošanas un nodošanas izmaksas</v>
      </c>
      <c r="C33" s="566" t="str">
        <f>'2.DL Naudas plūsma bez projekta'!C33</f>
        <v>EUR</v>
      </c>
      <c r="D33" s="716">
        <f>'2.DL Naudas plūsma bez projekta'!D33</f>
        <v>0</v>
      </c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0"/>
      <c r="R33" s="530"/>
      <c r="S33" s="530"/>
      <c r="T33" s="530"/>
      <c r="U33" s="530"/>
      <c r="V33" s="530"/>
      <c r="W33" s="530"/>
      <c r="X33" s="530"/>
      <c r="Y33" s="530"/>
      <c r="Z33" s="530"/>
      <c r="AA33" s="530"/>
      <c r="AB33" s="530"/>
      <c r="AC33" s="530"/>
      <c r="AD33" s="535">
        <f t="shared" si="9"/>
        <v>0</v>
      </c>
    </row>
    <row r="34" spans="1:30" s="528" customFormat="1" ht="12.75" x14ac:dyDescent="0.2">
      <c r="A34" s="734" t="str">
        <f>'2.DL Naudas plūsma bez projekta'!A34</f>
        <v>2.1.5.</v>
      </c>
      <c r="B34" s="734" t="str">
        <f>'2.DL Naudas plūsma bez projekta'!B34</f>
        <v>Sabiedrības izglītošanas pasākumu izdevumi</v>
      </c>
      <c r="C34" s="566" t="str">
        <f>'2.DL Naudas plūsma bez projekta'!C34</f>
        <v>EUR</v>
      </c>
      <c r="D34" s="716">
        <f>'2.DL Naudas plūsma bez projekta'!D34</f>
        <v>0</v>
      </c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0"/>
      <c r="T34" s="530"/>
      <c r="U34" s="530"/>
      <c r="V34" s="530"/>
      <c r="W34" s="530"/>
      <c r="X34" s="530"/>
      <c r="Y34" s="530"/>
      <c r="Z34" s="530"/>
      <c r="AA34" s="530"/>
      <c r="AB34" s="530"/>
      <c r="AC34" s="530"/>
      <c r="AD34" s="535">
        <f t="shared" si="9"/>
        <v>0</v>
      </c>
    </row>
    <row r="35" spans="1:30" s="528" customFormat="1" ht="12.75" x14ac:dyDescent="0.2">
      <c r="A35" s="734" t="str">
        <f>'2.DL Naudas plūsma bez projekta'!A35</f>
        <v>2.1.6.</v>
      </c>
      <c r="B35" s="734" t="str">
        <f>'2.DL Naudas plūsma bez projekta'!B35</f>
        <v>Pētniecības un attīstības darbības izmaksas</v>
      </c>
      <c r="C35" s="566" t="str">
        <f>'2.DL Naudas plūsma bez projekta'!C35</f>
        <v>EUR</v>
      </c>
      <c r="D35" s="716">
        <f>'2.DL Naudas plūsma bez projekta'!D35</f>
        <v>0</v>
      </c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0"/>
      <c r="R35" s="530"/>
      <c r="S35" s="530"/>
      <c r="T35" s="530"/>
      <c r="U35" s="530"/>
      <c r="V35" s="530"/>
      <c r="W35" s="530"/>
      <c r="X35" s="530"/>
      <c r="Y35" s="530"/>
      <c r="Z35" s="530"/>
      <c r="AA35" s="530"/>
      <c r="AB35" s="530"/>
      <c r="AC35" s="530"/>
      <c r="AD35" s="535">
        <f t="shared" si="9"/>
        <v>0</v>
      </c>
    </row>
    <row r="36" spans="1:30" s="527" customFormat="1" ht="38.25" x14ac:dyDescent="0.2">
      <c r="A36" s="734" t="str">
        <f>'2.DL Naudas plūsma bez projekta'!A36</f>
        <v>2.1.7.</v>
      </c>
      <c r="B36" s="734" t="str">
        <f>'2.DL Naudas plūsma bez projekta'!B36</f>
        <v>Poligona slēgšanas un rekultivācijas izmaksas un izmaksas, kas saistītas ar slēgtā poligona monitoringu un uzturēšanu</v>
      </c>
      <c r="C36" s="566" t="str">
        <f>'2.DL Naudas plūsma bez projekta'!C36</f>
        <v>EUR</v>
      </c>
      <c r="D36" s="716">
        <f>'2.DL Naudas plūsma bez projekta'!D36</f>
        <v>0</v>
      </c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0"/>
      <c r="R36" s="530"/>
      <c r="S36" s="530"/>
      <c r="T36" s="530"/>
      <c r="U36" s="530"/>
      <c r="V36" s="530"/>
      <c r="W36" s="530"/>
      <c r="X36" s="530"/>
      <c r="Y36" s="530"/>
      <c r="Z36" s="530"/>
      <c r="AA36" s="530"/>
      <c r="AB36" s="530"/>
      <c r="AC36" s="530"/>
      <c r="AD36" s="535">
        <f t="shared" ref="AD36" si="11">SUM(E36:AC36)</f>
        <v>0</v>
      </c>
    </row>
    <row r="37" spans="1:30" s="528" customFormat="1" ht="25.5" x14ac:dyDescent="0.2">
      <c r="A37" s="734" t="str">
        <f>'2.DL Naudas plūsma bez projekta'!A37</f>
        <v>2.1.8.</v>
      </c>
      <c r="B37" s="734" t="str">
        <f>'2.DL Naudas plūsma bez projekta'!B37</f>
        <v>Administrācijas izmaksas, kas nav iekļautas citos izmaksu posteņos</v>
      </c>
      <c r="C37" s="566" t="str">
        <f>'2.DL Naudas plūsma bez projekta'!C37</f>
        <v>EUR</v>
      </c>
      <c r="D37" s="716">
        <f>'2.DL Naudas plūsma bez projekta'!D37</f>
        <v>0</v>
      </c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0"/>
      <c r="U37" s="530"/>
      <c r="V37" s="530"/>
      <c r="W37" s="530"/>
      <c r="X37" s="530"/>
      <c r="Y37" s="530"/>
      <c r="Z37" s="530"/>
      <c r="AA37" s="530"/>
      <c r="AB37" s="530"/>
      <c r="AC37" s="530"/>
      <c r="AD37" s="535">
        <f t="shared" ref="AD37" si="12">SUM(E37:AC37)</f>
        <v>0</v>
      </c>
    </row>
    <row r="38" spans="1:30" s="528" customFormat="1" ht="12.75" x14ac:dyDescent="0.2">
      <c r="A38" s="734" t="str">
        <f>'2.DL Naudas plūsma bez projekta'!A38</f>
        <v>2.1.9.</v>
      </c>
      <c r="B38" s="734" t="str">
        <f>'2.DL Naudas plūsma bez projekta'!B38</f>
        <v>Nodevu maksājumi</v>
      </c>
      <c r="C38" s="566" t="str">
        <f>'2.DL Naudas plūsma bez projekta'!C38</f>
        <v>EUR</v>
      </c>
      <c r="D38" s="716">
        <f>'2.DL Naudas plūsma bez projekta'!D38</f>
        <v>0</v>
      </c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30"/>
      <c r="AC38" s="530"/>
      <c r="AD38" s="535">
        <f t="shared" ref="AD38:AD61" si="13">SUM(E38:AC38)</f>
        <v>0</v>
      </c>
    </row>
    <row r="39" spans="1:30" s="528" customFormat="1" ht="22.5" customHeight="1" x14ac:dyDescent="0.2">
      <c r="A39" s="734" t="str">
        <f>'2.DL Naudas plūsma bez projekta'!A39</f>
        <v>2.1.10.</v>
      </c>
      <c r="B39" s="734" t="str">
        <f>'2.DL Naudas plūsma bez projekta'!B39</f>
        <v>Pārējās izmaksas</v>
      </c>
      <c r="C39" s="566" t="str">
        <f>'2.DL Naudas plūsma bez projekta'!C39</f>
        <v>EUR</v>
      </c>
      <c r="D39" s="716">
        <f>'2.DL Naudas plūsma bez projekta'!D39</f>
        <v>0</v>
      </c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0"/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30"/>
      <c r="AC39" s="530"/>
      <c r="AD39" s="535">
        <f t="shared" si="13"/>
        <v>0</v>
      </c>
    </row>
    <row r="40" spans="1:30" s="537" customFormat="1" ht="12.75" x14ac:dyDescent="0.2">
      <c r="A40" s="734" t="str">
        <f>'2.DL Naudas plūsma bez projekta'!A40</f>
        <v>2.1.11.</v>
      </c>
      <c r="B40" s="734" t="str">
        <f>'2.DL Naudas plūsma bez projekta'!B40</f>
        <v>Nodokļu maksājumi:</v>
      </c>
      <c r="C40" s="566" t="str">
        <f>'2.DL Naudas plūsma bez projekta'!C40</f>
        <v>EUR</v>
      </c>
      <c r="D40" s="716">
        <f>'2.DL Naudas plūsma bez projekta'!D40</f>
        <v>0</v>
      </c>
      <c r="E40" s="536">
        <f>SUM(E41:E43)</f>
        <v>0</v>
      </c>
      <c r="F40" s="536">
        <f t="shared" ref="F40:AC40" si="14">SUM(F41:F43)</f>
        <v>0</v>
      </c>
      <c r="G40" s="536">
        <f t="shared" si="14"/>
        <v>0</v>
      </c>
      <c r="H40" s="536">
        <f t="shared" si="14"/>
        <v>0</v>
      </c>
      <c r="I40" s="536">
        <f t="shared" si="14"/>
        <v>0</v>
      </c>
      <c r="J40" s="536">
        <f t="shared" si="14"/>
        <v>0</v>
      </c>
      <c r="K40" s="536">
        <f t="shared" si="14"/>
        <v>0</v>
      </c>
      <c r="L40" s="536">
        <f t="shared" si="14"/>
        <v>0</v>
      </c>
      <c r="M40" s="536">
        <f t="shared" si="14"/>
        <v>0</v>
      </c>
      <c r="N40" s="536">
        <f t="shared" si="14"/>
        <v>0</v>
      </c>
      <c r="O40" s="536">
        <f t="shared" si="14"/>
        <v>0</v>
      </c>
      <c r="P40" s="536">
        <f t="shared" si="14"/>
        <v>0</v>
      </c>
      <c r="Q40" s="536">
        <f t="shared" si="14"/>
        <v>0</v>
      </c>
      <c r="R40" s="536">
        <f t="shared" si="14"/>
        <v>0</v>
      </c>
      <c r="S40" s="536">
        <f t="shared" si="14"/>
        <v>0</v>
      </c>
      <c r="T40" s="536">
        <f t="shared" si="14"/>
        <v>0</v>
      </c>
      <c r="U40" s="536">
        <f t="shared" si="14"/>
        <v>0</v>
      </c>
      <c r="V40" s="536">
        <f t="shared" si="14"/>
        <v>0</v>
      </c>
      <c r="W40" s="536">
        <f t="shared" si="14"/>
        <v>0</v>
      </c>
      <c r="X40" s="536">
        <f t="shared" si="14"/>
        <v>0</v>
      </c>
      <c r="Y40" s="536">
        <f t="shared" si="14"/>
        <v>0</v>
      </c>
      <c r="Z40" s="536">
        <f t="shared" si="14"/>
        <v>0</v>
      </c>
      <c r="AA40" s="536">
        <f t="shared" si="14"/>
        <v>0</v>
      </c>
      <c r="AB40" s="536">
        <f t="shared" si="14"/>
        <v>0</v>
      </c>
      <c r="AC40" s="536">
        <f t="shared" si="14"/>
        <v>0</v>
      </c>
      <c r="AD40" s="535">
        <f t="shared" si="13"/>
        <v>0</v>
      </c>
    </row>
    <row r="41" spans="1:30" s="528" customFormat="1" ht="12.75" x14ac:dyDescent="0.2">
      <c r="A41" s="734"/>
      <c r="B41" s="734" t="str">
        <f>'2.DL Naudas plūsma bez projekta'!B41</f>
        <v>nekustamā īpašuma nodoklis</v>
      </c>
      <c r="C41" s="566" t="str">
        <f>'2.DL Naudas plūsma bez projekta'!C41</f>
        <v>EUR</v>
      </c>
      <c r="D41" s="716">
        <f>'2.DL Naudas plūsma bez projekta'!D41</f>
        <v>0</v>
      </c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5">
        <f t="shared" si="13"/>
        <v>0</v>
      </c>
    </row>
    <row r="42" spans="1:30" s="528" customFormat="1" ht="12.75" x14ac:dyDescent="0.2">
      <c r="A42" s="734"/>
      <c r="B42" s="734" t="str">
        <f>'2.DL Naudas plūsma bez projekta'!B42</f>
        <v>uzņēmuma ienākuma nodoklis</v>
      </c>
      <c r="C42" s="566" t="str">
        <f>'2.DL Naudas plūsma bez projekta'!C42</f>
        <v>EUR</v>
      </c>
      <c r="D42" s="716">
        <f>'2.DL Naudas plūsma bez projekta'!D42</f>
        <v>0</v>
      </c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30"/>
      <c r="P42" s="530"/>
      <c r="Q42" s="530"/>
      <c r="R42" s="530"/>
      <c r="S42" s="530"/>
      <c r="T42" s="530"/>
      <c r="U42" s="530"/>
      <c r="V42" s="530"/>
      <c r="W42" s="530"/>
      <c r="X42" s="530"/>
      <c r="Y42" s="530"/>
      <c r="Z42" s="530"/>
      <c r="AA42" s="530"/>
      <c r="AB42" s="530"/>
      <c r="AC42" s="530"/>
      <c r="AD42" s="535">
        <f t="shared" si="13"/>
        <v>0</v>
      </c>
    </row>
    <row r="43" spans="1:30" s="528" customFormat="1" ht="25.5" x14ac:dyDescent="0.2">
      <c r="A43" s="734"/>
      <c r="B43" s="734" t="str">
        <f>'2.DL Naudas plūsma bez projekta'!B43</f>
        <v>dabas resursu nodoklis (DRN) par piesārņojošu vielu emisiju vidē</v>
      </c>
      <c r="C43" s="566" t="str">
        <f>'2.DL Naudas plūsma bez projekta'!C43</f>
        <v>EUR</v>
      </c>
      <c r="D43" s="716">
        <f>'2.DL Naudas plūsma bez projekta'!D43</f>
        <v>0</v>
      </c>
      <c r="E43" s="530"/>
      <c r="F43" s="530"/>
      <c r="G43" s="530"/>
      <c r="H43" s="530"/>
      <c r="I43" s="530"/>
      <c r="J43" s="530"/>
      <c r="K43" s="530"/>
      <c r="L43" s="530"/>
      <c r="M43" s="530"/>
      <c r="N43" s="530"/>
      <c r="O43" s="530"/>
      <c r="P43" s="530"/>
      <c r="Q43" s="530"/>
      <c r="R43" s="530"/>
      <c r="S43" s="530"/>
      <c r="T43" s="530"/>
      <c r="U43" s="530"/>
      <c r="V43" s="530"/>
      <c r="W43" s="530"/>
      <c r="X43" s="530"/>
      <c r="Y43" s="530"/>
      <c r="Z43" s="530"/>
      <c r="AA43" s="530"/>
      <c r="AB43" s="530"/>
      <c r="AC43" s="530"/>
      <c r="AD43" s="535">
        <f t="shared" si="13"/>
        <v>0</v>
      </c>
    </row>
    <row r="44" spans="1:30" s="537" customFormat="1" ht="12.75" customHeight="1" x14ac:dyDescent="0.2">
      <c r="A44" s="734" t="str">
        <f>'2.DL Naudas plūsma bez projekta'!A44</f>
        <v>2.1.12.</v>
      </c>
      <c r="B44" s="734" t="str">
        <f>'2.DL Naudas plūsma bez projekta'!B44</f>
        <v>Rentabilitāte</v>
      </c>
      <c r="C44" s="566" t="str">
        <f>'2.DL Naudas plūsma bez projekta'!C44</f>
        <v>EUR</v>
      </c>
      <c r="D44" s="716">
        <f>'2.DL Naudas plūsma bez projekta'!D44</f>
        <v>432.57</v>
      </c>
      <c r="E44" s="536">
        <f>ROUND($C$45*SUM(E28,E31:E40),2)</f>
        <v>432.57</v>
      </c>
      <c r="F44" s="536">
        <f t="shared" ref="F44:AC44" si="15">ROUND($C$45*SUM(F28,F31:F40),2)</f>
        <v>432.57</v>
      </c>
      <c r="G44" s="536">
        <f t="shared" si="15"/>
        <v>432.57</v>
      </c>
      <c r="H44" s="536">
        <f t="shared" si="15"/>
        <v>432.57</v>
      </c>
      <c r="I44" s="536">
        <f t="shared" si="15"/>
        <v>432.57</v>
      </c>
      <c r="J44" s="536">
        <f t="shared" si="15"/>
        <v>432.57</v>
      </c>
      <c r="K44" s="536">
        <f t="shared" si="15"/>
        <v>432.57</v>
      </c>
      <c r="L44" s="536">
        <f t="shared" si="15"/>
        <v>432.57</v>
      </c>
      <c r="M44" s="536">
        <f t="shared" si="15"/>
        <v>432.57</v>
      </c>
      <c r="N44" s="536">
        <f t="shared" si="15"/>
        <v>432.57</v>
      </c>
      <c r="O44" s="536">
        <f t="shared" si="15"/>
        <v>432.57</v>
      </c>
      <c r="P44" s="536">
        <f t="shared" si="15"/>
        <v>432.57</v>
      </c>
      <c r="Q44" s="536">
        <f t="shared" si="15"/>
        <v>432.57</v>
      </c>
      <c r="R44" s="536">
        <f t="shared" si="15"/>
        <v>432.57</v>
      </c>
      <c r="S44" s="536">
        <f t="shared" si="15"/>
        <v>432.57</v>
      </c>
      <c r="T44" s="536">
        <f t="shared" si="15"/>
        <v>432.57</v>
      </c>
      <c r="U44" s="536">
        <f t="shared" si="15"/>
        <v>432.57</v>
      </c>
      <c r="V44" s="536">
        <f t="shared" si="15"/>
        <v>432.57</v>
      </c>
      <c r="W44" s="536">
        <f t="shared" si="15"/>
        <v>432.57</v>
      </c>
      <c r="X44" s="536">
        <f t="shared" si="15"/>
        <v>432.57</v>
      </c>
      <c r="Y44" s="536">
        <f t="shared" si="15"/>
        <v>432.57</v>
      </c>
      <c r="Z44" s="536">
        <f t="shared" si="15"/>
        <v>432.57</v>
      </c>
      <c r="AA44" s="536">
        <f t="shared" si="15"/>
        <v>432.57</v>
      </c>
      <c r="AB44" s="536">
        <f t="shared" si="15"/>
        <v>432.57</v>
      </c>
      <c r="AC44" s="536">
        <f t="shared" si="15"/>
        <v>432.57</v>
      </c>
      <c r="AD44" s="535">
        <f t="shared" si="13"/>
        <v>10814.249999999996</v>
      </c>
    </row>
    <row r="45" spans="1:30" s="527" customFormat="1" ht="12.75" x14ac:dyDescent="0.2">
      <c r="A45" s="734"/>
      <c r="B45" s="734" t="str">
        <f>'2.DL Naudas plūsma bez projekta'!B45</f>
        <v>rentabilitātes %</v>
      </c>
      <c r="C45" s="760">
        <v>7.0000000000000007E-2</v>
      </c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N45" s="863"/>
      <c r="O45" s="863"/>
      <c r="P45" s="863"/>
      <c r="Q45" s="863"/>
      <c r="R45" s="863"/>
      <c r="S45" s="863"/>
      <c r="T45" s="863"/>
      <c r="U45" s="863"/>
      <c r="V45" s="863"/>
      <c r="W45" s="863"/>
      <c r="X45" s="863"/>
      <c r="Y45" s="863"/>
      <c r="Z45" s="863"/>
      <c r="AA45" s="863"/>
      <c r="AB45" s="863"/>
      <c r="AC45" s="863"/>
      <c r="AD45" s="535">
        <f t="shared" si="13"/>
        <v>0</v>
      </c>
    </row>
    <row r="46" spans="1:30" s="528" customFormat="1" ht="25.5" x14ac:dyDescent="0.2">
      <c r="A46" s="734" t="str">
        <f>'2.DL Naudas plūsma bez projekta'!A46</f>
        <v>2.2.</v>
      </c>
      <c r="B46" s="734" t="str">
        <f>'2.DL Naudas plūsma bez projekta'!B46</f>
        <v>Reģenerējamo sadzīves atkritumu sagatavošanas tirdzniecībai izmaksas</v>
      </c>
      <c r="C46" s="566" t="str">
        <f>'2.DL Naudas plūsma bez projekta'!C46</f>
        <v>EUR</v>
      </c>
      <c r="D46" s="716">
        <f>'2.DL Naudas plūsma bez projekta'!D46</f>
        <v>0</v>
      </c>
      <c r="E46" s="530"/>
      <c r="F46" s="530"/>
      <c r="G46" s="530"/>
      <c r="H46" s="530"/>
      <c r="I46" s="530"/>
      <c r="J46" s="530"/>
      <c r="K46" s="530"/>
      <c r="L46" s="530"/>
      <c r="M46" s="530"/>
      <c r="N46" s="530"/>
      <c r="O46" s="530"/>
      <c r="P46" s="530"/>
      <c r="Q46" s="530"/>
      <c r="R46" s="530"/>
      <c r="S46" s="530"/>
      <c r="T46" s="530"/>
      <c r="U46" s="530"/>
      <c r="V46" s="530"/>
      <c r="W46" s="530"/>
      <c r="X46" s="530"/>
      <c r="Y46" s="530"/>
      <c r="Z46" s="530"/>
      <c r="AA46" s="530"/>
      <c r="AB46" s="530"/>
      <c r="AC46" s="530"/>
      <c r="AD46" s="535">
        <f t="shared" si="13"/>
        <v>0</v>
      </c>
    </row>
    <row r="47" spans="1:30" s="537" customFormat="1" ht="38.25" x14ac:dyDescent="0.2">
      <c r="A47" s="734" t="str">
        <f>'2.DL Naudas plūsma bez projekta'!A47</f>
        <v>2.3.</v>
      </c>
      <c r="B47" s="734" t="str">
        <f>'2.DL Naudas plūsma bez projekta'!B47</f>
        <v>Pārējās saimnieciskās darbības izmaksas, kas nav saistītas ar sadzīves atkritumu apglabāšanas pakalpojumu sniegšanu</v>
      </c>
      <c r="C47" s="566" t="str">
        <f>'2.DL Naudas plūsma bez projekta'!C47</f>
        <v>EUR</v>
      </c>
      <c r="D47" s="716">
        <f>'2.DL Naudas plūsma bez projekta'!D47</f>
        <v>0</v>
      </c>
      <c r="E47" s="535">
        <f>ROUND(SUM(E48:E49,E52:E54),2)</f>
        <v>0</v>
      </c>
      <c r="F47" s="535">
        <f t="shared" ref="F47:AC47" si="16">ROUND(SUM(F48:F49,F52:F54),2)</f>
        <v>0</v>
      </c>
      <c r="G47" s="535">
        <f t="shared" si="16"/>
        <v>0</v>
      </c>
      <c r="H47" s="535">
        <f t="shared" si="16"/>
        <v>0</v>
      </c>
      <c r="I47" s="535">
        <f t="shared" si="16"/>
        <v>0</v>
      </c>
      <c r="J47" s="535">
        <f t="shared" si="16"/>
        <v>0</v>
      </c>
      <c r="K47" s="535">
        <f t="shared" si="16"/>
        <v>0</v>
      </c>
      <c r="L47" s="535">
        <f t="shared" si="16"/>
        <v>0</v>
      </c>
      <c r="M47" s="535">
        <f t="shared" si="16"/>
        <v>0</v>
      </c>
      <c r="N47" s="535">
        <f t="shared" si="16"/>
        <v>0</v>
      </c>
      <c r="O47" s="535">
        <f t="shared" si="16"/>
        <v>0</v>
      </c>
      <c r="P47" s="535">
        <f t="shared" si="16"/>
        <v>0</v>
      </c>
      <c r="Q47" s="535">
        <f t="shared" si="16"/>
        <v>0</v>
      </c>
      <c r="R47" s="535">
        <f t="shared" si="16"/>
        <v>0</v>
      </c>
      <c r="S47" s="535">
        <f t="shared" si="16"/>
        <v>0</v>
      </c>
      <c r="T47" s="535">
        <f t="shared" si="16"/>
        <v>0</v>
      </c>
      <c r="U47" s="535">
        <f t="shared" si="16"/>
        <v>0</v>
      </c>
      <c r="V47" s="535">
        <f t="shared" si="16"/>
        <v>0</v>
      </c>
      <c r="W47" s="535">
        <f t="shared" si="16"/>
        <v>0</v>
      </c>
      <c r="X47" s="535">
        <f t="shared" si="16"/>
        <v>0</v>
      </c>
      <c r="Y47" s="535">
        <f t="shared" si="16"/>
        <v>0</v>
      </c>
      <c r="Z47" s="535">
        <f t="shared" si="16"/>
        <v>0</v>
      </c>
      <c r="AA47" s="535">
        <f t="shared" si="16"/>
        <v>0</v>
      </c>
      <c r="AB47" s="535">
        <f t="shared" si="16"/>
        <v>0</v>
      </c>
      <c r="AC47" s="535">
        <f t="shared" si="16"/>
        <v>0</v>
      </c>
      <c r="AD47" s="535">
        <f t="shared" si="13"/>
        <v>0</v>
      </c>
    </row>
    <row r="48" spans="1:30" s="528" customFormat="1" ht="63.75" x14ac:dyDescent="0.2">
      <c r="A48" s="734" t="str">
        <f>'2.DL Naudas plūsma bez projekta'!A48</f>
        <v>2.3.1.</v>
      </c>
      <c r="B48" s="734" t="str">
        <f>'2.DL Naudas plūsma bez projekta'!B48</f>
        <v>Ekspluatācijas, remontu un uzturēšanas izmaksas transportlīdzekļiem, iekārtām, mehānismiem un būvēm, kā arī izmaksas materiāliem citu (izņemot sadzīves atkritumu apglabāšanas) pakalpojumu nodrošināšanai (t.sk. noma)</v>
      </c>
      <c r="C48" s="566" t="str">
        <f>'2.DL Naudas plūsma bez projekta'!C48</f>
        <v>EUR</v>
      </c>
      <c r="D48" s="716">
        <f>'2.DL Naudas plūsma bez projekta'!D48</f>
        <v>0</v>
      </c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30"/>
      <c r="P48" s="530"/>
      <c r="Q48" s="530"/>
      <c r="R48" s="530"/>
      <c r="S48" s="530"/>
      <c r="T48" s="530"/>
      <c r="U48" s="530"/>
      <c r="V48" s="530"/>
      <c r="W48" s="530"/>
      <c r="X48" s="530"/>
      <c r="Y48" s="530"/>
      <c r="Z48" s="530"/>
      <c r="AA48" s="530"/>
      <c r="AB48" s="530"/>
      <c r="AC48" s="530"/>
      <c r="AD48" s="535">
        <f t="shared" si="13"/>
        <v>0</v>
      </c>
    </row>
    <row r="49" spans="1:30" s="537" customFormat="1" ht="12.75" x14ac:dyDescent="0.2">
      <c r="A49" s="734" t="str">
        <f>'2.DL Naudas plūsma bez projekta'!A49</f>
        <v>2.3.2.</v>
      </c>
      <c r="B49" s="734" t="str">
        <f>'2.DL Naudas plūsma bez projekta'!B49</f>
        <v>Pārējās personāla izmaksas</v>
      </c>
      <c r="C49" s="566" t="str">
        <f>'2.DL Naudas plūsma bez projekta'!C49</f>
        <v>EUR</v>
      </c>
      <c r="D49" s="716">
        <f>'2.DL Naudas plūsma bez projekta'!D49</f>
        <v>0</v>
      </c>
      <c r="E49" s="536">
        <f>ROUND(SUM(E50:E51),2)</f>
        <v>0</v>
      </c>
      <c r="F49" s="536">
        <f t="shared" ref="F49:AC49" si="17">ROUND(SUM(F50:F51),2)</f>
        <v>0</v>
      </c>
      <c r="G49" s="536">
        <f t="shared" si="17"/>
        <v>0</v>
      </c>
      <c r="H49" s="536">
        <f t="shared" si="17"/>
        <v>0</v>
      </c>
      <c r="I49" s="536">
        <f t="shared" si="17"/>
        <v>0</v>
      </c>
      <c r="J49" s="536">
        <f t="shared" si="17"/>
        <v>0</v>
      </c>
      <c r="K49" s="536">
        <f t="shared" si="17"/>
        <v>0</v>
      </c>
      <c r="L49" s="536">
        <f t="shared" si="17"/>
        <v>0</v>
      </c>
      <c r="M49" s="536">
        <f t="shared" si="17"/>
        <v>0</v>
      </c>
      <c r="N49" s="536">
        <f t="shared" si="17"/>
        <v>0</v>
      </c>
      <c r="O49" s="536">
        <f t="shared" si="17"/>
        <v>0</v>
      </c>
      <c r="P49" s="536">
        <f t="shared" si="17"/>
        <v>0</v>
      </c>
      <c r="Q49" s="536">
        <f t="shared" si="17"/>
        <v>0</v>
      </c>
      <c r="R49" s="536">
        <f t="shared" si="17"/>
        <v>0</v>
      </c>
      <c r="S49" s="536">
        <f t="shared" si="17"/>
        <v>0</v>
      </c>
      <c r="T49" s="536">
        <f t="shared" si="17"/>
        <v>0</v>
      </c>
      <c r="U49" s="536">
        <f t="shared" si="17"/>
        <v>0</v>
      </c>
      <c r="V49" s="536">
        <f t="shared" si="17"/>
        <v>0</v>
      </c>
      <c r="W49" s="536">
        <f t="shared" si="17"/>
        <v>0</v>
      </c>
      <c r="X49" s="536">
        <f t="shared" si="17"/>
        <v>0</v>
      </c>
      <c r="Y49" s="536">
        <f t="shared" si="17"/>
        <v>0</v>
      </c>
      <c r="Z49" s="536">
        <f t="shared" si="17"/>
        <v>0</v>
      </c>
      <c r="AA49" s="536">
        <f t="shared" si="17"/>
        <v>0</v>
      </c>
      <c r="AB49" s="536">
        <f t="shared" si="17"/>
        <v>0</v>
      </c>
      <c r="AC49" s="536">
        <f t="shared" si="17"/>
        <v>0</v>
      </c>
      <c r="AD49" s="535">
        <f t="shared" si="13"/>
        <v>0</v>
      </c>
    </row>
    <row r="50" spans="1:30" s="528" customFormat="1" ht="12.75" x14ac:dyDescent="0.2">
      <c r="A50" s="734"/>
      <c r="B50" s="734" t="str">
        <f>'2.DL Naudas plūsma bez projekta'!B50</f>
        <v>darba samaksa</v>
      </c>
      <c r="C50" s="566" t="str">
        <f>'2.DL Naudas plūsma bez projekta'!C50</f>
        <v>EUR</v>
      </c>
      <c r="D50" s="716">
        <f>'2.DL Naudas plūsma bez projekta'!D50</f>
        <v>0</v>
      </c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530"/>
      <c r="P50" s="530"/>
      <c r="Q50" s="530"/>
      <c r="R50" s="530"/>
      <c r="S50" s="530"/>
      <c r="T50" s="530"/>
      <c r="U50" s="530"/>
      <c r="V50" s="530"/>
      <c r="W50" s="530"/>
      <c r="X50" s="530"/>
      <c r="Y50" s="530"/>
      <c r="Z50" s="530"/>
      <c r="AA50" s="530"/>
      <c r="AB50" s="530"/>
      <c r="AC50" s="530"/>
      <c r="AD50" s="535">
        <f t="shared" si="13"/>
        <v>0</v>
      </c>
    </row>
    <row r="51" spans="1:30" s="528" customFormat="1" ht="12.75" x14ac:dyDescent="0.2">
      <c r="A51" s="734"/>
      <c r="B51" s="734" t="str">
        <f>'2.DL Naudas plūsma bez projekta'!B51</f>
        <v>sociālās apdrošināšanas izmaksas</v>
      </c>
      <c r="C51" s="760">
        <v>0.2359</v>
      </c>
      <c r="D51" s="716">
        <f>'2.DL Naudas plūsma bez projekta'!D51</f>
        <v>0</v>
      </c>
      <c r="E51" s="536">
        <f>$C$51*E50</f>
        <v>0</v>
      </c>
      <c r="F51" s="536">
        <f t="shared" ref="F51:AC51" si="18">$C$51*F50</f>
        <v>0</v>
      </c>
      <c r="G51" s="536">
        <f t="shared" si="18"/>
        <v>0</v>
      </c>
      <c r="H51" s="536">
        <f t="shared" si="18"/>
        <v>0</v>
      </c>
      <c r="I51" s="536">
        <f t="shared" si="18"/>
        <v>0</v>
      </c>
      <c r="J51" s="536">
        <f t="shared" si="18"/>
        <v>0</v>
      </c>
      <c r="K51" s="536">
        <f t="shared" si="18"/>
        <v>0</v>
      </c>
      <c r="L51" s="536">
        <f t="shared" si="18"/>
        <v>0</v>
      </c>
      <c r="M51" s="536">
        <f t="shared" si="18"/>
        <v>0</v>
      </c>
      <c r="N51" s="536">
        <f t="shared" si="18"/>
        <v>0</v>
      </c>
      <c r="O51" s="536">
        <f t="shared" si="18"/>
        <v>0</v>
      </c>
      <c r="P51" s="536">
        <f t="shared" si="18"/>
        <v>0</v>
      </c>
      <c r="Q51" s="536">
        <f t="shared" si="18"/>
        <v>0</v>
      </c>
      <c r="R51" s="536">
        <f t="shared" si="18"/>
        <v>0</v>
      </c>
      <c r="S51" s="536">
        <f t="shared" si="18"/>
        <v>0</v>
      </c>
      <c r="T51" s="536">
        <f t="shared" si="18"/>
        <v>0</v>
      </c>
      <c r="U51" s="536">
        <f t="shared" si="18"/>
        <v>0</v>
      </c>
      <c r="V51" s="536">
        <f t="shared" si="18"/>
        <v>0</v>
      </c>
      <c r="W51" s="536">
        <f t="shared" si="18"/>
        <v>0</v>
      </c>
      <c r="X51" s="536">
        <f t="shared" si="18"/>
        <v>0</v>
      </c>
      <c r="Y51" s="536">
        <f t="shared" si="18"/>
        <v>0</v>
      </c>
      <c r="Z51" s="536">
        <f t="shared" si="18"/>
        <v>0</v>
      </c>
      <c r="AA51" s="536">
        <f t="shared" si="18"/>
        <v>0</v>
      </c>
      <c r="AB51" s="536">
        <f t="shared" si="18"/>
        <v>0</v>
      </c>
      <c r="AC51" s="536">
        <f t="shared" si="18"/>
        <v>0</v>
      </c>
      <c r="AD51" s="535">
        <f t="shared" si="13"/>
        <v>0</v>
      </c>
    </row>
    <row r="52" spans="1:30" s="528" customFormat="1" ht="12.75" x14ac:dyDescent="0.2">
      <c r="A52" s="734" t="str">
        <f>'2.DL Naudas plūsma bez projekta'!A52</f>
        <v>2.3.3.</v>
      </c>
      <c r="B52" s="734" t="str">
        <f>'2.DL Naudas plūsma bez projekta'!B52</f>
        <v>Nodokļu un nodevu maksājumi</v>
      </c>
      <c r="C52" s="566" t="str">
        <f>'2.DL Naudas plūsma bez projekta'!C52</f>
        <v>EUR</v>
      </c>
      <c r="D52" s="716">
        <f>'2.DL Naudas plūsma bez projekta'!D52</f>
        <v>0</v>
      </c>
      <c r="E52" s="530"/>
      <c r="F52" s="530"/>
      <c r="G52" s="530"/>
      <c r="H52" s="530"/>
      <c r="I52" s="530"/>
      <c r="J52" s="530"/>
      <c r="K52" s="530"/>
      <c r="L52" s="530"/>
      <c r="M52" s="530"/>
      <c r="N52" s="530"/>
      <c r="O52" s="530"/>
      <c r="P52" s="530"/>
      <c r="Q52" s="530"/>
      <c r="R52" s="530"/>
      <c r="S52" s="530"/>
      <c r="T52" s="530"/>
      <c r="U52" s="530"/>
      <c r="V52" s="530"/>
      <c r="W52" s="530"/>
      <c r="X52" s="530"/>
      <c r="Y52" s="530"/>
      <c r="Z52" s="530"/>
      <c r="AA52" s="530"/>
      <c r="AB52" s="530"/>
      <c r="AC52" s="530"/>
      <c r="AD52" s="535">
        <f t="shared" si="13"/>
        <v>0</v>
      </c>
    </row>
    <row r="53" spans="1:30" s="528" customFormat="1" ht="25.5" x14ac:dyDescent="0.2">
      <c r="A53" s="734" t="str">
        <f>'2.DL Naudas plūsma bez projekta'!A53</f>
        <v>2.3.4.</v>
      </c>
      <c r="B53" s="734" t="str">
        <f>'2.DL Naudas plūsma bez projekta'!B53</f>
        <v>Administrācijas izmaksas, kas nav iekļautas citos izmaksu 2.3. budžeta posteņos</v>
      </c>
      <c r="C53" s="566" t="str">
        <f>'2.DL Naudas plūsma bez projekta'!C53</f>
        <v>EUR</v>
      </c>
      <c r="D53" s="716">
        <f>'2.DL Naudas plūsma bez projekta'!D53</f>
        <v>0</v>
      </c>
      <c r="E53" s="530"/>
      <c r="F53" s="530"/>
      <c r="G53" s="530"/>
      <c r="H53" s="530"/>
      <c r="I53" s="530"/>
      <c r="J53" s="530"/>
      <c r="K53" s="530"/>
      <c r="L53" s="530"/>
      <c r="M53" s="530"/>
      <c r="N53" s="530"/>
      <c r="O53" s="530"/>
      <c r="P53" s="530"/>
      <c r="Q53" s="530"/>
      <c r="R53" s="530"/>
      <c r="S53" s="530"/>
      <c r="T53" s="530"/>
      <c r="U53" s="530"/>
      <c r="V53" s="530"/>
      <c r="W53" s="530"/>
      <c r="X53" s="530"/>
      <c r="Y53" s="530"/>
      <c r="Z53" s="530"/>
      <c r="AA53" s="530"/>
      <c r="AB53" s="530"/>
      <c r="AC53" s="530"/>
      <c r="AD53" s="535">
        <f t="shared" si="13"/>
        <v>0</v>
      </c>
    </row>
    <row r="54" spans="1:30" s="528" customFormat="1" ht="12.75" x14ac:dyDescent="0.2">
      <c r="A54" s="734" t="str">
        <f>'2.DL Naudas plūsma bez projekta'!A54</f>
        <v>2.3.5.</v>
      </c>
      <c r="B54" s="734" t="str">
        <f>'2.DL Naudas plūsma bez projekta'!B54</f>
        <v>Pārējās  izmaksas</v>
      </c>
      <c r="C54" s="566" t="str">
        <f>'2.DL Naudas plūsma bez projekta'!C54</f>
        <v>EUR</v>
      </c>
      <c r="D54" s="716">
        <f>'2.DL Naudas plūsma bez projekta'!D54</f>
        <v>0</v>
      </c>
      <c r="E54" s="530"/>
      <c r="F54" s="530"/>
      <c r="G54" s="530"/>
      <c r="H54" s="530"/>
      <c r="I54" s="530"/>
      <c r="J54" s="530"/>
      <c r="K54" s="530"/>
      <c r="L54" s="530"/>
      <c r="M54" s="530"/>
      <c r="N54" s="530"/>
      <c r="O54" s="530"/>
      <c r="P54" s="530"/>
      <c r="Q54" s="530"/>
      <c r="R54" s="530"/>
      <c r="S54" s="530"/>
      <c r="T54" s="530"/>
      <c r="U54" s="530"/>
      <c r="V54" s="530"/>
      <c r="W54" s="530"/>
      <c r="X54" s="530"/>
      <c r="Y54" s="530"/>
      <c r="Z54" s="530"/>
      <c r="AA54" s="530"/>
      <c r="AB54" s="530"/>
      <c r="AC54" s="530"/>
      <c r="AD54" s="535">
        <f t="shared" si="13"/>
        <v>0</v>
      </c>
    </row>
    <row r="55" spans="1:30" s="537" customFormat="1" ht="12.75" x14ac:dyDescent="0.2">
      <c r="A55" s="735" t="s">
        <v>30</v>
      </c>
      <c r="B55" s="564" t="s">
        <v>526</v>
      </c>
      <c r="C55" s="532" t="s">
        <v>20</v>
      </c>
      <c r="D55" s="589">
        <f>D56+D58</f>
        <v>0</v>
      </c>
      <c r="E55" s="536">
        <f t="shared" ref="E55:G55" si="19">E56+E58</f>
        <v>99500</v>
      </c>
      <c r="F55" s="536">
        <f t="shared" si="19"/>
        <v>83500</v>
      </c>
      <c r="G55" s="536">
        <f t="shared" si="19"/>
        <v>25000</v>
      </c>
      <c r="H55" s="544"/>
      <c r="I55" s="544"/>
      <c r="J55" s="544"/>
      <c r="K55" s="544"/>
      <c r="L55" s="544"/>
      <c r="M55" s="544"/>
      <c r="N55" s="544"/>
      <c r="O55" s="544"/>
      <c r="P55" s="544"/>
      <c r="Q55" s="544"/>
      <c r="R55" s="544"/>
      <c r="S55" s="544"/>
      <c r="T55" s="544"/>
      <c r="U55" s="544"/>
      <c r="V55" s="544"/>
      <c r="W55" s="544"/>
      <c r="X55" s="544"/>
      <c r="Y55" s="544"/>
      <c r="Z55" s="544"/>
      <c r="AA55" s="544"/>
      <c r="AB55" s="544"/>
      <c r="AC55" s="544"/>
      <c r="AD55" s="535">
        <f t="shared" si="13"/>
        <v>208000</v>
      </c>
    </row>
    <row r="56" spans="1:30" s="537" customFormat="1" ht="12.75" x14ac:dyDescent="0.2">
      <c r="A56" s="736" t="s">
        <v>31</v>
      </c>
      <c r="B56" s="586" t="s">
        <v>69</v>
      </c>
      <c r="C56" s="532" t="s">
        <v>20</v>
      </c>
      <c r="D56" s="589">
        <f>D57</f>
        <v>0</v>
      </c>
      <c r="E56" s="536">
        <f t="shared" ref="E56:G56" si="20">E57</f>
        <v>97000</v>
      </c>
      <c r="F56" s="536">
        <f t="shared" si="20"/>
        <v>81000</v>
      </c>
      <c r="G56" s="536">
        <f t="shared" si="20"/>
        <v>25000</v>
      </c>
      <c r="H56" s="542"/>
      <c r="I56" s="542"/>
      <c r="J56" s="542"/>
      <c r="K56" s="542"/>
      <c r="L56" s="542"/>
      <c r="M56" s="542"/>
      <c r="N56" s="542"/>
      <c r="O56" s="542"/>
      <c r="P56" s="542"/>
      <c r="Q56" s="542"/>
      <c r="R56" s="542"/>
      <c r="S56" s="542"/>
      <c r="T56" s="542"/>
      <c r="U56" s="542"/>
      <c r="V56" s="542"/>
      <c r="W56" s="542"/>
      <c r="X56" s="542"/>
      <c r="Y56" s="542"/>
      <c r="Z56" s="542"/>
      <c r="AA56" s="542"/>
      <c r="AB56" s="542"/>
      <c r="AC56" s="542"/>
      <c r="AD56" s="535">
        <f t="shared" si="13"/>
        <v>203000</v>
      </c>
    </row>
    <row r="57" spans="1:30" s="514" customFormat="1" ht="12.75" x14ac:dyDescent="0.2">
      <c r="A57" s="737" t="s">
        <v>68</v>
      </c>
      <c r="B57" s="585" t="s">
        <v>69</v>
      </c>
      <c r="C57" s="517" t="s">
        <v>20</v>
      </c>
      <c r="D57" s="590">
        <v>0</v>
      </c>
      <c r="E57" s="540">
        <f>SUM('1.DL Projekta budžets'!L17:M17,'1.DL Projekta budžets'!J17:K17)-'3.DL Naudas plūsma ar projektu'!E58-'1.DL Projekta budžets'!M16-'1.DL Projekta budžets'!K16</f>
        <v>97000</v>
      </c>
      <c r="F57" s="540">
        <f>SUM('1.DL Projekta budžets'!N17:O17)-'3.DL Naudas plūsma ar projektu'!F58-'1.DL Projekta budžets'!O16</f>
        <v>81000</v>
      </c>
      <c r="G57" s="540">
        <f>SUM('1.DL Projekta budžets'!P17:Q17)-'3.DL Naudas plūsma ar projektu'!G58-'1.DL Projekta budžets'!Q16</f>
        <v>25000</v>
      </c>
      <c r="H57" s="542"/>
      <c r="I57" s="542"/>
      <c r="J57" s="542"/>
      <c r="K57" s="542"/>
      <c r="L57" s="542"/>
      <c r="M57" s="542"/>
      <c r="N57" s="542"/>
      <c r="O57" s="542"/>
      <c r="P57" s="542"/>
      <c r="Q57" s="542"/>
      <c r="R57" s="542"/>
      <c r="S57" s="542"/>
      <c r="T57" s="542"/>
      <c r="U57" s="542"/>
      <c r="V57" s="542"/>
      <c r="W57" s="542"/>
      <c r="X57" s="542"/>
      <c r="Y57" s="542"/>
      <c r="Z57" s="542"/>
      <c r="AA57" s="542"/>
      <c r="AB57" s="542"/>
      <c r="AC57" s="542"/>
      <c r="AD57" s="535">
        <f t="shared" si="13"/>
        <v>203000</v>
      </c>
    </row>
    <row r="58" spans="1:30" s="514" customFormat="1" ht="12.75" x14ac:dyDescent="0.2">
      <c r="A58" s="736" t="s">
        <v>32</v>
      </c>
      <c r="B58" s="586" t="s">
        <v>70</v>
      </c>
      <c r="C58" s="588" t="s">
        <v>20</v>
      </c>
      <c r="D58" s="589">
        <f>D59</f>
        <v>0</v>
      </c>
      <c r="E58" s="536">
        <f t="shared" ref="E58:G58" si="21">E59</f>
        <v>2500</v>
      </c>
      <c r="F58" s="536">
        <f t="shared" si="21"/>
        <v>2500</v>
      </c>
      <c r="G58" s="536">
        <f t="shared" si="21"/>
        <v>0</v>
      </c>
      <c r="H58" s="542"/>
      <c r="I58" s="542"/>
      <c r="J58" s="542"/>
      <c r="K58" s="542"/>
      <c r="L58" s="542"/>
      <c r="M58" s="542"/>
      <c r="N58" s="542"/>
      <c r="O58" s="542"/>
      <c r="P58" s="542"/>
      <c r="Q58" s="542"/>
      <c r="R58" s="542"/>
      <c r="S58" s="542"/>
      <c r="T58" s="542"/>
      <c r="U58" s="542"/>
      <c r="V58" s="542"/>
      <c r="W58" s="542"/>
      <c r="X58" s="542"/>
      <c r="Y58" s="542"/>
      <c r="Z58" s="542"/>
      <c r="AA58" s="542"/>
      <c r="AB58" s="542"/>
      <c r="AC58" s="542"/>
      <c r="AD58" s="535">
        <f t="shared" si="13"/>
        <v>5000</v>
      </c>
    </row>
    <row r="59" spans="1:30" s="514" customFormat="1" ht="12.75" x14ac:dyDescent="0.2">
      <c r="A59" s="737" t="s">
        <v>71</v>
      </c>
      <c r="B59" s="585" t="s">
        <v>72</v>
      </c>
      <c r="C59" s="517" t="s">
        <v>20</v>
      </c>
      <c r="D59" s="590"/>
      <c r="E59" s="540">
        <f>SUM('1.DL Projekta budžets'!L14:M14,'1.DL Projekta budžets'!J14:K14)</f>
        <v>2500</v>
      </c>
      <c r="F59" s="540">
        <f>SUM('1.DL Projekta budžets'!N14:O14)</f>
        <v>2500</v>
      </c>
      <c r="G59" s="540">
        <f>SUM('1.DL Projekta budžets'!P14:Q14)</f>
        <v>0</v>
      </c>
      <c r="H59" s="542"/>
      <c r="I59" s="542"/>
      <c r="J59" s="542"/>
      <c r="K59" s="542"/>
      <c r="L59" s="542"/>
      <c r="M59" s="542"/>
      <c r="N59" s="542"/>
      <c r="O59" s="542"/>
      <c r="P59" s="542"/>
      <c r="Q59" s="542"/>
      <c r="R59" s="542"/>
      <c r="S59" s="542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535">
        <f t="shared" si="13"/>
        <v>5000</v>
      </c>
    </row>
    <row r="60" spans="1:30" s="537" customFormat="1" ht="12.75" x14ac:dyDescent="0.2">
      <c r="A60" s="731" t="s">
        <v>34</v>
      </c>
      <c r="B60" s="586" t="s">
        <v>73</v>
      </c>
      <c r="C60" s="588" t="s">
        <v>20</v>
      </c>
      <c r="D60" s="544"/>
      <c r="E60" s="544"/>
      <c r="F60" s="544"/>
      <c r="G60" s="544"/>
      <c r="H60" s="544"/>
      <c r="I60" s="544"/>
      <c r="J60" s="544"/>
      <c r="K60" s="544"/>
      <c r="L60" s="544"/>
      <c r="M60" s="544"/>
      <c r="N60" s="544"/>
      <c r="O60" s="544"/>
      <c r="P60" s="544"/>
      <c r="Q60" s="544"/>
      <c r="R60" s="544"/>
      <c r="S60" s="544"/>
      <c r="T60" s="544"/>
      <c r="U60" s="544"/>
      <c r="V60" s="544"/>
      <c r="W60" s="544"/>
      <c r="X60" s="544"/>
      <c r="Y60" s="544"/>
      <c r="Z60" s="544"/>
      <c r="AA60" s="544"/>
      <c r="AB60" s="544"/>
      <c r="AC60" s="536">
        <f t="shared" ref="AC60" si="22">AC61</f>
        <v>0</v>
      </c>
      <c r="AD60" s="535">
        <f t="shared" si="13"/>
        <v>0</v>
      </c>
    </row>
    <row r="61" spans="1:30" s="514" customFormat="1" ht="12.75" x14ac:dyDescent="0.2">
      <c r="A61" s="738" t="s">
        <v>74</v>
      </c>
      <c r="B61" s="591" t="s">
        <v>75</v>
      </c>
      <c r="C61" s="517" t="s">
        <v>20</v>
      </c>
      <c r="D61" s="542"/>
      <c r="E61" s="542"/>
      <c r="F61" s="542"/>
      <c r="G61" s="542"/>
      <c r="H61" s="542"/>
      <c r="I61" s="542"/>
      <c r="J61" s="542"/>
      <c r="K61" s="542"/>
      <c r="L61" s="542"/>
      <c r="M61" s="542"/>
      <c r="N61" s="542"/>
      <c r="O61" s="542"/>
      <c r="P61" s="542"/>
      <c r="Q61" s="542"/>
      <c r="R61" s="542"/>
      <c r="S61" s="542"/>
      <c r="T61" s="542"/>
      <c r="U61" s="542"/>
      <c r="V61" s="542"/>
      <c r="W61" s="542"/>
      <c r="X61" s="542"/>
      <c r="Y61" s="542"/>
      <c r="Z61" s="542"/>
      <c r="AA61" s="542"/>
      <c r="AB61" s="542"/>
      <c r="AC61" s="592">
        <f>AC72+AC77</f>
        <v>0</v>
      </c>
      <c r="AD61" s="535">
        <f t="shared" si="13"/>
        <v>0</v>
      </c>
    </row>
    <row r="62" spans="1:30" s="520" customFormat="1" ht="12.75" x14ac:dyDescent="0.2">
      <c r="A62" s="594"/>
      <c r="B62" s="594"/>
      <c r="C62" s="593"/>
      <c r="D62" s="595"/>
      <c r="E62" s="595"/>
      <c r="F62" s="595"/>
      <c r="G62" s="595"/>
      <c r="H62" s="595"/>
      <c r="I62" s="595"/>
      <c r="J62" s="595"/>
      <c r="K62" s="595"/>
      <c r="L62" s="595"/>
      <c r="M62" s="595"/>
      <c r="N62" s="595"/>
      <c r="O62" s="595"/>
      <c r="P62" s="595"/>
      <c r="Q62" s="595"/>
      <c r="R62" s="595"/>
      <c r="S62" s="595"/>
      <c r="T62" s="595"/>
      <c r="U62" s="595"/>
      <c r="V62" s="595"/>
      <c r="W62" s="595"/>
      <c r="X62" s="595"/>
      <c r="Y62" s="595"/>
      <c r="Z62" s="595"/>
      <c r="AA62" s="595"/>
      <c r="AB62" s="595"/>
      <c r="AC62" s="595"/>
      <c r="AD62" s="595"/>
    </row>
    <row r="63" spans="1:30" s="514" customFormat="1" ht="12.75" x14ac:dyDescent="0.2">
      <c r="A63" s="579"/>
      <c r="B63" s="579"/>
      <c r="D63" s="548"/>
      <c r="E63" s="548"/>
      <c r="F63" s="548"/>
      <c r="G63" s="548"/>
      <c r="H63" s="548"/>
      <c r="I63" s="548"/>
      <c r="J63" s="548"/>
      <c r="K63" s="548"/>
      <c r="L63" s="548"/>
      <c r="M63" s="548"/>
      <c r="N63" s="548"/>
      <c r="O63" s="548"/>
      <c r="P63" s="548"/>
      <c r="Q63" s="548"/>
      <c r="R63" s="548"/>
      <c r="S63" s="548"/>
      <c r="T63" s="548"/>
      <c r="U63" s="548"/>
      <c r="V63" s="548"/>
      <c r="W63" s="548"/>
      <c r="X63" s="548"/>
      <c r="Y63" s="548"/>
      <c r="Z63" s="548"/>
      <c r="AA63" s="548"/>
      <c r="AB63" s="548"/>
      <c r="AC63" s="548"/>
      <c r="AD63" s="548"/>
    </row>
    <row r="64" spans="1:30" s="537" customFormat="1" ht="12.75" x14ac:dyDescent="0.2">
      <c r="A64" s="545" t="s">
        <v>35</v>
      </c>
      <c r="B64" s="739" t="s">
        <v>89</v>
      </c>
      <c r="C64" s="532"/>
      <c r="D64" s="535">
        <f t="shared" ref="D64:AD64" si="23">D14-D26-D55+D60</f>
        <v>187.93000000000029</v>
      </c>
      <c r="E64" s="535">
        <f t="shared" si="23"/>
        <v>-95200.07</v>
      </c>
      <c r="F64" s="535">
        <f t="shared" si="23"/>
        <v>-80500.070000000007</v>
      </c>
      <c r="G64" s="535">
        <f t="shared" si="23"/>
        <v>-19980.07</v>
      </c>
      <c r="H64" s="535">
        <f t="shared" si="23"/>
        <v>1017.9300000000003</v>
      </c>
      <c r="I64" s="535">
        <f t="shared" si="23"/>
        <v>1015.9300000000003</v>
      </c>
      <c r="J64" s="535">
        <f t="shared" si="23"/>
        <v>1013.9300000000003</v>
      </c>
      <c r="K64" s="535">
        <f t="shared" si="23"/>
        <v>1011.9300000000003</v>
      </c>
      <c r="L64" s="535">
        <f t="shared" si="23"/>
        <v>1009.9300000000003</v>
      </c>
      <c r="M64" s="535">
        <f t="shared" si="23"/>
        <v>1007.9300000000003</v>
      </c>
      <c r="N64" s="535">
        <f t="shared" si="23"/>
        <v>1005.9300000000003</v>
      </c>
      <c r="O64" s="535">
        <f t="shared" si="23"/>
        <v>1003.9300000000003</v>
      </c>
      <c r="P64" s="535">
        <f t="shared" si="23"/>
        <v>1001.9300000000003</v>
      </c>
      <c r="Q64" s="535">
        <f t="shared" si="23"/>
        <v>999.93000000000029</v>
      </c>
      <c r="R64" s="535">
        <f t="shared" si="23"/>
        <v>999.93000000000029</v>
      </c>
      <c r="S64" s="535">
        <f t="shared" si="23"/>
        <v>999.93000000000029</v>
      </c>
      <c r="T64" s="535">
        <f t="shared" si="23"/>
        <v>999.93000000000029</v>
      </c>
      <c r="U64" s="535">
        <f t="shared" si="23"/>
        <v>999.93000000000029</v>
      </c>
      <c r="V64" s="535">
        <f t="shared" si="23"/>
        <v>999.93000000000029</v>
      </c>
      <c r="W64" s="535">
        <f t="shared" si="23"/>
        <v>999.93000000000029</v>
      </c>
      <c r="X64" s="535">
        <f t="shared" si="23"/>
        <v>999.93000000000029</v>
      </c>
      <c r="Y64" s="535">
        <f t="shared" si="23"/>
        <v>999.93000000000029</v>
      </c>
      <c r="Z64" s="535">
        <f t="shared" si="23"/>
        <v>999.93000000000029</v>
      </c>
      <c r="AA64" s="535">
        <f t="shared" si="23"/>
        <v>999.93000000000029</v>
      </c>
      <c r="AB64" s="535">
        <f t="shared" si="23"/>
        <v>999.93000000000029</v>
      </c>
      <c r="AC64" s="535">
        <f t="shared" si="23"/>
        <v>999.93000000000029</v>
      </c>
      <c r="AD64" s="535">
        <f t="shared" si="23"/>
        <v>-173591.75000000009</v>
      </c>
    </row>
    <row r="65" spans="1:30" s="514" customFormat="1" ht="12.75" x14ac:dyDescent="0.2">
      <c r="A65" s="579"/>
      <c r="B65" s="579"/>
      <c r="D65" s="548"/>
      <c r="E65" s="548"/>
      <c r="F65" s="548"/>
      <c r="G65" s="548"/>
      <c r="H65" s="548"/>
      <c r="I65" s="548"/>
      <c r="J65" s="548"/>
      <c r="K65" s="548"/>
      <c r="L65" s="548"/>
      <c r="M65" s="548"/>
      <c r="N65" s="548"/>
      <c r="O65" s="548"/>
      <c r="P65" s="548"/>
      <c r="Q65" s="548"/>
      <c r="R65" s="548"/>
      <c r="S65" s="548"/>
      <c r="T65" s="548"/>
      <c r="U65" s="548"/>
      <c r="V65" s="548"/>
      <c r="W65" s="548"/>
      <c r="X65" s="548"/>
      <c r="Y65" s="548"/>
      <c r="Z65" s="548"/>
      <c r="AA65" s="548"/>
      <c r="AB65" s="548"/>
      <c r="AC65" s="548"/>
      <c r="AD65" s="548"/>
    </row>
    <row r="66" spans="1:30" s="514" customFormat="1" ht="12.75" x14ac:dyDescent="0.2">
      <c r="A66" s="579"/>
      <c r="B66" s="579"/>
      <c r="D66" s="548"/>
      <c r="E66" s="548"/>
      <c r="F66" s="548"/>
      <c r="G66" s="548"/>
      <c r="H66" s="548"/>
      <c r="I66" s="548"/>
      <c r="J66" s="548"/>
      <c r="K66" s="548"/>
      <c r="L66" s="548"/>
      <c r="M66" s="548"/>
      <c r="N66" s="548"/>
      <c r="O66" s="548"/>
      <c r="P66" s="548"/>
      <c r="Q66" s="548"/>
      <c r="R66" s="548"/>
      <c r="S66" s="548"/>
      <c r="T66" s="548"/>
      <c r="U66" s="548"/>
      <c r="V66" s="548"/>
      <c r="W66" s="548"/>
      <c r="X66" s="548"/>
      <c r="Y66" s="548"/>
      <c r="Z66" s="548"/>
      <c r="AA66" s="548"/>
      <c r="AB66" s="548"/>
      <c r="AC66" s="548"/>
      <c r="AD66" s="548"/>
    </row>
    <row r="67" spans="1:30" s="514" customFormat="1" ht="25.5" x14ac:dyDescent="0.2">
      <c r="A67" s="734" t="s">
        <v>36</v>
      </c>
      <c r="B67" s="596" t="s">
        <v>63</v>
      </c>
      <c r="C67" s="516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39"/>
      <c r="V67" s="539"/>
      <c r="W67" s="539"/>
      <c r="X67" s="539"/>
      <c r="Y67" s="539"/>
      <c r="Z67" s="539"/>
      <c r="AA67" s="539"/>
      <c r="AB67" s="539"/>
      <c r="AC67" s="539"/>
      <c r="AD67" s="539"/>
    </row>
    <row r="68" spans="1:30" s="520" customFormat="1" ht="12.75" x14ac:dyDescent="0.2">
      <c r="A68" s="543"/>
      <c r="B68" s="597" t="s">
        <v>57</v>
      </c>
      <c r="C68" s="587"/>
      <c r="D68" s="540"/>
      <c r="E68" s="540"/>
      <c r="F68" s="540"/>
      <c r="G68" s="540"/>
      <c r="H68" s="540"/>
      <c r="I68" s="540"/>
      <c r="J68" s="540"/>
      <c r="K68" s="540"/>
      <c r="L68" s="540"/>
      <c r="M68" s="540"/>
      <c r="N68" s="540"/>
      <c r="O68" s="540"/>
      <c r="P68" s="540"/>
      <c r="Q68" s="540"/>
      <c r="R68" s="540"/>
      <c r="S68" s="540"/>
      <c r="T68" s="540"/>
      <c r="U68" s="540"/>
      <c r="V68" s="540"/>
      <c r="W68" s="540"/>
      <c r="X68" s="540"/>
      <c r="Y68" s="540"/>
      <c r="Z68" s="540"/>
      <c r="AA68" s="540"/>
      <c r="AB68" s="540"/>
      <c r="AC68" s="540"/>
      <c r="AD68" s="540"/>
    </row>
    <row r="69" spans="1:30" s="526" customFormat="1" ht="12.75" x14ac:dyDescent="0.2">
      <c r="A69" s="543"/>
      <c r="B69" s="404" t="s">
        <v>64</v>
      </c>
      <c r="C69" s="522"/>
      <c r="D69" s="540">
        <f>IF(D6&lt;Titullapa!$D$11,0,$C$69)</f>
        <v>0</v>
      </c>
      <c r="E69" s="540">
        <f>IF(E6&lt;Titullapa!$D$11,0,$C$69)</f>
        <v>0</v>
      </c>
      <c r="F69" s="540">
        <f>IF(F6&lt;Titullapa!$D$11,0,$C$69)</f>
        <v>0</v>
      </c>
      <c r="G69" s="540">
        <f>IF(G6&lt;Titullapa!$D$11,0,$C$69)</f>
        <v>0</v>
      </c>
      <c r="H69" s="540">
        <f>IF(H6&lt;Titullapa!$D$11,0,$C$69)</f>
        <v>0</v>
      </c>
      <c r="I69" s="540">
        <f>IF(I6&lt;Titullapa!$D$11,0,$C$69)</f>
        <v>0</v>
      </c>
      <c r="J69" s="540">
        <f>IF(J6&lt;Titullapa!$D$11,0,$C$69)</f>
        <v>0</v>
      </c>
      <c r="K69" s="540">
        <f>IF(K6&lt;Titullapa!$D$11,0,$C$69)</f>
        <v>0</v>
      </c>
      <c r="L69" s="540">
        <f>IF(L6&lt;Titullapa!$D$11,0,$C$69)</f>
        <v>0</v>
      </c>
      <c r="M69" s="540">
        <f>IF(M6&lt;Titullapa!$D$11,0,$C$69)</f>
        <v>0</v>
      </c>
      <c r="N69" s="540">
        <f>IF(N6&lt;Titullapa!$D$11,0,$C$69)</f>
        <v>0</v>
      </c>
      <c r="O69" s="540">
        <f>IF(O6&lt;Titullapa!$D$11,0,$C$69)</f>
        <v>0</v>
      </c>
      <c r="P69" s="540">
        <f>IF(P6&lt;Titullapa!$D$11,0,$C$69)</f>
        <v>0</v>
      </c>
      <c r="Q69" s="540">
        <f>IF(Q6&lt;Titullapa!$D$11,0,$C$69)</f>
        <v>0</v>
      </c>
      <c r="R69" s="540">
        <f>IF(R6&lt;Titullapa!$D$11,0,$C$69)</f>
        <v>0</v>
      </c>
      <c r="S69" s="540">
        <f>IF(S6&lt;Titullapa!$D$11,0,$C$69)</f>
        <v>0</v>
      </c>
      <c r="T69" s="540">
        <f>IF(T6&lt;Titullapa!$D$11,0,$C$69)</f>
        <v>0</v>
      </c>
      <c r="U69" s="540">
        <f>IF(U6&lt;Titullapa!$D$11,0,$C$69)</f>
        <v>0</v>
      </c>
      <c r="V69" s="540">
        <f>IF(V6&lt;Titullapa!$D$11,0,$C$69)</f>
        <v>0</v>
      </c>
      <c r="W69" s="540">
        <f>IF(W6&lt;Titullapa!$D$11,0,$C$69)</f>
        <v>0</v>
      </c>
      <c r="X69" s="540">
        <f>IF(X6&lt;Titullapa!$D$11,0,$C$69)</f>
        <v>0</v>
      </c>
      <c r="Y69" s="540">
        <f>IF(Y6&lt;Titullapa!$D$11,0,$C$69)</f>
        <v>0</v>
      </c>
      <c r="Z69" s="540">
        <f>IF(Z6&lt;Titullapa!$D$11,0,$C$69)</f>
        <v>0</v>
      </c>
      <c r="AA69" s="540">
        <f>IF(AA6&lt;Titullapa!$D$11,0,$C$69)</f>
        <v>0</v>
      </c>
      <c r="AB69" s="540">
        <f>IF(AB6&lt;Titullapa!$D$11,0,$C$69)</f>
        <v>0</v>
      </c>
      <c r="AC69" s="540">
        <f>IF(AC6&lt;Titullapa!$D$11,0,$C$69)</f>
        <v>0</v>
      </c>
      <c r="AD69" s="540"/>
    </row>
    <row r="70" spans="1:30" s="526" customFormat="1" ht="12.75" x14ac:dyDescent="0.2">
      <c r="A70" s="543"/>
      <c r="B70" s="404" t="s">
        <v>65</v>
      </c>
      <c r="C70" s="761">
        <v>0.05</v>
      </c>
      <c r="D70" s="540">
        <v>0</v>
      </c>
      <c r="E70" s="540">
        <f>IF(D72&gt;0,IF(E69-D69&gt;0,0,$C$70*E69),0)</f>
        <v>0</v>
      </c>
      <c r="F70" s="540">
        <f t="shared" ref="F70:AC70" si="24">IF(E72&gt;0,IF(F69-E69&gt;0,0,$C$70*F69),0)</f>
        <v>0</v>
      </c>
      <c r="G70" s="540">
        <f t="shared" si="24"/>
        <v>0</v>
      </c>
      <c r="H70" s="540">
        <f t="shared" si="24"/>
        <v>0</v>
      </c>
      <c r="I70" s="540">
        <f t="shared" si="24"/>
        <v>0</v>
      </c>
      <c r="J70" s="540">
        <f t="shared" si="24"/>
        <v>0</v>
      </c>
      <c r="K70" s="540">
        <f t="shared" si="24"/>
        <v>0</v>
      </c>
      <c r="L70" s="540">
        <f t="shared" si="24"/>
        <v>0</v>
      </c>
      <c r="M70" s="540">
        <f t="shared" si="24"/>
        <v>0</v>
      </c>
      <c r="N70" s="540">
        <f t="shared" si="24"/>
        <v>0</v>
      </c>
      <c r="O70" s="540">
        <f t="shared" si="24"/>
        <v>0</v>
      </c>
      <c r="P70" s="540">
        <f t="shared" si="24"/>
        <v>0</v>
      </c>
      <c r="Q70" s="540">
        <f t="shared" si="24"/>
        <v>0</v>
      </c>
      <c r="R70" s="540">
        <f t="shared" si="24"/>
        <v>0</v>
      </c>
      <c r="S70" s="540">
        <f t="shared" si="24"/>
        <v>0</v>
      </c>
      <c r="T70" s="540">
        <f t="shared" si="24"/>
        <v>0</v>
      </c>
      <c r="U70" s="540">
        <f t="shared" si="24"/>
        <v>0</v>
      </c>
      <c r="V70" s="540">
        <f t="shared" si="24"/>
        <v>0</v>
      </c>
      <c r="W70" s="540">
        <f t="shared" si="24"/>
        <v>0</v>
      </c>
      <c r="X70" s="540">
        <f t="shared" si="24"/>
        <v>0</v>
      </c>
      <c r="Y70" s="540">
        <f t="shared" si="24"/>
        <v>0</v>
      </c>
      <c r="Z70" s="540">
        <f t="shared" si="24"/>
        <v>0</v>
      </c>
      <c r="AA70" s="540">
        <f t="shared" si="24"/>
        <v>0</v>
      </c>
      <c r="AB70" s="540">
        <f t="shared" si="24"/>
        <v>0</v>
      </c>
      <c r="AC70" s="540">
        <f t="shared" si="24"/>
        <v>0</v>
      </c>
      <c r="AD70" s="540"/>
    </row>
    <row r="71" spans="1:30" s="520" customFormat="1" ht="12.75" x14ac:dyDescent="0.2">
      <c r="A71" s="543"/>
      <c r="B71" s="404" t="s">
        <v>66</v>
      </c>
      <c r="C71" s="587"/>
      <c r="D71" s="540">
        <f>D70</f>
        <v>0</v>
      </c>
      <c r="E71" s="540">
        <f>D71+E70</f>
        <v>0</v>
      </c>
      <c r="F71" s="540">
        <f t="shared" ref="F71:AC71" si="25">E71+F70</f>
        <v>0</v>
      </c>
      <c r="G71" s="540">
        <f t="shared" si="25"/>
        <v>0</v>
      </c>
      <c r="H71" s="540">
        <f t="shared" si="25"/>
        <v>0</v>
      </c>
      <c r="I71" s="540">
        <f t="shared" si="25"/>
        <v>0</v>
      </c>
      <c r="J71" s="540">
        <f t="shared" si="25"/>
        <v>0</v>
      </c>
      <c r="K71" s="540">
        <f t="shared" si="25"/>
        <v>0</v>
      </c>
      <c r="L71" s="540">
        <f t="shared" si="25"/>
        <v>0</v>
      </c>
      <c r="M71" s="540">
        <f t="shared" si="25"/>
        <v>0</v>
      </c>
      <c r="N71" s="540">
        <f t="shared" si="25"/>
        <v>0</v>
      </c>
      <c r="O71" s="540">
        <f t="shared" si="25"/>
        <v>0</v>
      </c>
      <c r="P71" s="540">
        <f t="shared" si="25"/>
        <v>0</v>
      </c>
      <c r="Q71" s="540">
        <f t="shared" si="25"/>
        <v>0</v>
      </c>
      <c r="R71" s="540">
        <f t="shared" si="25"/>
        <v>0</v>
      </c>
      <c r="S71" s="540">
        <f t="shared" si="25"/>
        <v>0</v>
      </c>
      <c r="T71" s="540">
        <f t="shared" si="25"/>
        <v>0</v>
      </c>
      <c r="U71" s="540">
        <f t="shared" si="25"/>
        <v>0</v>
      </c>
      <c r="V71" s="540">
        <f t="shared" si="25"/>
        <v>0</v>
      </c>
      <c r="W71" s="540">
        <f t="shared" si="25"/>
        <v>0</v>
      </c>
      <c r="X71" s="540">
        <f t="shared" si="25"/>
        <v>0</v>
      </c>
      <c r="Y71" s="540">
        <f t="shared" si="25"/>
        <v>0</v>
      </c>
      <c r="Z71" s="540">
        <f t="shared" si="25"/>
        <v>0</v>
      </c>
      <c r="AA71" s="540">
        <f t="shared" si="25"/>
        <v>0</v>
      </c>
      <c r="AB71" s="540">
        <f t="shared" si="25"/>
        <v>0</v>
      </c>
      <c r="AC71" s="540">
        <f t="shared" si="25"/>
        <v>0</v>
      </c>
      <c r="AD71" s="540"/>
    </row>
    <row r="72" spans="1:30" s="520" customFormat="1" ht="12.75" x14ac:dyDescent="0.2">
      <c r="A72" s="543"/>
      <c r="B72" s="404" t="s">
        <v>67</v>
      </c>
      <c r="C72" s="587"/>
      <c r="D72" s="540">
        <f>ROUND(IF(D69-D71&gt;0,D69-D71,0),0)</f>
        <v>0</v>
      </c>
      <c r="E72" s="540">
        <f t="shared" ref="E72:AC72" si="26">ROUND(IF(E69-E71&gt;0,E69-E71,0),0)</f>
        <v>0</v>
      </c>
      <c r="F72" s="540">
        <f t="shared" si="26"/>
        <v>0</v>
      </c>
      <c r="G72" s="540">
        <f t="shared" si="26"/>
        <v>0</v>
      </c>
      <c r="H72" s="540">
        <f t="shared" si="26"/>
        <v>0</v>
      </c>
      <c r="I72" s="540">
        <f t="shared" si="26"/>
        <v>0</v>
      </c>
      <c r="J72" s="540">
        <f t="shared" si="26"/>
        <v>0</v>
      </c>
      <c r="K72" s="540">
        <f t="shared" si="26"/>
        <v>0</v>
      </c>
      <c r="L72" s="540">
        <f t="shared" si="26"/>
        <v>0</v>
      </c>
      <c r="M72" s="540">
        <f t="shared" si="26"/>
        <v>0</v>
      </c>
      <c r="N72" s="540">
        <f t="shared" si="26"/>
        <v>0</v>
      </c>
      <c r="O72" s="540">
        <f t="shared" si="26"/>
        <v>0</v>
      </c>
      <c r="P72" s="540">
        <f t="shared" si="26"/>
        <v>0</v>
      </c>
      <c r="Q72" s="540">
        <f t="shared" si="26"/>
        <v>0</v>
      </c>
      <c r="R72" s="540">
        <f t="shared" si="26"/>
        <v>0</v>
      </c>
      <c r="S72" s="540">
        <f t="shared" si="26"/>
        <v>0</v>
      </c>
      <c r="T72" s="540">
        <f t="shared" si="26"/>
        <v>0</v>
      </c>
      <c r="U72" s="540">
        <f t="shared" si="26"/>
        <v>0</v>
      </c>
      <c r="V72" s="540">
        <f t="shared" si="26"/>
        <v>0</v>
      </c>
      <c r="W72" s="540">
        <f t="shared" si="26"/>
        <v>0</v>
      </c>
      <c r="X72" s="540">
        <f t="shared" si="26"/>
        <v>0</v>
      </c>
      <c r="Y72" s="540">
        <f t="shared" si="26"/>
        <v>0</v>
      </c>
      <c r="Z72" s="540">
        <f t="shared" si="26"/>
        <v>0</v>
      </c>
      <c r="AA72" s="540">
        <f t="shared" si="26"/>
        <v>0</v>
      </c>
      <c r="AB72" s="540">
        <f t="shared" si="26"/>
        <v>0</v>
      </c>
      <c r="AC72" s="540">
        <f t="shared" si="26"/>
        <v>0</v>
      </c>
      <c r="AD72" s="540"/>
    </row>
    <row r="73" spans="1:30" s="520" customFormat="1" ht="12.75" x14ac:dyDescent="0.2">
      <c r="A73" s="543"/>
      <c r="B73" s="597" t="s">
        <v>58</v>
      </c>
      <c r="C73" s="587"/>
      <c r="D73" s="540"/>
      <c r="E73" s="540"/>
      <c r="F73" s="540"/>
      <c r="G73" s="540"/>
      <c r="H73" s="540"/>
      <c r="I73" s="540"/>
      <c r="J73" s="540"/>
      <c r="K73" s="540"/>
      <c r="L73" s="540"/>
      <c r="M73" s="540"/>
      <c r="N73" s="540"/>
      <c r="O73" s="540"/>
      <c r="P73" s="540"/>
      <c r="Q73" s="540"/>
      <c r="R73" s="540"/>
      <c r="S73" s="540"/>
      <c r="T73" s="540"/>
      <c r="U73" s="540"/>
      <c r="V73" s="540"/>
      <c r="W73" s="540"/>
      <c r="X73" s="540"/>
      <c r="Y73" s="540"/>
      <c r="Z73" s="540"/>
      <c r="AA73" s="540"/>
      <c r="AB73" s="540"/>
      <c r="AC73" s="540"/>
      <c r="AD73" s="540"/>
    </row>
    <row r="74" spans="1:30" s="526" customFormat="1" ht="12.75" x14ac:dyDescent="0.2">
      <c r="A74" s="543"/>
      <c r="B74" s="404" t="s">
        <v>64</v>
      </c>
      <c r="C74" s="522"/>
      <c r="D74" s="540">
        <f>IF(D6&lt;Titullapa!$D$11,0,$C$74)</f>
        <v>0</v>
      </c>
      <c r="E74" s="540">
        <f>IF(E6&lt;Titullapa!$D$11,0,$C$74)</f>
        <v>0</v>
      </c>
      <c r="F74" s="540">
        <f>IF(F6&lt;Titullapa!$D$11,0,$C$74)</f>
        <v>0</v>
      </c>
      <c r="G74" s="540">
        <f>IF(G6&lt;Titullapa!$D$11,0,$C$74)</f>
        <v>0</v>
      </c>
      <c r="H74" s="540">
        <f>IF(H6&lt;Titullapa!$D$11,0,$C$74)</f>
        <v>0</v>
      </c>
      <c r="I74" s="540">
        <f>IF(I6&lt;Titullapa!$D$11,0,$C$74)</f>
        <v>0</v>
      </c>
      <c r="J74" s="540">
        <f>IF(J6&lt;Titullapa!$D$11,0,$C$74)</f>
        <v>0</v>
      </c>
      <c r="K74" s="540">
        <f>IF(K6&lt;Titullapa!$D$11,0,$C$74)</f>
        <v>0</v>
      </c>
      <c r="L74" s="540">
        <f>IF(L6&lt;Titullapa!$D$11,0,$C$74)</f>
        <v>0</v>
      </c>
      <c r="M74" s="540">
        <f>IF(M6&lt;Titullapa!$D$11,0,$C$74)</f>
        <v>0</v>
      </c>
      <c r="N74" s="540">
        <f>IF(N6&lt;Titullapa!$D$11,0,$C$74)</f>
        <v>0</v>
      </c>
      <c r="O74" s="540">
        <f>IF(O6&lt;Titullapa!$D$11,0,$C$74)</f>
        <v>0</v>
      </c>
      <c r="P74" s="540">
        <f>IF(P6&lt;Titullapa!$D$11,0,$C$74)</f>
        <v>0</v>
      </c>
      <c r="Q74" s="540">
        <f>IF(Q6&lt;Titullapa!$D$11,0,$C$74)</f>
        <v>0</v>
      </c>
      <c r="R74" s="540">
        <f>IF(R6&lt;Titullapa!$D$11,0,$C$74)</f>
        <v>0</v>
      </c>
      <c r="S74" s="540">
        <f>IF(S6&lt;Titullapa!$D$11,0,$C$74)</f>
        <v>0</v>
      </c>
      <c r="T74" s="540">
        <f>IF(T6&lt;Titullapa!$D$11,0,$C$74)</f>
        <v>0</v>
      </c>
      <c r="U74" s="540">
        <f>IF(U6&lt;Titullapa!$D$11,0,$C$74)</f>
        <v>0</v>
      </c>
      <c r="V74" s="540">
        <f>IF(V6&lt;Titullapa!$D$11,0,$C$74)</f>
        <v>0</v>
      </c>
      <c r="W74" s="540">
        <f>IF(W6&lt;Titullapa!$D$11,0,$C$74)</f>
        <v>0</v>
      </c>
      <c r="X74" s="540">
        <f>IF(X6&lt;Titullapa!$D$11,0,$C$74)</f>
        <v>0</v>
      </c>
      <c r="Y74" s="540">
        <f>IF(Y6&lt;Titullapa!$D$11,0,$C$74)</f>
        <v>0</v>
      </c>
      <c r="Z74" s="540">
        <f>IF(Z6&lt;Titullapa!$D$11,0,$C$74)</f>
        <v>0</v>
      </c>
      <c r="AA74" s="540">
        <f>IF(AA6&lt;Titullapa!$D$11,0,$C$74)</f>
        <v>0</v>
      </c>
      <c r="AB74" s="540">
        <f>IF(AB6&lt;Titullapa!$D$11,0,$C$74)</f>
        <v>0</v>
      </c>
      <c r="AC74" s="540">
        <f>IF(AC6&lt;Titullapa!$D$11,0,$C$74)</f>
        <v>0</v>
      </c>
      <c r="AD74" s="540"/>
    </row>
    <row r="75" spans="1:30" s="526" customFormat="1" ht="12.75" x14ac:dyDescent="0.2">
      <c r="A75" s="543"/>
      <c r="B75" s="404" t="s">
        <v>65</v>
      </c>
      <c r="C75" s="761">
        <v>0.2</v>
      </c>
      <c r="D75" s="540">
        <v>0</v>
      </c>
      <c r="E75" s="540">
        <f>IF(D77&gt;0,IF(E74-D74&gt;0,0,$C$75*E74),0)</f>
        <v>0</v>
      </c>
      <c r="F75" s="540">
        <f t="shared" ref="F75:AC75" si="27">IF(E77&gt;0,IF(F74-E74&gt;0,0,$C$75*F74),0)</f>
        <v>0</v>
      </c>
      <c r="G75" s="540">
        <f t="shared" si="27"/>
        <v>0</v>
      </c>
      <c r="H75" s="540">
        <f t="shared" si="27"/>
        <v>0</v>
      </c>
      <c r="I75" s="540">
        <f t="shared" si="27"/>
        <v>0</v>
      </c>
      <c r="J75" s="540">
        <f t="shared" si="27"/>
        <v>0</v>
      </c>
      <c r="K75" s="540">
        <f t="shared" si="27"/>
        <v>0</v>
      </c>
      <c r="L75" s="540">
        <f t="shared" si="27"/>
        <v>0</v>
      </c>
      <c r="M75" s="540">
        <f t="shared" si="27"/>
        <v>0</v>
      </c>
      <c r="N75" s="540">
        <f t="shared" si="27"/>
        <v>0</v>
      </c>
      <c r="O75" s="540">
        <f t="shared" si="27"/>
        <v>0</v>
      </c>
      <c r="P75" s="540">
        <f t="shared" si="27"/>
        <v>0</v>
      </c>
      <c r="Q75" s="540">
        <f t="shared" si="27"/>
        <v>0</v>
      </c>
      <c r="R75" s="540">
        <f t="shared" si="27"/>
        <v>0</v>
      </c>
      <c r="S75" s="540">
        <f t="shared" si="27"/>
        <v>0</v>
      </c>
      <c r="T75" s="540">
        <f t="shared" si="27"/>
        <v>0</v>
      </c>
      <c r="U75" s="540">
        <f t="shared" si="27"/>
        <v>0</v>
      </c>
      <c r="V75" s="540">
        <f t="shared" si="27"/>
        <v>0</v>
      </c>
      <c r="W75" s="540">
        <f t="shared" si="27"/>
        <v>0</v>
      </c>
      <c r="X75" s="540">
        <f t="shared" si="27"/>
        <v>0</v>
      </c>
      <c r="Y75" s="540">
        <f t="shared" si="27"/>
        <v>0</v>
      </c>
      <c r="Z75" s="540">
        <f t="shared" si="27"/>
        <v>0</v>
      </c>
      <c r="AA75" s="540">
        <f t="shared" si="27"/>
        <v>0</v>
      </c>
      <c r="AB75" s="540">
        <f t="shared" si="27"/>
        <v>0</v>
      </c>
      <c r="AC75" s="540">
        <f t="shared" si="27"/>
        <v>0</v>
      </c>
      <c r="AD75" s="540"/>
    </row>
    <row r="76" spans="1:30" s="520" customFormat="1" ht="12.75" x14ac:dyDescent="0.2">
      <c r="A76" s="543"/>
      <c r="B76" s="404" t="s">
        <v>66</v>
      </c>
      <c r="C76" s="587"/>
      <c r="D76" s="540">
        <f>D75</f>
        <v>0</v>
      </c>
      <c r="E76" s="540">
        <f>D76+E75</f>
        <v>0</v>
      </c>
      <c r="F76" s="540">
        <f t="shared" ref="F76" si="28">E76+F75</f>
        <v>0</v>
      </c>
      <c r="G76" s="540">
        <f t="shared" ref="G76" si="29">F76+G75</f>
        <v>0</v>
      </c>
      <c r="H76" s="540">
        <f t="shared" ref="H76" si="30">G76+H75</f>
        <v>0</v>
      </c>
      <c r="I76" s="540">
        <f t="shared" ref="I76" si="31">H76+I75</f>
        <v>0</v>
      </c>
      <c r="J76" s="540">
        <f t="shared" ref="J76" si="32">I76+J75</f>
        <v>0</v>
      </c>
      <c r="K76" s="540">
        <f t="shared" ref="K76" si="33">J76+K75</f>
        <v>0</v>
      </c>
      <c r="L76" s="540">
        <f t="shared" ref="L76" si="34">K76+L75</f>
        <v>0</v>
      </c>
      <c r="M76" s="540">
        <f t="shared" ref="M76" si="35">L76+M75</f>
        <v>0</v>
      </c>
      <c r="N76" s="540">
        <f t="shared" ref="N76" si="36">M76+N75</f>
        <v>0</v>
      </c>
      <c r="O76" s="540">
        <f t="shared" ref="O76" si="37">N76+O75</f>
        <v>0</v>
      </c>
      <c r="P76" s="540">
        <f t="shared" ref="P76" si="38">O76+P75</f>
        <v>0</v>
      </c>
      <c r="Q76" s="540">
        <f t="shared" ref="Q76" si="39">P76+Q75</f>
        <v>0</v>
      </c>
      <c r="R76" s="540">
        <f t="shared" ref="R76" si="40">Q76+R75</f>
        <v>0</v>
      </c>
      <c r="S76" s="540">
        <f t="shared" ref="S76" si="41">R76+S75</f>
        <v>0</v>
      </c>
      <c r="T76" s="540">
        <f t="shared" ref="T76" si="42">S76+T75</f>
        <v>0</v>
      </c>
      <c r="U76" s="540">
        <f t="shared" ref="U76" si="43">T76+U75</f>
        <v>0</v>
      </c>
      <c r="V76" s="540">
        <f t="shared" ref="V76" si="44">U76+V75</f>
        <v>0</v>
      </c>
      <c r="W76" s="540">
        <f t="shared" ref="W76" si="45">V76+W75</f>
        <v>0</v>
      </c>
      <c r="X76" s="540">
        <f t="shared" ref="X76" si="46">W76+X75</f>
        <v>0</v>
      </c>
      <c r="Y76" s="540">
        <f t="shared" ref="Y76" si="47">X76+Y75</f>
        <v>0</v>
      </c>
      <c r="Z76" s="540">
        <f t="shared" ref="Z76" si="48">Y76+Z75</f>
        <v>0</v>
      </c>
      <c r="AA76" s="540">
        <f t="shared" ref="AA76" si="49">Z76+AA75</f>
        <v>0</v>
      </c>
      <c r="AB76" s="540">
        <f t="shared" ref="AB76" si="50">AA76+AB75</f>
        <v>0</v>
      </c>
      <c r="AC76" s="540">
        <f t="shared" ref="AC76" si="51">AB76+AC75</f>
        <v>0</v>
      </c>
      <c r="AD76" s="540"/>
    </row>
    <row r="77" spans="1:30" s="520" customFormat="1" ht="12.75" x14ac:dyDescent="0.2">
      <c r="A77" s="543"/>
      <c r="B77" s="404" t="s">
        <v>67</v>
      </c>
      <c r="C77" s="587"/>
      <c r="D77" s="540">
        <f>ROUND(IF(D74-D76&gt;0,D74-D76,0),0)</f>
        <v>0</v>
      </c>
      <c r="E77" s="540">
        <f t="shared" ref="E77" si="52">ROUND(IF(E74-E76&gt;0,E74-E76,0),0)</f>
        <v>0</v>
      </c>
      <c r="F77" s="540">
        <f t="shared" ref="F77" si="53">ROUND(IF(F74-F76&gt;0,F74-F76,0),0)</f>
        <v>0</v>
      </c>
      <c r="G77" s="540">
        <f t="shared" ref="G77" si="54">ROUND(IF(G74-G76&gt;0,G74-G76,0),0)</f>
        <v>0</v>
      </c>
      <c r="H77" s="540">
        <f t="shared" ref="H77" si="55">ROUND(IF(H74-H76&gt;0,H74-H76,0),0)</f>
        <v>0</v>
      </c>
      <c r="I77" s="540">
        <f t="shared" ref="I77" si="56">ROUND(IF(I74-I76&gt;0,I74-I76,0),0)</f>
        <v>0</v>
      </c>
      <c r="J77" s="540">
        <f t="shared" ref="J77" si="57">ROUND(IF(J74-J76&gt;0,J74-J76,0),0)</f>
        <v>0</v>
      </c>
      <c r="K77" s="540">
        <f t="shared" ref="K77" si="58">ROUND(IF(K74-K76&gt;0,K74-K76,0),0)</f>
        <v>0</v>
      </c>
      <c r="L77" s="540">
        <f t="shared" ref="L77" si="59">ROUND(IF(L74-L76&gt;0,L74-L76,0),0)</f>
        <v>0</v>
      </c>
      <c r="M77" s="540">
        <f t="shared" ref="M77" si="60">ROUND(IF(M74-M76&gt;0,M74-M76,0),0)</f>
        <v>0</v>
      </c>
      <c r="N77" s="540">
        <f t="shared" ref="N77" si="61">ROUND(IF(N74-N76&gt;0,N74-N76,0),0)</f>
        <v>0</v>
      </c>
      <c r="O77" s="540">
        <f t="shared" ref="O77" si="62">ROUND(IF(O74-O76&gt;0,O74-O76,0),0)</f>
        <v>0</v>
      </c>
      <c r="P77" s="540">
        <f t="shared" ref="P77" si="63">ROUND(IF(P74-P76&gt;0,P74-P76,0),0)</f>
        <v>0</v>
      </c>
      <c r="Q77" s="540">
        <f t="shared" ref="Q77" si="64">ROUND(IF(Q74-Q76&gt;0,Q74-Q76,0),0)</f>
        <v>0</v>
      </c>
      <c r="R77" s="540">
        <f t="shared" ref="R77" si="65">ROUND(IF(R74-R76&gt;0,R74-R76,0),0)</f>
        <v>0</v>
      </c>
      <c r="S77" s="540">
        <f t="shared" ref="S77" si="66">ROUND(IF(S74-S76&gt;0,S74-S76,0),0)</f>
        <v>0</v>
      </c>
      <c r="T77" s="540">
        <f t="shared" ref="T77" si="67">ROUND(IF(T74-T76&gt;0,T74-T76,0),0)</f>
        <v>0</v>
      </c>
      <c r="U77" s="540">
        <f t="shared" ref="U77" si="68">ROUND(IF(U74-U76&gt;0,U74-U76,0),0)</f>
        <v>0</v>
      </c>
      <c r="V77" s="540">
        <f t="shared" ref="V77" si="69">ROUND(IF(V74-V76&gt;0,V74-V76,0),0)</f>
        <v>0</v>
      </c>
      <c r="W77" s="540">
        <f t="shared" ref="W77" si="70">ROUND(IF(W74-W76&gt;0,W74-W76,0),0)</f>
        <v>0</v>
      </c>
      <c r="X77" s="540">
        <f t="shared" ref="X77" si="71">ROUND(IF(X74-X76&gt;0,X74-X76,0),0)</f>
        <v>0</v>
      </c>
      <c r="Y77" s="540">
        <f t="shared" ref="Y77" si="72">ROUND(IF(Y74-Y76&gt;0,Y74-Y76,0),0)</f>
        <v>0</v>
      </c>
      <c r="Z77" s="540">
        <f t="shared" ref="Z77" si="73">ROUND(IF(Z74-Z76&gt;0,Z74-Z76,0),0)</f>
        <v>0</v>
      </c>
      <c r="AA77" s="540">
        <f t="shared" ref="AA77" si="74">ROUND(IF(AA74-AA76&gt;0,AA74-AA76,0),0)</f>
        <v>0</v>
      </c>
      <c r="AB77" s="540">
        <f t="shared" ref="AB77" si="75">ROUND(IF(AB74-AB76&gt;0,AB74-AB76,0),0)</f>
        <v>0</v>
      </c>
      <c r="AC77" s="540">
        <f t="shared" ref="AC77" si="76">ROUND(IF(AC74-AC76&gt;0,AC74-AC76,0),0)</f>
        <v>0</v>
      </c>
      <c r="AD77" s="540"/>
    </row>
    <row r="78" spans="1:30" s="537" customFormat="1" ht="12.75" x14ac:dyDescent="0.2">
      <c r="A78" s="545"/>
      <c r="B78" s="545" t="s">
        <v>263</v>
      </c>
      <c r="C78" s="532"/>
      <c r="D78" s="535">
        <f>D70+D75</f>
        <v>0</v>
      </c>
      <c r="E78" s="535">
        <f t="shared" ref="E78:AC78" si="77">E70+E75</f>
        <v>0</v>
      </c>
      <c r="F78" s="535">
        <f t="shared" si="77"/>
        <v>0</v>
      </c>
      <c r="G78" s="535">
        <f t="shared" si="77"/>
        <v>0</v>
      </c>
      <c r="H78" s="535">
        <f t="shared" si="77"/>
        <v>0</v>
      </c>
      <c r="I78" s="535">
        <f t="shared" si="77"/>
        <v>0</v>
      </c>
      <c r="J78" s="535">
        <f t="shared" si="77"/>
        <v>0</v>
      </c>
      <c r="K78" s="535">
        <f t="shared" si="77"/>
        <v>0</v>
      </c>
      <c r="L78" s="535">
        <f t="shared" si="77"/>
        <v>0</v>
      </c>
      <c r="M78" s="535">
        <f t="shared" si="77"/>
        <v>0</v>
      </c>
      <c r="N78" s="535">
        <f t="shared" si="77"/>
        <v>0</v>
      </c>
      <c r="O78" s="535">
        <f t="shared" si="77"/>
        <v>0</v>
      </c>
      <c r="P78" s="535">
        <f t="shared" si="77"/>
        <v>0</v>
      </c>
      <c r="Q78" s="535">
        <f t="shared" si="77"/>
        <v>0</v>
      </c>
      <c r="R78" s="535">
        <f t="shared" si="77"/>
        <v>0</v>
      </c>
      <c r="S78" s="535">
        <f t="shared" si="77"/>
        <v>0</v>
      </c>
      <c r="T78" s="535">
        <f t="shared" si="77"/>
        <v>0</v>
      </c>
      <c r="U78" s="535">
        <f t="shared" si="77"/>
        <v>0</v>
      </c>
      <c r="V78" s="535">
        <f t="shared" si="77"/>
        <v>0</v>
      </c>
      <c r="W78" s="535">
        <f t="shared" si="77"/>
        <v>0</v>
      </c>
      <c r="X78" s="535">
        <f t="shared" si="77"/>
        <v>0</v>
      </c>
      <c r="Y78" s="535">
        <f t="shared" si="77"/>
        <v>0</v>
      </c>
      <c r="Z78" s="535">
        <f t="shared" si="77"/>
        <v>0</v>
      </c>
      <c r="AA78" s="535">
        <f t="shared" si="77"/>
        <v>0</v>
      </c>
      <c r="AB78" s="535">
        <f t="shared" si="77"/>
        <v>0</v>
      </c>
      <c r="AC78" s="535">
        <f t="shared" si="77"/>
        <v>0</v>
      </c>
      <c r="AD78" s="532"/>
    </row>
    <row r="79" spans="1:30" s="428" customFormat="1" x14ac:dyDescent="0.25">
      <c r="A79" s="655"/>
      <c r="B79" s="655"/>
    </row>
    <row r="80" spans="1:30" s="537" customFormat="1" ht="12.75" x14ac:dyDescent="0.2">
      <c r="A80" s="532" t="s">
        <v>37</v>
      </c>
      <c r="B80" s="758" t="s">
        <v>501</v>
      </c>
      <c r="C80" s="532" t="s">
        <v>20</v>
      </c>
      <c r="D80" s="532">
        <f>'2.DL Naudas plūsma bez projekta'!D71</f>
        <v>68</v>
      </c>
      <c r="E80" s="532">
        <f t="shared" ref="E80:AC80" si="78">E84+E83</f>
        <v>49.12</v>
      </c>
      <c r="F80" s="532">
        <f t="shared" si="78"/>
        <v>36.119999999999997</v>
      </c>
      <c r="G80" s="532">
        <f t="shared" si="78"/>
        <v>36.32</v>
      </c>
      <c r="H80" s="532">
        <f t="shared" si="78"/>
        <v>56.3</v>
      </c>
      <c r="I80" s="532">
        <f t="shared" si="78"/>
        <v>56.28</v>
      </c>
      <c r="J80" s="532">
        <f t="shared" si="78"/>
        <v>56.26</v>
      </c>
      <c r="K80" s="532">
        <f t="shared" si="78"/>
        <v>56.24</v>
      </c>
      <c r="L80" s="532">
        <f t="shared" si="78"/>
        <v>56.22</v>
      </c>
      <c r="M80" s="532">
        <f t="shared" si="78"/>
        <v>56.2</v>
      </c>
      <c r="N80" s="532">
        <f t="shared" si="78"/>
        <v>56.18</v>
      </c>
      <c r="O80" s="532">
        <f t="shared" si="78"/>
        <v>56.16</v>
      </c>
      <c r="P80" s="532">
        <f t="shared" si="78"/>
        <v>56.14</v>
      </c>
      <c r="Q80" s="532">
        <f t="shared" si="78"/>
        <v>56.12</v>
      </c>
      <c r="R80" s="532">
        <f t="shared" si="78"/>
        <v>56.12</v>
      </c>
      <c r="S80" s="532">
        <f t="shared" si="78"/>
        <v>56.12</v>
      </c>
      <c r="T80" s="532">
        <f t="shared" si="78"/>
        <v>56.12</v>
      </c>
      <c r="U80" s="532">
        <f t="shared" si="78"/>
        <v>56.12</v>
      </c>
      <c r="V80" s="532">
        <f t="shared" si="78"/>
        <v>56.12</v>
      </c>
      <c r="W80" s="532">
        <f t="shared" si="78"/>
        <v>56.12</v>
      </c>
      <c r="X80" s="532">
        <f t="shared" si="78"/>
        <v>56.12</v>
      </c>
      <c r="Y80" s="532">
        <f t="shared" si="78"/>
        <v>56.12</v>
      </c>
      <c r="Z80" s="532">
        <f t="shared" si="78"/>
        <v>56.12</v>
      </c>
      <c r="AA80" s="532">
        <f t="shared" si="78"/>
        <v>56.12</v>
      </c>
      <c r="AB80" s="532">
        <f t="shared" si="78"/>
        <v>56.12</v>
      </c>
      <c r="AC80" s="532">
        <f t="shared" si="78"/>
        <v>56.12</v>
      </c>
      <c r="AD80" s="532"/>
    </row>
    <row r="81" spans="1:30" s="514" customFormat="1" ht="12.75" x14ac:dyDescent="0.2">
      <c r="A81" s="516"/>
      <c r="B81" s="516" t="s">
        <v>510</v>
      </c>
      <c r="C81" s="516" t="s">
        <v>513</v>
      </c>
      <c r="D81" s="532">
        <f>'2.DL Naudas plūsma bez projekta'!D72</f>
        <v>0</v>
      </c>
      <c r="E81" s="516">
        <f>ROUND((E27+E78*Titullapa!$B$23+'2.DL Naudas plūsma bez projekta'!D69*Titullapa!$B$22-SUM(E15:E19)+'4.DL Projekta_finansiala_ilgtsp'!F32)/E8,2)</f>
        <v>36.119999999999997</v>
      </c>
      <c r="F81" s="516">
        <f>ROUND((F27+F78*Titullapa!$B$23+'2.DL Naudas plūsma bez projekta'!E69*Titullapa!$B$22-SUM(F15:F19)+'4.DL Projekta_finansiala_ilgtsp'!G32)/F8,2)</f>
        <v>36.119999999999997</v>
      </c>
      <c r="G81" s="516">
        <f>ROUND((G27+G78*Titullapa!$B$23+'2.DL Naudas plūsma bez projekta'!F69*Titullapa!$B$22-SUM(G15:G19)+'4.DL Projekta_finansiala_ilgtsp'!H32)/G8,2)</f>
        <v>36.32</v>
      </c>
      <c r="H81" s="516">
        <f>ROUND((H27+H78*Titullapa!$B$23+'2.DL Naudas plūsma bez projekta'!G69*Titullapa!$B$22-SUM(H15:H19)+'4.DL Projekta_finansiala_ilgtsp'!I32)/H8,2)</f>
        <v>56.3</v>
      </c>
      <c r="I81" s="516">
        <f>ROUND((I27+I78*Titullapa!$B$23+'2.DL Naudas plūsma bez projekta'!H69*Titullapa!$B$22-SUM(I15:I19)+'4.DL Projekta_finansiala_ilgtsp'!J32)/I8,2)</f>
        <v>56.28</v>
      </c>
      <c r="J81" s="516">
        <f>ROUND((J27+J78*Titullapa!$B$23+'2.DL Naudas plūsma bez projekta'!I69*Titullapa!$B$22-SUM(J15:J19)+'4.DL Projekta_finansiala_ilgtsp'!K32)/J8,2)</f>
        <v>56.26</v>
      </c>
      <c r="K81" s="516">
        <f>ROUND((K27+K78*Titullapa!$B$23+'2.DL Naudas plūsma bez projekta'!J69*Titullapa!$B$22-SUM(K15:K19)+'4.DL Projekta_finansiala_ilgtsp'!L32)/K8,2)</f>
        <v>56.24</v>
      </c>
      <c r="L81" s="516">
        <f>ROUND((L27+L78*Titullapa!$B$23+'2.DL Naudas plūsma bez projekta'!K69*Titullapa!$B$22-SUM(L15:L19)+'4.DL Projekta_finansiala_ilgtsp'!M32)/L8,2)</f>
        <v>56.22</v>
      </c>
      <c r="M81" s="516">
        <f>ROUND((M27+M78*Titullapa!$B$23+'2.DL Naudas plūsma bez projekta'!L69*Titullapa!$B$22-SUM(M15:M19)+'4.DL Projekta_finansiala_ilgtsp'!N32)/M8,2)</f>
        <v>56.2</v>
      </c>
      <c r="N81" s="516">
        <f>ROUND((N27+N78*Titullapa!$B$23+'2.DL Naudas plūsma bez projekta'!M69*Titullapa!$B$22-SUM(N15:N19)+'4.DL Projekta_finansiala_ilgtsp'!O32)/N8,2)</f>
        <v>56.18</v>
      </c>
      <c r="O81" s="516">
        <f>ROUND((O27+O78*Titullapa!$B$23+'2.DL Naudas plūsma bez projekta'!N69*Titullapa!$B$22-SUM(O15:O19)+'4.DL Projekta_finansiala_ilgtsp'!P32)/O8,2)</f>
        <v>56.16</v>
      </c>
      <c r="P81" s="516">
        <f>ROUND((P27+P78*Titullapa!$B$23+'2.DL Naudas plūsma bez projekta'!O69*Titullapa!$B$22-SUM(P15:P19)+'4.DL Projekta_finansiala_ilgtsp'!Q32)/P8,2)</f>
        <v>56.14</v>
      </c>
      <c r="Q81" s="516">
        <f>ROUND((Q27+Q78*Titullapa!$B$23+'2.DL Naudas plūsma bez projekta'!P69*Titullapa!$B$22-SUM(Q15:Q19)+'4.DL Projekta_finansiala_ilgtsp'!R32)/Q8,2)</f>
        <v>56.12</v>
      </c>
      <c r="R81" s="516">
        <f>ROUND((R27+R78*Titullapa!$B$23+'2.DL Naudas plūsma bez projekta'!Q69*Titullapa!$B$22-SUM(R15:R19)+'4.DL Projekta_finansiala_ilgtsp'!S32)/R8,2)</f>
        <v>56.12</v>
      </c>
      <c r="S81" s="516">
        <f>ROUND((S27+S78*Titullapa!$B$23+'2.DL Naudas plūsma bez projekta'!R69*Titullapa!$B$22-SUM(S15:S19)+'4.DL Projekta_finansiala_ilgtsp'!T32)/S8,2)</f>
        <v>56.12</v>
      </c>
      <c r="T81" s="516">
        <f>ROUND((T27+T78*Titullapa!$B$23+'2.DL Naudas plūsma bez projekta'!S69*Titullapa!$B$22-SUM(T15:T19)+'4.DL Projekta_finansiala_ilgtsp'!U32)/T8,2)</f>
        <v>56.12</v>
      </c>
      <c r="U81" s="516">
        <f>ROUND((U27+U78*Titullapa!$B$23+'2.DL Naudas plūsma bez projekta'!T69*Titullapa!$B$22-SUM(U15:U19)+'4.DL Projekta_finansiala_ilgtsp'!V32)/U8,2)</f>
        <v>56.12</v>
      </c>
      <c r="V81" s="516">
        <f>ROUND((V27+V78*Titullapa!$B$23+'2.DL Naudas plūsma bez projekta'!U69*Titullapa!$B$22-SUM(V15:V19)+'4.DL Projekta_finansiala_ilgtsp'!W32)/V8,2)</f>
        <v>56.12</v>
      </c>
      <c r="W81" s="516">
        <f>ROUND((W27+W78*Titullapa!$B$23+'2.DL Naudas plūsma bez projekta'!V69*Titullapa!$B$22-SUM(W15:W19)+'4.DL Projekta_finansiala_ilgtsp'!X32)/W8,2)</f>
        <v>56.12</v>
      </c>
      <c r="X81" s="516">
        <f>ROUND((X27+X78*Titullapa!$B$23+'2.DL Naudas plūsma bez projekta'!W69*Titullapa!$B$22-SUM(X15:X19)+'4.DL Projekta_finansiala_ilgtsp'!Y32)/X8,2)</f>
        <v>56.12</v>
      </c>
      <c r="Y81" s="516">
        <f>ROUND((Y27+Y78*Titullapa!$B$23+'2.DL Naudas plūsma bez projekta'!X69*Titullapa!$B$22-SUM(Y15:Y19)+'4.DL Projekta_finansiala_ilgtsp'!Z32)/Y8,2)</f>
        <v>56.12</v>
      </c>
      <c r="Z81" s="516">
        <f>ROUND((Z27+Z78*Titullapa!$B$23+'2.DL Naudas plūsma bez projekta'!Y69*Titullapa!$B$22-SUM(Z15:Z19)+'4.DL Projekta_finansiala_ilgtsp'!AA32)/Z8,2)</f>
        <v>56.12</v>
      </c>
      <c r="AA81" s="516">
        <f>ROUND((AA27+AA78*Titullapa!$B$23+'2.DL Naudas plūsma bez projekta'!Z69*Titullapa!$B$22-SUM(AA15:AA19)+'4.DL Projekta_finansiala_ilgtsp'!AB32)/AA8,2)</f>
        <v>56.12</v>
      </c>
      <c r="AB81" s="516">
        <f>ROUND((AB27+AB78*Titullapa!$B$23+'2.DL Naudas plūsma bez projekta'!AA69*Titullapa!$B$22-SUM(AB15:AB19)+'4.DL Projekta_finansiala_ilgtsp'!AC32)/AB8,2)</f>
        <v>56.12</v>
      </c>
      <c r="AC81" s="516">
        <f>ROUND((AC27+AC78*Titullapa!$B$23+'2.DL Naudas plūsma bez projekta'!AB69*Titullapa!$B$22-SUM(AC15:AC19)+'4.DL Projekta_finansiala_ilgtsp'!AD32)/AC8,2)</f>
        <v>56.12</v>
      </c>
      <c r="AD81" s="516"/>
    </row>
    <row r="82" spans="1:30" s="514" customFormat="1" ht="12.75" x14ac:dyDescent="0.2">
      <c r="A82" s="516"/>
      <c r="B82" s="516" t="s">
        <v>511</v>
      </c>
      <c r="C82" s="516" t="s">
        <v>513</v>
      </c>
      <c r="D82" s="532">
        <f>'2.DL Naudas plūsma bez projekta'!D73</f>
        <v>0</v>
      </c>
      <c r="E82" s="516">
        <f t="shared" ref="E82:AC82" si="79">ROUND((E83*E8-E83*E9)/E8,2)</f>
        <v>52</v>
      </c>
      <c r="F82" s="516">
        <f t="shared" si="79"/>
        <v>0</v>
      </c>
      <c r="G82" s="516">
        <f t="shared" si="79"/>
        <v>0</v>
      </c>
      <c r="H82" s="516">
        <f t="shared" si="79"/>
        <v>0</v>
      </c>
      <c r="I82" s="516">
        <f t="shared" si="79"/>
        <v>0</v>
      </c>
      <c r="J82" s="516">
        <f t="shared" si="79"/>
        <v>0</v>
      </c>
      <c r="K82" s="516">
        <f t="shared" si="79"/>
        <v>0</v>
      </c>
      <c r="L82" s="516">
        <f t="shared" si="79"/>
        <v>0</v>
      </c>
      <c r="M82" s="516">
        <f t="shared" si="79"/>
        <v>0</v>
      </c>
      <c r="N82" s="516">
        <f t="shared" si="79"/>
        <v>0</v>
      </c>
      <c r="O82" s="516">
        <f t="shared" si="79"/>
        <v>0</v>
      </c>
      <c r="P82" s="516">
        <f t="shared" si="79"/>
        <v>0</v>
      </c>
      <c r="Q82" s="516">
        <f t="shared" si="79"/>
        <v>0</v>
      </c>
      <c r="R82" s="516">
        <f t="shared" si="79"/>
        <v>0</v>
      </c>
      <c r="S82" s="516">
        <f t="shared" si="79"/>
        <v>0</v>
      </c>
      <c r="T82" s="516">
        <f t="shared" si="79"/>
        <v>0</v>
      </c>
      <c r="U82" s="516">
        <f t="shared" si="79"/>
        <v>0</v>
      </c>
      <c r="V82" s="516">
        <f t="shared" si="79"/>
        <v>0</v>
      </c>
      <c r="W82" s="516">
        <f t="shared" si="79"/>
        <v>0</v>
      </c>
      <c r="X82" s="516">
        <f t="shared" si="79"/>
        <v>0</v>
      </c>
      <c r="Y82" s="516">
        <f t="shared" si="79"/>
        <v>0</v>
      </c>
      <c r="Z82" s="516">
        <f t="shared" si="79"/>
        <v>0</v>
      </c>
      <c r="AA82" s="516">
        <f t="shared" si="79"/>
        <v>0</v>
      </c>
      <c r="AB82" s="516">
        <f t="shared" si="79"/>
        <v>0</v>
      </c>
      <c r="AC82" s="516">
        <f t="shared" si="79"/>
        <v>0</v>
      </c>
      <c r="AD82" s="516"/>
    </row>
    <row r="83" spans="1:30" s="521" customFormat="1" ht="12.75" x14ac:dyDescent="0.2">
      <c r="A83" s="516"/>
      <c r="B83" s="516" t="s">
        <v>515</v>
      </c>
      <c r="C83" s="516" t="s">
        <v>20</v>
      </c>
      <c r="D83" s="532">
        <f>'2.DL Naudas plūsma bez projekta'!D74</f>
        <v>0</v>
      </c>
      <c r="E83" s="522">
        <v>65</v>
      </c>
      <c r="F83" s="522"/>
      <c r="G83" s="522"/>
      <c r="H83" s="522"/>
      <c r="I83" s="522"/>
      <c r="J83" s="522"/>
      <c r="K83" s="522"/>
      <c r="L83" s="522"/>
      <c r="M83" s="522"/>
      <c r="N83" s="522"/>
      <c r="O83" s="522"/>
      <c r="P83" s="522"/>
      <c r="Q83" s="522"/>
      <c r="R83" s="522"/>
      <c r="S83" s="522"/>
      <c r="T83" s="522"/>
      <c r="U83" s="522"/>
      <c r="V83" s="522"/>
      <c r="W83" s="522"/>
      <c r="X83" s="522"/>
      <c r="Y83" s="522"/>
      <c r="Z83" s="522"/>
      <c r="AA83" s="522"/>
      <c r="AB83" s="522"/>
      <c r="AC83" s="522"/>
      <c r="AD83" s="516"/>
    </row>
    <row r="84" spans="1:30" s="514" customFormat="1" ht="12.75" x14ac:dyDescent="0.2">
      <c r="A84" s="516"/>
      <c r="B84" s="516" t="s">
        <v>514</v>
      </c>
      <c r="C84" s="516" t="s">
        <v>513</v>
      </c>
      <c r="D84" s="532">
        <f>'2.DL Naudas plūsma bez projekta'!D75</f>
        <v>0</v>
      </c>
      <c r="E84" s="516">
        <f t="shared" ref="E84:AC84" si="80">E81-E82</f>
        <v>-15.880000000000003</v>
      </c>
      <c r="F84" s="516">
        <f t="shared" si="80"/>
        <v>36.119999999999997</v>
      </c>
      <c r="G84" s="516">
        <f t="shared" si="80"/>
        <v>36.32</v>
      </c>
      <c r="H84" s="516">
        <f t="shared" si="80"/>
        <v>56.3</v>
      </c>
      <c r="I84" s="516">
        <f t="shared" si="80"/>
        <v>56.28</v>
      </c>
      <c r="J84" s="516">
        <f t="shared" si="80"/>
        <v>56.26</v>
      </c>
      <c r="K84" s="516">
        <f t="shared" si="80"/>
        <v>56.24</v>
      </c>
      <c r="L84" s="516">
        <f t="shared" si="80"/>
        <v>56.22</v>
      </c>
      <c r="M84" s="516">
        <f t="shared" si="80"/>
        <v>56.2</v>
      </c>
      <c r="N84" s="516">
        <f t="shared" si="80"/>
        <v>56.18</v>
      </c>
      <c r="O84" s="516">
        <f t="shared" si="80"/>
        <v>56.16</v>
      </c>
      <c r="P84" s="516">
        <f t="shared" si="80"/>
        <v>56.14</v>
      </c>
      <c r="Q84" s="516">
        <f t="shared" si="80"/>
        <v>56.12</v>
      </c>
      <c r="R84" s="516">
        <f t="shared" si="80"/>
        <v>56.12</v>
      </c>
      <c r="S84" s="516">
        <f t="shared" si="80"/>
        <v>56.12</v>
      </c>
      <c r="T84" s="516">
        <f t="shared" si="80"/>
        <v>56.12</v>
      </c>
      <c r="U84" s="516">
        <f t="shared" si="80"/>
        <v>56.12</v>
      </c>
      <c r="V84" s="516">
        <f t="shared" si="80"/>
        <v>56.12</v>
      </c>
      <c r="W84" s="516">
        <f t="shared" si="80"/>
        <v>56.12</v>
      </c>
      <c r="X84" s="516">
        <f t="shared" si="80"/>
        <v>56.12</v>
      </c>
      <c r="Y84" s="516">
        <f t="shared" si="80"/>
        <v>56.12</v>
      </c>
      <c r="Z84" s="516">
        <f t="shared" si="80"/>
        <v>56.12</v>
      </c>
      <c r="AA84" s="516">
        <f t="shared" si="80"/>
        <v>56.12</v>
      </c>
      <c r="AB84" s="516">
        <f t="shared" si="80"/>
        <v>56.12</v>
      </c>
      <c r="AC84" s="516">
        <f t="shared" si="80"/>
        <v>56.12</v>
      </c>
      <c r="AD84" s="516"/>
    </row>
  </sheetData>
  <sheetProtection algorithmName="SHA-512" hashValue="mANw3yvxy2L4OUlwta3Wew9cAYZLEjnv1V9oST8En86Yp5JpbbTxAARA6Gs2bVgVANYy0CQmMJGgdL5JyEZFTA==" saltValue="j6XbUvjln2O+5Zujv/7oug==" spinCount="100000" sheet="1" formatCells="0" formatColumns="0" formatRows="0"/>
  <mergeCells count="5">
    <mergeCell ref="C4:C6"/>
    <mergeCell ref="D4:D6"/>
    <mergeCell ref="AD4:AD6"/>
    <mergeCell ref="A1:D1"/>
    <mergeCell ref="A2:D2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N40"/>
  <sheetViews>
    <sheetView topLeftCell="A4" workbookViewId="0">
      <selection activeCell="H23" sqref="H23"/>
    </sheetView>
  </sheetViews>
  <sheetFormatPr defaultColWidth="9.140625" defaultRowHeight="15" x14ac:dyDescent="0.25"/>
  <cols>
    <col min="1" max="1" width="4.42578125" style="598" customWidth="1"/>
    <col min="2" max="2" width="6.5703125" style="598" customWidth="1"/>
    <col min="3" max="3" width="9.140625" style="598"/>
    <col min="4" max="4" width="23.7109375" style="598" customWidth="1"/>
    <col min="5" max="5" width="12.7109375" style="598" bestFit="1" customWidth="1"/>
    <col min="6" max="6" width="13.42578125" style="598" customWidth="1"/>
    <col min="7" max="7" width="12" style="598" customWidth="1"/>
    <col min="8" max="8" width="11.85546875" style="598" customWidth="1"/>
    <col min="9" max="9" width="12.7109375" style="598" customWidth="1"/>
    <col min="10" max="10" width="11.42578125" style="598" customWidth="1"/>
    <col min="11" max="11" width="11.140625" style="598" customWidth="1"/>
    <col min="12" max="12" width="11" style="598" customWidth="1"/>
    <col min="13" max="13" width="10.28515625" style="598" customWidth="1"/>
    <col min="14" max="14" width="10.5703125" style="598" customWidth="1"/>
    <col min="15" max="16" width="11.140625" style="598" customWidth="1"/>
    <col min="17" max="17" width="11.7109375" style="598" customWidth="1"/>
    <col min="18" max="18" width="10.7109375" style="598" customWidth="1"/>
    <col min="19" max="20" width="10.85546875" style="598" customWidth="1"/>
    <col min="21" max="21" width="10.140625" style="598" bestFit="1" customWidth="1"/>
    <col min="22" max="22" width="11.28515625" style="598" customWidth="1"/>
    <col min="23" max="23" width="11.5703125" style="598" customWidth="1"/>
    <col min="24" max="24" width="12.140625" style="598" customWidth="1"/>
    <col min="25" max="25" width="11.5703125" style="598" customWidth="1"/>
    <col min="26" max="26" width="11.42578125" style="598" customWidth="1"/>
    <col min="27" max="27" width="11.5703125" style="598" customWidth="1"/>
    <col min="28" max="28" width="11.7109375" style="598" customWidth="1"/>
    <col min="29" max="29" width="11.28515625" style="598" customWidth="1"/>
    <col min="30" max="30" width="12" style="598" customWidth="1"/>
    <col min="31" max="31" width="13.85546875" style="598" customWidth="1"/>
    <col min="32" max="16384" width="9.140625" style="598"/>
  </cols>
  <sheetData>
    <row r="1" spans="1:32" s="599" customFormat="1" ht="26.25" x14ac:dyDescent="0.25">
      <c r="A1" s="903" t="s">
        <v>76</v>
      </c>
      <c r="B1" s="903"/>
      <c r="C1" s="903"/>
      <c r="D1" s="903"/>
    </row>
    <row r="2" spans="1:32" s="599" customFormat="1" ht="21" x14ac:dyDescent="0.35">
      <c r="A2" s="8" t="s">
        <v>270</v>
      </c>
      <c r="B2" s="9"/>
      <c r="C2" s="9"/>
      <c r="D2" s="9"/>
    </row>
    <row r="3" spans="1:32" s="599" customFormat="1" x14ac:dyDescent="0.25"/>
    <row r="4" spans="1:32" s="196" customFormat="1" ht="12.75" x14ac:dyDescent="0.2">
      <c r="A4" s="10"/>
      <c r="B4" s="11"/>
      <c r="C4" s="12"/>
      <c r="D4" s="12"/>
      <c r="E4" s="13"/>
      <c r="F4" s="832">
        <v>0</v>
      </c>
      <c r="G4" s="832">
        <f>1+F4</f>
        <v>1</v>
      </c>
      <c r="H4" s="832">
        <f t="shared" ref="H4:AD4" si="0">1+G4</f>
        <v>2</v>
      </c>
      <c r="I4" s="832">
        <f t="shared" si="0"/>
        <v>3</v>
      </c>
      <c r="J4" s="832">
        <f t="shared" si="0"/>
        <v>4</v>
      </c>
      <c r="K4" s="832">
        <f t="shared" si="0"/>
        <v>5</v>
      </c>
      <c r="L4" s="832">
        <f t="shared" si="0"/>
        <v>6</v>
      </c>
      <c r="M4" s="832">
        <f t="shared" si="0"/>
        <v>7</v>
      </c>
      <c r="N4" s="832">
        <f t="shared" si="0"/>
        <v>8</v>
      </c>
      <c r="O4" s="832">
        <f t="shared" si="0"/>
        <v>9</v>
      </c>
      <c r="P4" s="832">
        <f t="shared" si="0"/>
        <v>10</v>
      </c>
      <c r="Q4" s="832">
        <f t="shared" si="0"/>
        <v>11</v>
      </c>
      <c r="R4" s="832">
        <f t="shared" si="0"/>
        <v>12</v>
      </c>
      <c r="S4" s="832">
        <f t="shared" si="0"/>
        <v>13</v>
      </c>
      <c r="T4" s="832">
        <f t="shared" si="0"/>
        <v>14</v>
      </c>
      <c r="U4" s="832">
        <f t="shared" si="0"/>
        <v>15</v>
      </c>
      <c r="V4" s="832">
        <f t="shared" si="0"/>
        <v>16</v>
      </c>
      <c r="W4" s="832">
        <f t="shared" si="0"/>
        <v>17</v>
      </c>
      <c r="X4" s="832">
        <f t="shared" si="0"/>
        <v>18</v>
      </c>
      <c r="Y4" s="832">
        <f t="shared" si="0"/>
        <v>19</v>
      </c>
      <c r="Z4" s="832">
        <f t="shared" si="0"/>
        <v>20</v>
      </c>
      <c r="AA4" s="832">
        <f t="shared" si="0"/>
        <v>21</v>
      </c>
      <c r="AB4" s="832">
        <f t="shared" si="0"/>
        <v>22</v>
      </c>
      <c r="AC4" s="832">
        <f t="shared" si="0"/>
        <v>23</v>
      </c>
      <c r="AD4" s="832">
        <f t="shared" si="0"/>
        <v>24</v>
      </c>
      <c r="AE4" s="832"/>
    </row>
    <row r="5" spans="1:32" s="196" customFormat="1" ht="12.75" x14ac:dyDescent="0.2">
      <c r="A5" s="14"/>
      <c r="B5" s="15"/>
      <c r="C5" s="15"/>
      <c r="D5" s="16"/>
      <c r="E5" s="16" t="s">
        <v>39</v>
      </c>
      <c r="F5" s="833">
        <f>Titullapa!D10</f>
        <v>2021</v>
      </c>
      <c r="G5" s="833">
        <f>F5+1</f>
        <v>2022</v>
      </c>
      <c r="H5" s="833">
        <f>G5+1</f>
        <v>2023</v>
      </c>
      <c r="I5" s="833">
        <f t="shared" ref="I5:AD5" si="1">H5+1</f>
        <v>2024</v>
      </c>
      <c r="J5" s="833">
        <f t="shared" si="1"/>
        <v>2025</v>
      </c>
      <c r="K5" s="833">
        <f t="shared" si="1"/>
        <v>2026</v>
      </c>
      <c r="L5" s="833">
        <f t="shared" si="1"/>
        <v>2027</v>
      </c>
      <c r="M5" s="833">
        <f t="shared" si="1"/>
        <v>2028</v>
      </c>
      <c r="N5" s="833">
        <f t="shared" si="1"/>
        <v>2029</v>
      </c>
      <c r="O5" s="833">
        <f t="shared" si="1"/>
        <v>2030</v>
      </c>
      <c r="P5" s="833">
        <f t="shared" si="1"/>
        <v>2031</v>
      </c>
      <c r="Q5" s="833">
        <f t="shared" si="1"/>
        <v>2032</v>
      </c>
      <c r="R5" s="833">
        <f t="shared" si="1"/>
        <v>2033</v>
      </c>
      <c r="S5" s="833">
        <f t="shared" si="1"/>
        <v>2034</v>
      </c>
      <c r="T5" s="833">
        <f t="shared" si="1"/>
        <v>2035</v>
      </c>
      <c r="U5" s="833">
        <f t="shared" si="1"/>
        <v>2036</v>
      </c>
      <c r="V5" s="833">
        <f t="shared" si="1"/>
        <v>2037</v>
      </c>
      <c r="W5" s="833">
        <f t="shared" si="1"/>
        <v>2038</v>
      </c>
      <c r="X5" s="833">
        <f t="shared" si="1"/>
        <v>2039</v>
      </c>
      <c r="Y5" s="833">
        <f t="shared" si="1"/>
        <v>2040</v>
      </c>
      <c r="Z5" s="833">
        <f t="shared" si="1"/>
        <v>2041</v>
      </c>
      <c r="AA5" s="833">
        <f t="shared" si="1"/>
        <v>2042</v>
      </c>
      <c r="AB5" s="833">
        <f t="shared" si="1"/>
        <v>2043</v>
      </c>
      <c r="AC5" s="833">
        <f t="shared" si="1"/>
        <v>2044</v>
      </c>
      <c r="AD5" s="833">
        <f t="shared" si="1"/>
        <v>2045</v>
      </c>
      <c r="AE5" s="833" t="s">
        <v>40</v>
      </c>
    </row>
    <row r="6" spans="1:32" s="196" customFormat="1" ht="12.75" x14ac:dyDescent="0.2">
      <c r="A6" s="17"/>
      <c r="B6" s="17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32" s="196" customFormat="1" ht="12.75" x14ac:dyDescent="0.2">
      <c r="A7" s="20"/>
      <c r="B7" s="21" t="s">
        <v>41</v>
      </c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30"/>
    </row>
    <row r="8" spans="1:32" s="196" customFormat="1" ht="12.75" x14ac:dyDescent="0.2">
      <c r="A8" s="24" t="s">
        <v>77</v>
      </c>
      <c r="B8" s="24"/>
      <c r="C8" s="24"/>
      <c r="D8" s="24"/>
      <c r="E8" s="180"/>
      <c r="F8" s="162">
        <f t="shared" ref="F8:AE8" si="2">SUM(F9:F14)</f>
        <v>101500</v>
      </c>
      <c r="G8" s="163">
        <f t="shared" si="2"/>
        <v>86500</v>
      </c>
      <c r="H8" s="163">
        <f t="shared" si="2"/>
        <v>30020</v>
      </c>
      <c r="I8" s="163">
        <f t="shared" si="2"/>
        <v>1018</v>
      </c>
      <c r="J8" s="163">
        <f t="shared" si="2"/>
        <v>1016</v>
      </c>
      <c r="K8" s="163">
        <f t="shared" si="2"/>
        <v>1014</v>
      </c>
      <c r="L8" s="163">
        <f t="shared" si="2"/>
        <v>1012</v>
      </c>
      <c r="M8" s="163">
        <f t="shared" si="2"/>
        <v>1010</v>
      </c>
      <c r="N8" s="163">
        <f t="shared" si="2"/>
        <v>1008</v>
      </c>
      <c r="O8" s="163">
        <f t="shared" si="2"/>
        <v>1006</v>
      </c>
      <c r="P8" s="163">
        <f t="shared" si="2"/>
        <v>1004</v>
      </c>
      <c r="Q8" s="163">
        <f t="shared" si="2"/>
        <v>1002</v>
      </c>
      <c r="R8" s="163">
        <f t="shared" si="2"/>
        <v>1000</v>
      </c>
      <c r="S8" s="163">
        <f t="shared" si="2"/>
        <v>1000</v>
      </c>
      <c r="T8" s="163">
        <f t="shared" si="2"/>
        <v>1000</v>
      </c>
      <c r="U8" s="163">
        <f t="shared" si="2"/>
        <v>1000</v>
      </c>
      <c r="V8" s="163">
        <f t="shared" si="2"/>
        <v>1000</v>
      </c>
      <c r="W8" s="163">
        <f t="shared" si="2"/>
        <v>1000</v>
      </c>
      <c r="X8" s="163">
        <f t="shared" si="2"/>
        <v>1000</v>
      </c>
      <c r="Y8" s="163">
        <f t="shared" si="2"/>
        <v>1000</v>
      </c>
      <c r="Z8" s="163">
        <f t="shared" si="2"/>
        <v>1000</v>
      </c>
      <c r="AA8" s="163">
        <f t="shared" si="2"/>
        <v>1000</v>
      </c>
      <c r="AB8" s="163">
        <f t="shared" si="2"/>
        <v>1000</v>
      </c>
      <c r="AC8" s="163">
        <f t="shared" si="2"/>
        <v>1000</v>
      </c>
      <c r="AD8" s="163">
        <f t="shared" si="2"/>
        <v>1000</v>
      </c>
      <c r="AE8" s="164">
        <f t="shared" si="2"/>
        <v>240110</v>
      </c>
    </row>
    <row r="9" spans="1:32" s="196" customFormat="1" ht="12.75" x14ac:dyDescent="0.2">
      <c r="A9" s="25"/>
      <c r="B9" s="834" t="s">
        <v>27</v>
      </c>
      <c r="C9" s="25" t="s">
        <v>78</v>
      </c>
      <c r="D9" s="25"/>
      <c r="E9" s="31" t="s">
        <v>20</v>
      </c>
      <c r="F9" s="600">
        <f>'14.RL Investīciju naudas plūsma'!E6</f>
        <v>2000</v>
      </c>
      <c r="G9" s="601">
        <f>'14.RL Investīciju naudas plūsma'!F6</f>
        <v>3000</v>
      </c>
      <c r="H9" s="601">
        <f>'14.RL Investīciju naudas plūsma'!G6</f>
        <v>5020</v>
      </c>
      <c r="I9" s="601">
        <f>'14.RL Investīciju naudas plūsma'!H6</f>
        <v>1018</v>
      </c>
      <c r="J9" s="601">
        <f>'14.RL Investīciju naudas plūsma'!I6</f>
        <v>1016</v>
      </c>
      <c r="K9" s="601">
        <f>'14.RL Investīciju naudas plūsma'!J6</f>
        <v>1014</v>
      </c>
      <c r="L9" s="601">
        <f>'14.RL Investīciju naudas plūsma'!K6</f>
        <v>1012</v>
      </c>
      <c r="M9" s="601">
        <f>'14.RL Investīciju naudas plūsma'!L6</f>
        <v>1010</v>
      </c>
      <c r="N9" s="601">
        <f>'14.RL Investīciju naudas plūsma'!M6</f>
        <v>1008</v>
      </c>
      <c r="O9" s="601">
        <f>'14.RL Investīciju naudas plūsma'!N6</f>
        <v>1006</v>
      </c>
      <c r="P9" s="601">
        <f>'14.RL Investīciju naudas plūsma'!O6</f>
        <v>1004</v>
      </c>
      <c r="Q9" s="601">
        <f>'14.RL Investīciju naudas plūsma'!P6</f>
        <v>1002</v>
      </c>
      <c r="R9" s="601">
        <f>'14.RL Investīciju naudas plūsma'!Q6</f>
        <v>1000</v>
      </c>
      <c r="S9" s="601">
        <f>'14.RL Investīciju naudas plūsma'!R6</f>
        <v>1000</v>
      </c>
      <c r="T9" s="601">
        <f>'14.RL Investīciju naudas plūsma'!S6</f>
        <v>1000</v>
      </c>
      <c r="U9" s="601">
        <f>'14.RL Investīciju naudas plūsma'!T6</f>
        <v>1000</v>
      </c>
      <c r="V9" s="601">
        <f>'14.RL Investīciju naudas plūsma'!U6</f>
        <v>1000</v>
      </c>
      <c r="W9" s="601">
        <f>'14.RL Investīciju naudas plūsma'!V6</f>
        <v>1000</v>
      </c>
      <c r="X9" s="601">
        <f>'14.RL Investīciju naudas plūsma'!W6</f>
        <v>1000</v>
      </c>
      <c r="Y9" s="601">
        <f>'14.RL Investīciju naudas plūsma'!X6</f>
        <v>1000</v>
      </c>
      <c r="Z9" s="601">
        <f>'14.RL Investīciju naudas plūsma'!Y6</f>
        <v>1000</v>
      </c>
      <c r="AA9" s="601">
        <f>'14.RL Investīciju naudas plūsma'!Z6</f>
        <v>1000</v>
      </c>
      <c r="AB9" s="601">
        <f>'14.RL Investīciju naudas plūsma'!AA6</f>
        <v>1000</v>
      </c>
      <c r="AC9" s="601">
        <f>'14.RL Investīciju naudas plūsma'!AB6</f>
        <v>1000</v>
      </c>
      <c r="AD9" s="601">
        <f>'14.RL Investīciju naudas plūsma'!AC6</f>
        <v>1000</v>
      </c>
      <c r="AE9" s="602">
        <f t="shared" ref="AE9:AE20" si="3">SUM(F9:AD9)</f>
        <v>32110</v>
      </c>
    </row>
    <row r="10" spans="1:32" s="555" customFormat="1" ht="12.75" x14ac:dyDescent="0.2">
      <c r="A10" s="25"/>
      <c r="B10" s="857" t="s">
        <v>28</v>
      </c>
      <c r="C10" s="25" t="s">
        <v>79</v>
      </c>
      <c r="D10" s="25"/>
      <c r="E10" s="31" t="s">
        <v>20</v>
      </c>
      <c r="F10" s="165"/>
      <c r="G10" s="166">
        <v>1000</v>
      </c>
      <c r="H10" s="166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8"/>
      <c r="AE10" s="602">
        <f t="shared" si="3"/>
        <v>1000</v>
      </c>
      <c r="AF10" s="555" t="str">
        <f>IF(AE10=Titullapa!B18,"TRUE","FALSE")</f>
        <v>FALSE</v>
      </c>
    </row>
    <row r="11" spans="1:32" s="196" customFormat="1" ht="12.75" x14ac:dyDescent="0.2">
      <c r="A11" s="25"/>
      <c r="B11" s="834" t="s">
        <v>80</v>
      </c>
      <c r="C11" s="26" t="s">
        <v>264</v>
      </c>
      <c r="D11" s="25"/>
      <c r="E11" s="31" t="s">
        <v>20</v>
      </c>
      <c r="F11" s="600">
        <f>IF((SUM('1.DL Projekta budžets'!J24:M24)-F10)&lt;=0,0,(SUM('1.DL Projekta budžets'!J24:M24)-F10))</f>
        <v>46141.25</v>
      </c>
      <c r="G11" s="601">
        <f>IF((SUM('1.DL Projekta budžets'!N24:O24)-G10)&lt;=0,0,(SUM('1.DL Projekta budžets'!N24:O24)-G10))</f>
        <v>62877.75</v>
      </c>
      <c r="H11" s="601">
        <f>IF((SUM('1.DL Projekta budžets'!P24:Q24)-H10)&lt;=0,0,SUM('1.DL Projekta budžets'!P24:Q24)-H10)</f>
        <v>7787.5</v>
      </c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  <c r="AC11" s="603"/>
      <c r="AD11" s="604"/>
      <c r="AE11" s="602">
        <f t="shared" si="3"/>
        <v>116806.5</v>
      </c>
    </row>
    <row r="12" spans="1:32" s="196" customFormat="1" ht="12.75" x14ac:dyDescent="0.2">
      <c r="A12" s="25"/>
      <c r="B12" s="834" t="s">
        <v>142</v>
      </c>
      <c r="C12" s="32" t="s">
        <v>548</v>
      </c>
      <c r="D12" s="25"/>
      <c r="E12" s="31"/>
      <c r="F12" s="600">
        <f>SUM('1.DL Projekta budžets'!J25:M25)</f>
        <v>0</v>
      </c>
      <c r="G12" s="601">
        <f>SUM('1.DL Projekta budžets'!N25:O25)</f>
        <v>0</v>
      </c>
      <c r="H12" s="601">
        <f>SUM('1.DL Projekta budžets'!P25:Q25)</f>
        <v>0</v>
      </c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  <c r="AC12" s="603"/>
      <c r="AD12" s="604"/>
      <c r="AE12" s="602">
        <f t="shared" si="3"/>
        <v>0</v>
      </c>
    </row>
    <row r="13" spans="1:32" s="196" customFormat="1" ht="12.75" x14ac:dyDescent="0.2">
      <c r="A13" s="25"/>
      <c r="B13" s="834" t="s">
        <v>81</v>
      </c>
      <c r="C13" s="25" t="s">
        <v>604</v>
      </c>
      <c r="D13" s="25"/>
      <c r="E13" s="31" t="s">
        <v>20</v>
      </c>
      <c r="F13" s="600">
        <f>'17.PIV 2.pielikums Fin.plāns'!C6+'17.PIV 2.pielikums Fin.plāns'!B6</f>
        <v>53358.75</v>
      </c>
      <c r="G13" s="601">
        <f>'17.PIV 2.pielikums Fin.plāns'!D6</f>
        <v>19622.25</v>
      </c>
      <c r="H13" s="601">
        <f>'17.PIV 2.pielikums Fin.plāns'!E6</f>
        <v>17212.5</v>
      </c>
      <c r="I13" s="605"/>
      <c r="J13" s="605"/>
      <c r="K13" s="605"/>
      <c r="L13" s="605"/>
      <c r="M13" s="605"/>
      <c r="N13" s="605"/>
      <c r="O13" s="605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5"/>
      <c r="AA13" s="605"/>
      <c r="AB13" s="605"/>
      <c r="AC13" s="605"/>
      <c r="AD13" s="605"/>
      <c r="AE13" s="602">
        <f t="shared" si="3"/>
        <v>90193.5</v>
      </c>
    </row>
    <row r="14" spans="1:32" s="196" customFormat="1" ht="12.75" x14ac:dyDescent="0.2">
      <c r="A14" s="25"/>
      <c r="B14" s="834" t="s">
        <v>82</v>
      </c>
      <c r="C14" s="26" t="s">
        <v>75</v>
      </c>
      <c r="D14" s="25"/>
      <c r="E14" s="31" t="s">
        <v>20</v>
      </c>
      <c r="F14" s="600">
        <f>'14.RL Investīciju naudas plūsma'!E11</f>
        <v>0</v>
      </c>
      <c r="G14" s="601">
        <f>'14.RL Investīciju naudas plūsma'!F11</f>
        <v>0</v>
      </c>
      <c r="H14" s="601">
        <f>'14.RL Investīciju naudas plūsma'!G11</f>
        <v>0</v>
      </c>
      <c r="I14" s="601">
        <f>'14.RL Investīciju naudas plūsma'!H11</f>
        <v>0</v>
      </c>
      <c r="J14" s="601">
        <f>'14.RL Investīciju naudas plūsma'!I11</f>
        <v>0</v>
      </c>
      <c r="K14" s="601">
        <f>'14.RL Investīciju naudas plūsma'!J11</f>
        <v>0</v>
      </c>
      <c r="L14" s="601">
        <f>'14.RL Investīciju naudas plūsma'!K11</f>
        <v>0</v>
      </c>
      <c r="M14" s="601">
        <f>'14.RL Investīciju naudas plūsma'!L11</f>
        <v>0</v>
      </c>
      <c r="N14" s="601">
        <f>'14.RL Investīciju naudas plūsma'!M11</f>
        <v>0</v>
      </c>
      <c r="O14" s="601">
        <f>'14.RL Investīciju naudas plūsma'!N11</f>
        <v>0</v>
      </c>
      <c r="P14" s="601">
        <f>'14.RL Investīciju naudas plūsma'!O11</f>
        <v>0</v>
      </c>
      <c r="Q14" s="601">
        <f>'14.RL Investīciju naudas plūsma'!P11</f>
        <v>0</v>
      </c>
      <c r="R14" s="601">
        <f>'14.RL Investīciju naudas plūsma'!Q11</f>
        <v>0</v>
      </c>
      <c r="S14" s="601">
        <f>'14.RL Investīciju naudas plūsma'!R11</f>
        <v>0</v>
      </c>
      <c r="T14" s="601">
        <f>'14.RL Investīciju naudas plūsma'!S11</f>
        <v>0</v>
      </c>
      <c r="U14" s="601">
        <f>'14.RL Investīciju naudas plūsma'!T11</f>
        <v>0</v>
      </c>
      <c r="V14" s="601">
        <f>'14.RL Investīciju naudas plūsma'!U11</f>
        <v>0</v>
      </c>
      <c r="W14" s="601">
        <f>'14.RL Investīciju naudas plūsma'!V11</f>
        <v>0</v>
      </c>
      <c r="X14" s="601">
        <f>'14.RL Investīciju naudas plūsma'!W11</f>
        <v>0</v>
      </c>
      <c r="Y14" s="601">
        <f>'14.RL Investīciju naudas plūsma'!X11</f>
        <v>0</v>
      </c>
      <c r="Z14" s="601">
        <f>'14.RL Investīciju naudas plūsma'!Y11</f>
        <v>0</v>
      </c>
      <c r="AA14" s="601">
        <f>'14.RL Investīciju naudas plūsma'!Z11</f>
        <v>0</v>
      </c>
      <c r="AB14" s="601">
        <f>'14.RL Investīciju naudas plūsma'!AA11</f>
        <v>0</v>
      </c>
      <c r="AC14" s="601">
        <f>'14.RL Investīciju naudas plūsma'!AB11</f>
        <v>0</v>
      </c>
      <c r="AD14" s="601">
        <f>'14.RL Investīciju naudas plūsma'!AC11</f>
        <v>0</v>
      </c>
      <c r="AE14" s="602">
        <f t="shared" si="3"/>
        <v>0</v>
      </c>
    </row>
    <row r="15" spans="1:32" s="196" customFormat="1" ht="12.75" x14ac:dyDescent="0.2">
      <c r="A15" s="24" t="s">
        <v>83</v>
      </c>
      <c r="B15" s="24"/>
      <c r="C15" s="24"/>
      <c r="D15" s="24"/>
      <c r="E15" s="180"/>
      <c r="F15" s="162">
        <f>SUM(F16:F20)</f>
        <v>99500</v>
      </c>
      <c r="G15" s="163">
        <f t="shared" ref="G15:T15" si="4">SUM(G16:G20)</f>
        <v>83500</v>
      </c>
      <c r="H15" s="163">
        <f t="shared" si="4"/>
        <v>25120</v>
      </c>
      <c r="I15" s="163">
        <f t="shared" si="4"/>
        <v>118</v>
      </c>
      <c r="J15" s="163">
        <f t="shared" si="4"/>
        <v>116</v>
      </c>
      <c r="K15" s="163">
        <f t="shared" si="4"/>
        <v>114</v>
      </c>
      <c r="L15" s="163">
        <f t="shared" si="4"/>
        <v>112</v>
      </c>
      <c r="M15" s="163">
        <f t="shared" si="4"/>
        <v>110</v>
      </c>
      <c r="N15" s="163">
        <f t="shared" si="4"/>
        <v>108</v>
      </c>
      <c r="O15" s="163">
        <f t="shared" si="4"/>
        <v>106</v>
      </c>
      <c r="P15" s="163">
        <f t="shared" si="4"/>
        <v>104</v>
      </c>
      <c r="Q15" s="163">
        <f t="shared" si="4"/>
        <v>102</v>
      </c>
      <c r="R15" s="163">
        <f t="shared" si="4"/>
        <v>0</v>
      </c>
      <c r="S15" s="163">
        <f t="shared" si="4"/>
        <v>0</v>
      </c>
      <c r="T15" s="163">
        <f t="shared" si="4"/>
        <v>0</v>
      </c>
      <c r="U15" s="163">
        <f t="shared" ref="U15:AD15" si="5">SUM(U16:U20)</f>
        <v>0</v>
      </c>
      <c r="V15" s="163">
        <f t="shared" si="5"/>
        <v>0</v>
      </c>
      <c r="W15" s="163">
        <f t="shared" si="5"/>
        <v>0</v>
      </c>
      <c r="X15" s="163">
        <f t="shared" si="5"/>
        <v>0</v>
      </c>
      <c r="Y15" s="163">
        <f t="shared" si="5"/>
        <v>0</v>
      </c>
      <c r="Z15" s="163">
        <f t="shared" si="5"/>
        <v>0</v>
      </c>
      <c r="AA15" s="163">
        <f t="shared" si="5"/>
        <v>0</v>
      </c>
      <c r="AB15" s="163">
        <f t="shared" si="5"/>
        <v>0</v>
      </c>
      <c r="AC15" s="163">
        <f t="shared" si="5"/>
        <v>0</v>
      </c>
      <c r="AD15" s="163">
        <f t="shared" si="5"/>
        <v>0</v>
      </c>
      <c r="AE15" s="164">
        <f t="shared" si="3"/>
        <v>209110</v>
      </c>
    </row>
    <row r="16" spans="1:32" s="196" customFormat="1" ht="12.75" x14ac:dyDescent="0.2">
      <c r="A16" s="25"/>
      <c r="B16" s="712" t="s">
        <v>51</v>
      </c>
      <c r="C16" s="25" t="s">
        <v>84</v>
      </c>
      <c r="D16" s="25"/>
      <c r="E16" s="31" t="s">
        <v>20</v>
      </c>
      <c r="F16" s="600">
        <f>'14.RL Investīciju naudas plūsma'!E7</f>
        <v>0</v>
      </c>
      <c r="G16" s="601">
        <f>'14.RL Investīciju naudas plūsma'!F7</f>
        <v>0</v>
      </c>
      <c r="H16" s="601">
        <f>'14.RL Investīciju naudas plūsma'!G7</f>
        <v>0</v>
      </c>
      <c r="I16" s="601">
        <f>'14.RL Investīciju naudas plūsma'!H7</f>
        <v>0</v>
      </c>
      <c r="J16" s="601">
        <f>'14.RL Investīciju naudas plūsma'!I7</f>
        <v>0</v>
      </c>
      <c r="K16" s="601">
        <f>'14.RL Investīciju naudas plūsma'!J7</f>
        <v>0</v>
      </c>
      <c r="L16" s="601">
        <f>'14.RL Investīciju naudas plūsma'!K7</f>
        <v>0</v>
      </c>
      <c r="M16" s="601">
        <f>'14.RL Investīciju naudas plūsma'!L7</f>
        <v>0</v>
      </c>
      <c r="N16" s="601">
        <f>'14.RL Investīciju naudas plūsma'!M7</f>
        <v>0</v>
      </c>
      <c r="O16" s="601">
        <f>'14.RL Investīciju naudas plūsma'!N7</f>
        <v>0</v>
      </c>
      <c r="P16" s="601">
        <f>'14.RL Investīciju naudas plūsma'!O7</f>
        <v>0</v>
      </c>
      <c r="Q16" s="601">
        <f>'14.RL Investīciju naudas plūsma'!P7</f>
        <v>0</v>
      </c>
      <c r="R16" s="601">
        <f>'14.RL Investīciju naudas plūsma'!Q7</f>
        <v>0</v>
      </c>
      <c r="S16" s="601">
        <f>'14.RL Investīciju naudas plūsma'!R7</f>
        <v>0</v>
      </c>
      <c r="T16" s="601">
        <f>'14.RL Investīciju naudas plūsma'!S7</f>
        <v>0</v>
      </c>
      <c r="U16" s="601">
        <f>'14.RL Investīciju naudas plūsma'!T7</f>
        <v>0</v>
      </c>
      <c r="V16" s="601">
        <f>'14.RL Investīciju naudas plūsma'!U7</f>
        <v>0</v>
      </c>
      <c r="W16" s="601">
        <f>'14.RL Investīciju naudas plūsma'!V7</f>
        <v>0</v>
      </c>
      <c r="X16" s="601">
        <f>'14.RL Investīciju naudas plūsma'!W7</f>
        <v>0</v>
      </c>
      <c r="Y16" s="601">
        <f>'14.RL Investīciju naudas plūsma'!X7</f>
        <v>0</v>
      </c>
      <c r="Z16" s="601">
        <f>'14.RL Investīciju naudas plūsma'!Y7</f>
        <v>0</v>
      </c>
      <c r="AA16" s="601">
        <f>'14.RL Investīciju naudas plūsma'!Z7</f>
        <v>0</v>
      </c>
      <c r="AB16" s="601">
        <f>'14.RL Investīciju naudas plūsma'!AA7</f>
        <v>0</v>
      </c>
      <c r="AC16" s="601">
        <f>'14.RL Investīciju naudas plūsma'!AB7</f>
        <v>0</v>
      </c>
      <c r="AD16" s="601">
        <f>'14.RL Investīciju naudas plūsma'!AC7</f>
        <v>0</v>
      </c>
      <c r="AE16" s="602">
        <f t="shared" si="3"/>
        <v>0</v>
      </c>
    </row>
    <row r="17" spans="1:248" s="196" customFormat="1" ht="12.75" x14ac:dyDescent="0.2">
      <c r="A17" s="25"/>
      <c r="B17" s="834" t="s">
        <v>52</v>
      </c>
      <c r="C17" s="25" t="s">
        <v>85</v>
      </c>
      <c r="D17" s="25"/>
      <c r="E17" s="31" t="s">
        <v>20</v>
      </c>
      <c r="F17" s="600">
        <f>'14.RL Investīciju naudas plūsma'!E8</f>
        <v>99500</v>
      </c>
      <c r="G17" s="601">
        <f>'14.RL Investīciju naudas plūsma'!F8</f>
        <v>83500</v>
      </c>
      <c r="H17" s="601">
        <f>'14.RL Investīciju naudas plūsma'!G8</f>
        <v>25000</v>
      </c>
      <c r="I17" s="601">
        <f>'14.RL Investīciju naudas plūsma'!H8</f>
        <v>0</v>
      </c>
      <c r="J17" s="601">
        <f>'14.RL Investīciju naudas plūsma'!I8</f>
        <v>0</v>
      </c>
      <c r="K17" s="601">
        <f>'14.RL Investīciju naudas plūsma'!J8</f>
        <v>0</v>
      </c>
      <c r="L17" s="601">
        <f>'14.RL Investīciju naudas plūsma'!K8</f>
        <v>0</v>
      </c>
      <c r="M17" s="601">
        <f>'14.RL Investīciju naudas plūsma'!L8</f>
        <v>0</v>
      </c>
      <c r="N17" s="601">
        <f>'14.RL Investīciju naudas plūsma'!M8</f>
        <v>0</v>
      </c>
      <c r="O17" s="601">
        <f>'14.RL Investīciju naudas plūsma'!N8</f>
        <v>0</v>
      </c>
      <c r="P17" s="601">
        <f>'14.RL Investīciju naudas plūsma'!O8</f>
        <v>0</v>
      </c>
      <c r="Q17" s="601">
        <f>'14.RL Investīciju naudas plūsma'!P8</f>
        <v>0</v>
      </c>
      <c r="R17" s="601">
        <f>'14.RL Investīciju naudas plūsma'!Q8</f>
        <v>0</v>
      </c>
      <c r="S17" s="601">
        <f>'14.RL Investīciju naudas plūsma'!R8</f>
        <v>0</v>
      </c>
      <c r="T17" s="601">
        <f>'14.RL Investīciju naudas plūsma'!S8</f>
        <v>0</v>
      </c>
      <c r="U17" s="601">
        <f>'14.RL Investīciju naudas plūsma'!T8</f>
        <v>0</v>
      </c>
      <c r="V17" s="601">
        <f>'14.RL Investīciju naudas plūsma'!U8</f>
        <v>0</v>
      </c>
      <c r="W17" s="601">
        <f>'14.RL Investīciju naudas plūsma'!V8</f>
        <v>0</v>
      </c>
      <c r="X17" s="601">
        <f>'14.RL Investīciju naudas plūsma'!W8</f>
        <v>0</v>
      </c>
      <c r="Y17" s="601">
        <f>'14.RL Investīciju naudas plūsma'!X8</f>
        <v>0</v>
      </c>
      <c r="Z17" s="601">
        <f>'14.RL Investīciju naudas plūsma'!Y8</f>
        <v>0</v>
      </c>
      <c r="AA17" s="601">
        <f>'14.RL Investīciju naudas plūsma'!Z8</f>
        <v>0</v>
      </c>
      <c r="AB17" s="601">
        <f>'14.RL Investīciju naudas plūsma'!AA8</f>
        <v>0</v>
      </c>
      <c r="AC17" s="601">
        <f>'14.RL Investīciju naudas plūsma'!AB8</f>
        <v>0</v>
      </c>
      <c r="AD17" s="601">
        <f>'14.RL Investīciju naudas plūsma'!AC8</f>
        <v>0</v>
      </c>
      <c r="AE17" s="602">
        <f t="shared" si="3"/>
        <v>208000</v>
      </c>
    </row>
    <row r="18" spans="1:248" s="555" customFormat="1" ht="12.75" x14ac:dyDescent="0.2">
      <c r="A18" s="25"/>
      <c r="B18" s="834" t="s">
        <v>53</v>
      </c>
      <c r="C18" s="25" t="s">
        <v>86</v>
      </c>
      <c r="D18" s="25"/>
      <c r="E18" s="31" t="s">
        <v>20</v>
      </c>
      <c r="F18" s="16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602">
        <f t="shared" si="3"/>
        <v>0</v>
      </c>
    </row>
    <row r="19" spans="1:248" s="196" customFormat="1" ht="12.75" x14ac:dyDescent="0.2">
      <c r="A19" s="25"/>
      <c r="B19" s="712" t="s">
        <v>54</v>
      </c>
      <c r="C19" s="25" t="s">
        <v>87</v>
      </c>
      <c r="D19" s="25"/>
      <c r="E19" s="31" t="s">
        <v>20</v>
      </c>
      <c r="F19" s="434">
        <f>F33</f>
        <v>0</v>
      </c>
      <c r="G19" s="435">
        <f>G33</f>
        <v>0</v>
      </c>
      <c r="H19" s="435">
        <f t="shared" ref="H19:AD19" si="6">H33</f>
        <v>100</v>
      </c>
      <c r="I19" s="435">
        <f t="shared" si="6"/>
        <v>100</v>
      </c>
      <c r="J19" s="435">
        <f t="shared" si="6"/>
        <v>100</v>
      </c>
      <c r="K19" s="435">
        <f t="shared" si="6"/>
        <v>100</v>
      </c>
      <c r="L19" s="435">
        <f t="shared" si="6"/>
        <v>100</v>
      </c>
      <c r="M19" s="435">
        <f t="shared" si="6"/>
        <v>100</v>
      </c>
      <c r="N19" s="435">
        <f t="shared" si="6"/>
        <v>100</v>
      </c>
      <c r="O19" s="435">
        <f t="shared" si="6"/>
        <v>100</v>
      </c>
      <c r="P19" s="435">
        <f t="shared" si="6"/>
        <v>100</v>
      </c>
      <c r="Q19" s="435">
        <f t="shared" si="6"/>
        <v>100</v>
      </c>
      <c r="R19" s="435">
        <f t="shared" si="6"/>
        <v>0</v>
      </c>
      <c r="S19" s="435">
        <f t="shared" si="6"/>
        <v>0</v>
      </c>
      <c r="T19" s="435">
        <f t="shared" si="6"/>
        <v>0</v>
      </c>
      <c r="U19" s="435">
        <f t="shared" si="6"/>
        <v>0</v>
      </c>
      <c r="V19" s="435">
        <f t="shared" si="6"/>
        <v>0</v>
      </c>
      <c r="W19" s="435">
        <f t="shared" si="6"/>
        <v>0</v>
      </c>
      <c r="X19" s="435">
        <f t="shared" si="6"/>
        <v>0</v>
      </c>
      <c r="Y19" s="435">
        <f t="shared" si="6"/>
        <v>0</v>
      </c>
      <c r="Z19" s="435">
        <f t="shared" si="6"/>
        <v>0</v>
      </c>
      <c r="AA19" s="435">
        <f t="shared" si="6"/>
        <v>0</v>
      </c>
      <c r="AB19" s="435">
        <f t="shared" si="6"/>
        <v>0</v>
      </c>
      <c r="AC19" s="435">
        <f t="shared" si="6"/>
        <v>0</v>
      </c>
      <c r="AD19" s="435">
        <f t="shared" si="6"/>
        <v>0</v>
      </c>
      <c r="AE19" s="602">
        <f t="shared" si="3"/>
        <v>1000</v>
      </c>
    </row>
    <row r="20" spans="1:248" s="196" customFormat="1" ht="12.75" x14ac:dyDescent="0.2">
      <c r="A20" s="25"/>
      <c r="B20" s="712" t="s">
        <v>55</v>
      </c>
      <c r="C20" s="25" t="s">
        <v>88</v>
      </c>
      <c r="D20" s="25"/>
      <c r="E20" s="31" t="s">
        <v>20</v>
      </c>
      <c r="F20" s="840">
        <f>F32</f>
        <v>0</v>
      </c>
      <c r="G20" s="841">
        <f>G32</f>
        <v>0</v>
      </c>
      <c r="H20" s="841">
        <f t="shared" ref="H20:AD20" si="7">H32</f>
        <v>20</v>
      </c>
      <c r="I20" s="841">
        <f t="shared" si="7"/>
        <v>18</v>
      </c>
      <c r="J20" s="841">
        <f t="shared" si="7"/>
        <v>16</v>
      </c>
      <c r="K20" s="841">
        <f t="shared" si="7"/>
        <v>14</v>
      </c>
      <c r="L20" s="841">
        <f t="shared" si="7"/>
        <v>12</v>
      </c>
      <c r="M20" s="841">
        <f t="shared" si="7"/>
        <v>10</v>
      </c>
      <c r="N20" s="841">
        <f t="shared" si="7"/>
        <v>8</v>
      </c>
      <c r="O20" s="841">
        <f t="shared" si="7"/>
        <v>6</v>
      </c>
      <c r="P20" s="841">
        <f t="shared" si="7"/>
        <v>4</v>
      </c>
      <c r="Q20" s="841">
        <f t="shared" si="7"/>
        <v>2</v>
      </c>
      <c r="R20" s="841">
        <f t="shared" si="7"/>
        <v>0</v>
      </c>
      <c r="S20" s="841">
        <f t="shared" si="7"/>
        <v>0</v>
      </c>
      <c r="T20" s="841">
        <f t="shared" si="7"/>
        <v>0</v>
      </c>
      <c r="U20" s="841">
        <f t="shared" si="7"/>
        <v>0</v>
      </c>
      <c r="V20" s="841">
        <f t="shared" si="7"/>
        <v>0</v>
      </c>
      <c r="W20" s="841">
        <f t="shared" si="7"/>
        <v>0</v>
      </c>
      <c r="X20" s="841">
        <f t="shared" si="7"/>
        <v>0</v>
      </c>
      <c r="Y20" s="841">
        <f t="shared" si="7"/>
        <v>0</v>
      </c>
      <c r="Z20" s="841">
        <f t="shared" si="7"/>
        <v>0</v>
      </c>
      <c r="AA20" s="841">
        <f t="shared" si="7"/>
        <v>0</v>
      </c>
      <c r="AB20" s="841">
        <f t="shared" si="7"/>
        <v>0</v>
      </c>
      <c r="AC20" s="841">
        <f t="shared" si="7"/>
        <v>0</v>
      </c>
      <c r="AD20" s="841">
        <f t="shared" si="7"/>
        <v>0</v>
      </c>
      <c r="AE20" s="842">
        <f t="shared" si="3"/>
        <v>110</v>
      </c>
    </row>
    <row r="21" spans="1:248" s="196" customFormat="1" ht="12.75" x14ac:dyDescent="0.2">
      <c r="A21" s="843"/>
      <c r="B21" s="844">
        <v>3</v>
      </c>
      <c r="C21" s="843" t="s">
        <v>89</v>
      </c>
      <c r="D21" s="843"/>
      <c r="E21" s="845" t="s">
        <v>20</v>
      </c>
      <c r="F21" s="846">
        <f t="shared" ref="F21:AE21" si="8">F8-F15</f>
        <v>2000</v>
      </c>
      <c r="G21" s="847">
        <f t="shared" si="8"/>
        <v>3000</v>
      </c>
      <c r="H21" s="847">
        <f t="shared" si="8"/>
        <v>4900</v>
      </c>
      <c r="I21" s="847">
        <f t="shared" si="8"/>
        <v>900</v>
      </c>
      <c r="J21" s="847">
        <f t="shared" si="8"/>
        <v>900</v>
      </c>
      <c r="K21" s="847">
        <f t="shared" si="8"/>
        <v>900</v>
      </c>
      <c r="L21" s="847">
        <f t="shared" si="8"/>
        <v>900</v>
      </c>
      <c r="M21" s="847">
        <f t="shared" si="8"/>
        <v>900</v>
      </c>
      <c r="N21" s="847">
        <f t="shared" si="8"/>
        <v>900</v>
      </c>
      <c r="O21" s="847">
        <f t="shared" si="8"/>
        <v>900</v>
      </c>
      <c r="P21" s="847">
        <f t="shared" si="8"/>
        <v>900</v>
      </c>
      <c r="Q21" s="847">
        <f t="shared" si="8"/>
        <v>900</v>
      </c>
      <c r="R21" s="847">
        <f t="shared" si="8"/>
        <v>1000</v>
      </c>
      <c r="S21" s="847">
        <f t="shared" si="8"/>
        <v>1000</v>
      </c>
      <c r="T21" s="847">
        <f t="shared" si="8"/>
        <v>1000</v>
      </c>
      <c r="U21" s="847">
        <f t="shared" si="8"/>
        <v>1000</v>
      </c>
      <c r="V21" s="847">
        <f t="shared" si="8"/>
        <v>1000</v>
      </c>
      <c r="W21" s="847">
        <f t="shared" si="8"/>
        <v>1000</v>
      </c>
      <c r="X21" s="847">
        <f t="shared" si="8"/>
        <v>1000</v>
      </c>
      <c r="Y21" s="847">
        <f t="shared" si="8"/>
        <v>1000</v>
      </c>
      <c r="Z21" s="847">
        <f t="shared" si="8"/>
        <v>1000</v>
      </c>
      <c r="AA21" s="847">
        <f t="shared" si="8"/>
        <v>1000</v>
      </c>
      <c r="AB21" s="847">
        <f t="shared" si="8"/>
        <v>1000</v>
      </c>
      <c r="AC21" s="847">
        <f t="shared" si="8"/>
        <v>1000</v>
      </c>
      <c r="AD21" s="847">
        <f t="shared" si="8"/>
        <v>1000</v>
      </c>
      <c r="AE21" s="848">
        <f t="shared" si="8"/>
        <v>31000</v>
      </c>
    </row>
    <row r="22" spans="1:248" s="190" customFormat="1" ht="12.75" x14ac:dyDescent="0.2">
      <c r="A22" s="67"/>
      <c r="B22" s="160"/>
      <c r="C22" s="67"/>
      <c r="D22" s="67"/>
      <c r="E22" s="839"/>
      <c r="F22" s="849"/>
      <c r="G22" s="849"/>
      <c r="H22" s="849"/>
      <c r="I22" s="849"/>
      <c r="J22" s="849"/>
      <c r="K22" s="849"/>
      <c r="L22" s="849"/>
      <c r="M22" s="849"/>
      <c r="N22" s="849"/>
      <c r="O22" s="849"/>
      <c r="P22" s="849"/>
      <c r="Q22" s="849"/>
      <c r="R22" s="849"/>
      <c r="S22" s="849"/>
      <c r="T22" s="849"/>
      <c r="U22" s="849"/>
      <c r="V22" s="849"/>
      <c r="W22" s="849"/>
      <c r="X22" s="849"/>
      <c r="Y22" s="849"/>
      <c r="Z22" s="849"/>
      <c r="AA22" s="849"/>
      <c r="AB22" s="849"/>
      <c r="AC22" s="849"/>
      <c r="AD22" s="849"/>
      <c r="AE22" s="849"/>
    </row>
    <row r="23" spans="1:248" s="853" customFormat="1" ht="42" customHeight="1" x14ac:dyDescent="0.2">
      <c r="A23" s="850"/>
      <c r="B23" s="851"/>
      <c r="C23" s="850"/>
      <c r="D23" s="969" t="s">
        <v>561</v>
      </c>
      <c r="E23" s="969"/>
      <c r="F23" s="852" t="str">
        <f>IF(SUM(F10:F11)&gt;SUM('1.DL Projekta budžets'!J24:M24),"Jāsamazina 1.2.pozīcija","Dati korekti")</f>
        <v>Dati korekti</v>
      </c>
      <c r="G23" s="852" t="str">
        <f>IF(SUM(G10:G11)&gt;SUM('1.DL Projekta budžets'!N24:O24),"Jāsamazina 1.2.pozīcijā ievadītie dati","Dati korekti")</f>
        <v>Dati korekti</v>
      </c>
      <c r="H23" s="852" t="str">
        <f>IF(SUM(H10:H11)&gt;SUM('1.DL Projekta budžets'!P24:Q24),"Jāsamazina 1.2.pozīcija","Dati korekti")</f>
        <v>Dati korekti</v>
      </c>
      <c r="I23" s="852" t="str">
        <f>IF(SUM(I10:I11)&gt;SUM('1.DL Projekta budžets'!R24:S24),"Jāsamazina 1.2.pozīcija","Dati korekti")</f>
        <v>Dati korekti</v>
      </c>
      <c r="J23" s="852" t="str">
        <f>IF(SUM(J10:J11)&gt;SUM('1.DL Projekta budžets'!T24:U24),"Jāsamazina 1.2.pozīcija","Dati korekti")</f>
        <v>Dati korekti</v>
      </c>
      <c r="K23" s="852" t="str">
        <f>IF(SUM(K10:K11)&gt;SUM('1.DL Projekta budžets'!V24:W24),"Jāsamazina 1.2.pozīcija","Dati korekti")</f>
        <v>Dati korekti</v>
      </c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</row>
    <row r="24" spans="1:248" s="599" customFormat="1" x14ac:dyDescent="0.25">
      <c r="F24" s="606"/>
      <c r="G24" s="606"/>
      <c r="H24" s="606"/>
      <c r="I24" s="606"/>
      <c r="J24" s="606"/>
      <c r="K24" s="606"/>
      <c r="L24" s="606"/>
      <c r="M24" s="606"/>
      <c r="N24" s="606"/>
      <c r="O24" s="606"/>
      <c r="P24" s="606"/>
      <c r="Q24" s="606"/>
      <c r="R24" s="606"/>
      <c r="S24" s="606"/>
      <c r="T24" s="606"/>
      <c r="U24" s="606"/>
      <c r="V24" s="606"/>
      <c r="W24" s="606"/>
      <c r="X24" s="606"/>
      <c r="Y24" s="606"/>
      <c r="Z24" s="606"/>
      <c r="AA24" s="606"/>
      <c r="AB24" s="606"/>
      <c r="AC24" s="606"/>
      <c r="AD24" s="606"/>
      <c r="AE24" s="606"/>
    </row>
    <row r="25" spans="1:248" s="491" customFormat="1" ht="20.25" customHeight="1" x14ac:dyDescent="0.25">
      <c r="A25" s="963" t="s">
        <v>91</v>
      </c>
      <c r="B25" s="964"/>
      <c r="C25" s="964"/>
      <c r="D25" s="964"/>
      <c r="E25" s="964"/>
      <c r="F25" s="485"/>
      <c r="G25" s="485"/>
      <c r="H25" s="485"/>
      <c r="I25" s="485"/>
      <c r="J25" s="485"/>
      <c r="K25" s="485"/>
      <c r="L25" s="485"/>
      <c r="M25" s="485"/>
      <c r="N25" s="485"/>
      <c r="O25" s="485"/>
      <c r="P25" s="485"/>
      <c r="Q25" s="485"/>
      <c r="R25" s="485"/>
      <c r="S25" s="485"/>
      <c r="T25" s="485"/>
      <c r="U25" s="485"/>
      <c r="V25" s="486"/>
      <c r="W25" s="486"/>
      <c r="X25" s="486"/>
      <c r="Y25" s="486"/>
      <c r="Z25" s="486"/>
      <c r="AA25" s="486"/>
      <c r="AB25" s="486"/>
      <c r="AC25" s="486"/>
      <c r="AD25" s="486"/>
      <c r="AE25" s="486"/>
      <c r="AF25" s="487"/>
      <c r="AG25" s="487"/>
      <c r="AH25" s="488"/>
      <c r="AI25" s="487"/>
      <c r="AJ25" s="489"/>
      <c r="AK25" s="490"/>
      <c r="AL25" s="489"/>
      <c r="AM25" s="490"/>
      <c r="AN25" s="489"/>
      <c r="AO25" s="487"/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  <c r="BB25" s="487"/>
      <c r="BC25" s="487"/>
      <c r="BD25" s="487"/>
      <c r="BE25" s="487"/>
      <c r="BF25" s="487"/>
      <c r="BG25" s="487"/>
      <c r="BH25" s="487"/>
      <c r="BI25" s="487"/>
      <c r="BJ25" s="487"/>
      <c r="BK25" s="487"/>
      <c r="BL25" s="487"/>
      <c r="BM25" s="487"/>
      <c r="BN25" s="487"/>
      <c r="BO25" s="487"/>
      <c r="BP25" s="487"/>
      <c r="BQ25" s="487"/>
      <c r="BR25" s="487"/>
      <c r="BS25" s="487"/>
      <c r="BT25" s="487"/>
      <c r="BU25" s="487"/>
      <c r="BV25" s="487"/>
      <c r="BW25" s="487"/>
      <c r="BX25" s="487"/>
      <c r="BY25" s="487"/>
      <c r="BZ25" s="487"/>
      <c r="CA25" s="487"/>
      <c r="CB25" s="487"/>
      <c r="CC25" s="487"/>
      <c r="CD25" s="487"/>
      <c r="CE25" s="487"/>
      <c r="CF25" s="487"/>
      <c r="CG25" s="487"/>
      <c r="CH25" s="487"/>
      <c r="CI25" s="487"/>
      <c r="CJ25" s="487"/>
      <c r="CK25" s="487"/>
      <c r="CL25" s="487"/>
      <c r="CM25" s="487"/>
      <c r="CN25" s="487"/>
      <c r="CO25" s="487"/>
      <c r="CP25" s="487"/>
      <c r="CQ25" s="487"/>
      <c r="CR25" s="487"/>
      <c r="CS25" s="487"/>
      <c r="CT25" s="487"/>
      <c r="CU25" s="487"/>
      <c r="CV25" s="487"/>
      <c r="CW25" s="487"/>
      <c r="CX25" s="487"/>
      <c r="CY25" s="487"/>
      <c r="CZ25" s="487"/>
      <c r="DA25" s="487"/>
      <c r="DB25" s="487"/>
      <c r="DC25" s="487"/>
      <c r="DD25" s="487"/>
      <c r="DE25" s="487"/>
      <c r="DF25" s="487"/>
      <c r="DG25" s="487"/>
      <c r="DH25" s="487"/>
      <c r="DI25" s="487"/>
      <c r="DJ25" s="487"/>
      <c r="DK25" s="487"/>
      <c r="DL25" s="487"/>
      <c r="DM25" s="487"/>
      <c r="DN25" s="487"/>
      <c r="DO25" s="487"/>
      <c r="DP25" s="487"/>
      <c r="DQ25" s="487"/>
      <c r="DR25" s="487"/>
      <c r="DS25" s="487"/>
      <c r="DT25" s="487"/>
      <c r="DU25" s="487"/>
      <c r="DV25" s="487"/>
      <c r="DW25" s="487"/>
      <c r="DX25" s="487"/>
      <c r="DY25" s="487"/>
      <c r="DZ25" s="487"/>
      <c r="EA25" s="487"/>
      <c r="EB25" s="487"/>
      <c r="EC25" s="487"/>
      <c r="ED25" s="487"/>
      <c r="EE25" s="487"/>
      <c r="EF25" s="487"/>
      <c r="EG25" s="487"/>
      <c r="EH25" s="487"/>
      <c r="EI25" s="487"/>
      <c r="EJ25" s="487"/>
      <c r="EK25" s="487"/>
      <c r="EL25" s="487"/>
      <c r="EM25" s="487"/>
      <c r="EN25" s="487"/>
      <c r="EO25" s="487"/>
      <c r="EP25" s="487"/>
      <c r="EQ25" s="487"/>
      <c r="ER25" s="487"/>
      <c r="ES25" s="487"/>
      <c r="ET25" s="487"/>
      <c r="EU25" s="487"/>
      <c r="EV25" s="487"/>
      <c r="EW25" s="487"/>
      <c r="EX25" s="487"/>
      <c r="EY25" s="487"/>
      <c r="EZ25" s="487"/>
      <c r="FA25" s="487"/>
      <c r="FB25" s="487"/>
      <c r="FC25" s="487"/>
      <c r="FD25" s="487"/>
      <c r="FE25" s="487"/>
      <c r="FF25" s="487"/>
      <c r="FG25" s="487"/>
      <c r="FH25" s="487"/>
      <c r="FI25" s="487"/>
      <c r="FJ25" s="487"/>
      <c r="FK25" s="487"/>
      <c r="FL25" s="487"/>
      <c r="FM25" s="487"/>
      <c r="FN25" s="487"/>
      <c r="FO25" s="487"/>
      <c r="FP25" s="487"/>
      <c r="FQ25" s="487"/>
      <c r="FR25" s="487"/>
      <c r="FS25" s="487"/>
      <c r="FT25" s="487"/>
      <c r="FU25" s="487"/>
      <c r="FV25" s="487"/>
      <c r="FW25" s="487"/>
      <c r="FX25" s="487"/>
      <c r="FY25" s="487"/>
      <c r="FZ25" s="487"/>
      <c r="GA25" s="487"/>
      <c r="GB25" s="487"/>
      <c r="GC25" s="487"/>
      <c r="GD25" s="487"/>
      <c r="GE25" s="487"/>
      <c r="GF25" s="487"/>
      <c r="GG25" s="487"/>
      <c r="GH25" s="487"/>
      <c r="GI25" s="487"/>
      <c r="GJ25" s="487"/>
      <c r="GK25" s="487"/>
      <c r="GL25" s="487"/>
      <c r="GM25" s="487"/>
      <c r="GN25" s="487"/>
      <c r="GO25" s="487"/>
      <c r="GP25" s="487"/>
      <c r="GQ25" s="487"/>
      <c r="GR25" s="487"/>
      <c r="GS25" s="487"/>
      <c r="GT25" s="487"/>
      <c r="GU25" s="487"/>
      <c r="GV25" s="487"/>
      <c r="GW25" s="487"/>
      <c r="GX25" s="487"/>
      <c r="GY25" s="487"/>
      <c r="GZ25" s="487"/>
      <c r="HA25" s="487"/>
      <c r="HB25" s="487"/>
      <c r="HC25" s="487"/>
      <c r="HD25" s="487"/>
      <c r="HE25" s="487"/>
      <c r="HF25" s="487"/>
      <c r="HG25" s="487"/>
      <c r="HH25" s="487"/>
      <c r="HI25" s="487"/>
      <c r="HJ25" s="487"/>
      <c r="HK25" s="487"/>
      <c r="HL25" s="487"/>
      <c r="HM25" s="487"/>
      <c r="HN25" s="487"/>
      <c r="HO25" s="487"/>
      <c r="HP25" s="487"/>
      <c r="HQ25" s="487"/>
      <c r="HR25" s="487"/>
      <c r="HS25" s="487"/>
      <c r="HT25" s="487"/>
      <c r="HU25" s="487"/>
      <c r="HV25" s="487"/>
      <c r="HW25" s="487"/>
      <c r="HX25" s="487"/>
      <c r="HY25" s="487"/>
      <c r="HZ25" s="487"/>
      <c r="IA25" s="487"/>
      <c r="IB25" s="487"/>
      <c r="IC25" s="487"/>
      <c r="ID25" s="487"/>
      <c r="IE25" s="487"/>
      <c r="IF25" s="487"/>
      <c r="IG25" s="487"/>
      <c r="IH25" s="487"/>
      <c r="II25" s="487"/>
      <c r="IJ25" s="487"/>
      <c r="IK25" s="487"/>
      <c r="IL25" s="487"/>
      <c r="IM25" s="487"/>
      <c r="IN25" s="487"/>
    </row>
    <row r="26" spans="1:248" s="491" customFormat="1" ht="12.75" x14ac:dyDescent="0.2">
      <c r="A26" s="492"/>
      <c r="B26" s="493"/>
      <c r="C26" s="493"/>
      <c r="D26" s="493"/>
      <c r="E26" s="493"/>
      <c r="F26" s="494"/>
      <c r="G26" s="495"/>
      <c r="H26" s="495"/>
      <c r="I26" s="495"/>
      <c r="J26" s="494" t="s">
        <v>90</v>
      </c>
      <c r="K26" s="495"/>
      <c r="L26" s="494"/>
      <c r="M26" s="495"/>
      <c r="N26" s="495"/>
      <c r="O26" s="495"/>
      <c r="P26" s="496"/>
      <c r="Q26" s="496"/>
      <c r="R26" s="496"/>
      <c r="S26" s="496"/>
      <c r="T26" s="496"/>
      <c r="U26" s="496"/>
      <c r="V26" s="496"/>
      <c r="W26" s="496"/>
      <c r="X26" s="496"/>
      <c r="Y26" s="496"/>
      <c r="Z26" s="496"/>
      <c r="AA26" s="496"/>
      <c r="AB26" s="496"/>
      <c r="AC26" s="496"/>
      <c r="AD26" s="496"/>
      <c r="AE26" s="496"/>
      <c r="AF26" s="487"/>
      <c r="AG26" s="487"/>
      <c r="AH26" s="488"/>
      <c r="AI26" s="487"/>
      <c r="AJ26" s="489"/>
      <c r="AK26" s="490"/>
      <c r="AL26" s="489"/>
      <c r="AM26" s="490"/>
      <c r="AN26" s="489"/>
      <c r="AO26" s="487"/>
      <c r="AP26" s="487"/>
      <c r="AQ26" s="487"/>
      <c r="AR26" s="487"/>
      <c r="AS26" s="487"/>
      <c r="AT26" s="487"/>
      <c r="AU26" s="487"/>
      <c r="AV26" s="487"/>
      <c r="AW26" s="487"/>
      <c r="AX26" s="487"/>
      <c r="AY26" s="487"/>
      <c r="AZ26" s="487"/>
      <c r="BA26" s="487"/>
      <c r="BB26" s="487"/>
      <c r="BC26" s="487"/>
      <c r="BD26" s="487"/>
      <c r="BE26" s="487"/>
      <c r="BF26" s="487"/>
      <c r="BG26" s="487"/>
      <c r="BH26" s="487"/>
      <c r="BI26" s="487"/>
      <c r="BJ26" s="487"/>
      <c r="BK26" s="487"/>
      <c r="BL26" s="487"/>
      <c r="BM26" s="487"/>
      <c r="BN26" s="487"/>
      <c r="BO26" s="487"/>
      <c r="BP26" s="487"/>
      <c r="BQ26" s="487"/>
      <c r="BR26" s="487"/>
      <c r="BS26" s="487"/>
      <c r="BT26" s="487"/>
      <c r="BU26" s="487"/>
      <c r="BV26" s="487"/>
      <c r="BW26" s="487"/>
      <c r="BX26" s="487"/>
      <c r="BY26" s="487"/>
      <c r="BZ26" s="487"/>
      <c r="CA26" s="487"/>
      <c r="CB26" s="487"/>
      <c r="CC26" s="487"/>
      <c r="CD26" s="487"/>
      <c r="CE26" s="487"/>
      <c r="CF26" s="487"/>
      <c r="CG26" s="487"/>
      <c r="CH26" s="487"/>
      <c r="CI26" s="487"/>
      <c r="CJ26" s="487"/>
      <c r="CK26" s="487"/>
      <c r="CL26" s="487"/>
      <c r="CM26" s="487"/>
      <c r="CN26" s="487"/>
      <c r="CO26" s="487"/>
      <c r="CP26" s="487"/>
      <c r="CQ26" s="487"/>
      <c r="CR26" s="487"/>
      <c r="CS26" s="487"/>
      <c r="CT26" s="487"/>
      <c r="CU26" s="487"/>
      <c r="CV26" s="487"/>
      <c r="CW26" s="487"/>
      <c r="CX26" s="487"/>
      <c r="CY26" s="487"/>
      <c r="CZ26" s="487"/>
      <c r="DA26" s="487"/>
      <c r="DB26" s="487"/>
      <c r="DC26" s="487"/>
      <c r="DD26" s="487"/>
      <c r="DE26" s="487"/>
      <c r="DF26" s="487"/>
      <c r="DG26" s="487"/>
      <c r="DH26" s="487"/>
      <c r="DI26" s="487"/>
      <c r="DJ26" s="487"/>
      <c r="DK26" s="487"/>
      <c r="DL26" s="487"/>
      <c r="DM26" s="487"/>
      <c r="DN26" s="487"/>
      <c r="DO26" s="487"/>
      <c r="DP26" s="487"/>
      <c r="DQ26" s="487"/>
      <c r="DR26" s="487"/>
      <c r="DS26" s="487"/>
      <c r="DT26" s="487"/>
      <c r="DU26" s="487"/>
      <c r="DV26" s="487"/>
      <c r="DW26" s="487"/>
      <c r="DX26" s="487"/>
      <c r="DY26" s="487"/>
      <c r="DZ26" s="487"/>
      <c r="EA26" s="487"/>
      <c r="EB26" s="487"/>
      <c r="EC26" s="487"/>
      <c r="ED26" s="487"/>
      <c r="EE26" s="487"/>
      <c r="EF26" s="487"/>
      <c r="EG26" s="487"/>
      <c r="EH26" s="487"/>
      <c r="EI26" s="487"/>
      <c r="EJ26" s="487"/>
      <c r="EK26" s="487"/>
      <c r="EL26" s="487"/>
      <c r="EM26" s="487"/>
      <c r="EN26" s="487"/>
      <c r="EO26" s="487"/>
      <c r="EP26" s="487"/>
      <c r="EQ26" s="487"/>
      <c r="ER26" s="487"/>
      <c r="ES26" s="487"/>
      <c r="ET26" s="487"/>
      <c r="EU26" s="487"/>
      <c r="EV26" s="487"/>
      <c r="EW26" s="487"/>
      <c r="EX26" s="487"/>
      <c r="EY26" s="487"/>
      <c r="EZ26" s="487"/>
      <c r="FA26" s="487"/>
      <c r="FB26" s="487"/>
      <c r="FC26" s="487"/>
      <c r="FD26" s="487"/>
      <c r="FE26" s="487"/>
      <c r="FF26" s="487"/>
      <c r="FG26" s="487"/>
      <c r="FH26" s="487"/>
      <c r="FI26" s="487"/>
      <c r="FJ26" s="487"/>
      <c r="FK26" s="487"/>
      <c r="FL26" s="487"/>
      <c r="FM26" s="487"/>
      <c r="FN26" s="487"/>
      <c r="FO26" s="487"/>
      <c r="FP26" s="487"/>
      <c r="FQ26" s="487"/>
      <c r="FR26" s="487"/>
      <c r="FS26" s="487"/>
      <c r="FT26" s="487"/>
      <c r="FU26" s="487"/>
      <c r="FV26" s="487"/>
      <c r="FW26" s="487"/>
      <c r="FX26" s="487"/>
      <c r="FY26" s="487"/>
      <c r="FZ26" s="487"/>
      <c r="GA26" s="487"/>
      <c r="GB26" s="487"/>
      <c r="GC26" s="487"/>
      <c r="GD26" s="487"/>
      <c r="GE26" s="487"/>
      <c r="GF26" s="487"/>
      <c r="GG26" s="487"/>
      <c r="GH26" s="487"/>
      <c r="GI26" s="487"/>
      <c r="GJ26" s="487"/>
      <c r="GK26" s="487"/>
      <c r="GL26" s="487"/>
      <c r="GM26" s="487"/>
      <c r="GN26" s="487"/>
      <c r="GO26" s="487"/>
      <c r="GP26" s="487"/>
      <c r="GQ26" s="487"/>
      <c r="GR26" s="487"/>
      <c r="GS26" s="487"/>
      <c r="GT26" s="487"/>
      <c r="GU26" s="487"/>
      <c r="GV26" s="487"/>
      <c r="GW26" s="487"/>
      <c r="GX26" s="487"/>
      <c r="GY26" s="487"/>
      <c r="GZ26" s="487"/>
      <c r="HA26" s="487"/>
      <c r="HB26" s="487"/>
      <c r="HC26" s="487"/>
      <c r="HD26" s="487"/>
      <c r="HE26" s="487"/>
      <c r="HF26" s="487"/>
      <c r="HG26" s="487"/>
      <c r="HH26" s="487"/>
      <c r="HI26" s="487"/>
      <c r="HJ26" s="487"/>
      <c r="HK26" s="487"/>
      <c r="HL26" s="487"/>
      <c r="HM26" s="487"/>
      <c r="HN26" s="487"/>
      <c r="HO26" s="487"/>
      <c r="HP26" s="487"/>
      <c r="HQ26" s="487"/>
      <c r="HR26" s="487"/>
      <c r="HS26" s="487"/>
      <c r="HT26" s="487"/>
      <c r="HU26" s="487"/>
      <c r="HV26" s="487"/>
      <c r="HW26" s="487"/>
      <c r="HX26" s="487"/>
      <c r="HY26" s="487"/>
      <c r="HZ26" s="487"/>
      <c r="IA26" s="487"/>
      <c r="IB26" s="487"/>
      <c r="IC26" s="487"/>
      <c r="ID26" s="487"/>
      <c r="IE26" s="487"/>
      <c r="IF26" s="487"/>
      <c r="IG26" s="487"/>
      <c r="IH26" s="487"/>
      <c r="II26" s="487"/>
      <c r="IJ26" s="487"/>
      <c r="IK26" s="487"/>
      <c r="IL26" s="487"/>
      <c r="IM26" s="487"/>
      <c r="IN26" s="487"/>
    </row>
    <row r="27" spans="1:248" s="491" customFormat="1" ht="12.75" x14ac:dyDescent="0.2">
      <c r="A27" s="497"/>
      <c r="B27" s="498"/>
      <c r="C27" s="498"/>
      <c r="D27" s="498"/>
      <c r="E27" s="498"/>
      <c r="F27" s="499">
        <f>Titullapa!D10</f>
        <v>2021</v>
      </c>
      <c r="G27" s="499">
        <f>F27+1</f>
        <v>2022</v>
      </c>
      <c r="H27" s="499">
        <f t="shared" ref="H27:AD27" si="9">G27+1</f>
        <v>2023</v>
      </c>
      <c r="I27" s="499">
        <f t="shared" si="9"/>
        <v>2024</v>
      </c>
      <c r="J27" s="499">
        <f t="shared" si="9"/>
        <v>2025</v>
      </c>
      <c r="K27" s="499">
        <f t="shared" si="9"/>
        <v>2026</v>
      </c>
      <c r="L27" s="499">
        <f t="shared" si="9"/>
        <v>2027</v>
      </c>
      <c r="M27" s="499">
        <f t="shared" si="9"/>
        <v>2028</v>
      </c>
      <c r="N27" s="499">
        <f t="shared" si="9"/>
        <v>2029</v>
      </c>
      <c r="O27" s="499">
        <f t="shared" si="9"/>
        <v>2030</v>
      </c>
      <c r="P27" s="499">
        <f t="shared" si="9"/>
        <v>2031</v>
      </c>
      <c r="Q27" s="499">
        <f t="shared" si="9"/>
        <v>2032</v>
      </c>
      <c r="R27" s="499">
        <f t="shared" si="9"/>
        <v>2033</v>
      </c>
      <c r="S27" s="499">
        <f t="shared" si="9"/>
        <v>2034</v>
      </c>
      <c r="T27" s="499">
        <f t="shared" si="9"/>
        <v>2035</v>
      </c>
      <c r="U27" s="499">
        <f t="shared" si="9"/>
        <v>2036</v>
      </c>
      <c r="V27" s="499">
        <f t="shared" si="9"/>
        <v>2037</v>
      </c>
      <c r="W27" s="499">
        <f t="shared" si="9"/>
        <v>2038</v>
      </c>
      <c r="X27" s="499">
        <f t="shared" si="9"/>
        <v>2039</v>
      </c>
      <c r="Y27" s="499">
        <f t="shared" si="9"/>
        <v>2040</v>
      </c>
      <c r="Z27" s="499">
        <f t="shared" si="9"/>
        <v>2041</v>
      </c>
      <c r="AA27" s="499">
        <f t="shared" si="9"/>
        <v>2042</v>
      </c>
      <c r="AB27" s="499">
        <f t="shared" si="9"/>
        <v>2043</v>
      </c>
      <c r="AC27" s="499">
        <f t="shared" si="9"/>
        <v>2044</v>
      </c>
      <c r="AD27" s="499">
        <f t="shared" si="9"/>
        <v>2045</v>
      </c>
      <c r="AE27" s="500" t="s">
        <v>40</v>
      </c>
      <c r="AF27" s="487"/>
      <c r="AG27" s="487"/>
      <c r="AH27" s="488"/>
      <c r="AI27" s="487"/>
      <c r="AJ27" s="489"/>
      <c r="AK27" s="490"/>
      <c r="AL27" s="489"/>
      <c r="AM27" s="490"/>
      <c r="AN27" s="489"/>
      <c r="AO27" s="487"/>
      <c r="AP27" s="487"/>
      <c r="AQ27" s="487"/>
      <c r="AR27" s="487"/>
      <c r="AS27" s="487"/>
      <c r="AT27" s="487"/>
      <c r="AU27" s="487"/>
      <c r="AV27" s="487"/>
      <c r="AW27" s="487"/>
      <c r="AX27" s="487"/>
      <c r="AY27" s="487"/>
      <c r="AZ27" s="487"/>
      <c r="BA27" s="487"/>
      <c r="BB27" s="487"/>
      <c r="BC27" s="487"/>
      <c r="BD27" s="487"/>
      <c r="BE27" s="487"/>
      <c r="BF27" s="487"/>
      <c r="BG27" s="487"/>
      <c r="BH27" s="487"/>
      <c r="BI27" s="487"/>
      <c r="BJ27" s="487"/>
      <c r="BK27" s="487"/>
      <c r="BL27" s="487"/>
      <c r="BM27" s="487"/>
      <c r="BN27" s="487"/>
      <c r="BO27" s="487"/>
      <c r="BP27" s="487"/>
      <c r="BQ27" s="487"/>
      <c r="BR27" s="487"/>
      <c r="BS27" s="487"/>
      <c r="BT27" s="487"/>
      <c r="BU27" s="487"/>
      <c r="BV27" s="487"/>
      <c r="BW27" s="487"/>
      <c r="BX27" s="487"/>
      <c r="BY27" s="487"/>
      <c r="BZ27" s="487"/>
      <c r="CA27" s="487"/>
      <c r="CB27" s="487"/>
      <c r="CC27" s="487"/>
      <c r="CD27" s="487"/>
      <c r="CE27" s="487"/>
      <c r="CF27" s="487"/>
      <c r="CG27" s="487"/>
      <c r="CH27" s="487"/>
      <c r="CI27" s="487"/>
      <c r="CJ27" s="487"/>
      <c r="CK27" s="487"/>
      <c r="CL27" s="487"/>
      <c r="CM27" s="487"/>
      <c r="CN27" s="487"/>
      <c r="CO27" s="487"/>
      <c r="CP27" s="487"/>
      <c r="CQ27" s="487"/>
      <c r="CR27" s="487"/>
      <c r="CS27" s="487"/>
      <c r="CT27" s="487"/>
      <c r="CU27" s="487"/>
      <c r="CV27" s="487"/>
      <c r="CW27" s="487"/>
      <c r="CX27" s="487"/>
      <c r="CY27" s="487"/>
      <c r="CZ27" s="487"/>
      <c r="DA27" s="487"/>
      <c r="DB27" s="487"/>
      <c r="DC27" s="487"/>
      <c r="DD27" s="487"/>
      <c r="DE27" s="487"/>
      <c r="DF27" s="487"/>
      <c r="DG27" s="487"/>
      <c r="DH27" s="487"/>
      <c r="DI27" s="487"/>
      <c r="DJ27" s="487"/>
      <c r="DK27" s="487"/>
      <c r="DL27" s="487"/>
      <c r="DM27" s="487"/>
      <c r="DN27" s="487"/>
      <c r="DO27" s="487"/>
      <c r="DP27" s="487"/>
      <c r="DQ27" s="487"/>
      <c r="DR27" s="487"/>
      <c r="DS27" s="487"/>
      <c r="DT27" s="487"/>
      <c r="DU27" s="487"/>
      <c r="DV27" s="487"/>
      <c r="DW27" s="487"/>
      <c r="DX27" s="487"/>
      <c r="DY27" s="487"/>
      <c r="DZ27" s="487"/>
      <c r="EA27" s="487"/>
      <c r="EB27" s="487"/>
      <c r="EC27" s="487"/>
      <c r="ED27" s="487"/>
      <c r="EE27" s="487"/>
      <c r="EF27" s="487"/>
      <c r="EG27" s="487"/>
      <c r="EH27" s="487"/>
      <c r="EI27" s="487"/>
      <c r="EJ27" s="487"/>
      <c r="EK27" s="487"/>
      <c r="EL27" s="487"/>
      <c r="EM27" s="487"/>
      <c r="EN27" s="487"/>
      <c r="EO27" s="487"/>
      <c r="EP27" s="487"/>
      <c r="EQ27" s="487"/>
      <c r="ER27" s="487"/>
      <c r="ES27" s="487"/>
      <c r="ET27" s="487"/>
      <c r="EU27" s="487"/>
      <c r="EV27" s="487"/>
      <c r="EW27" s="487"/>
      <c r="EX27" s="487"/>
      <c r="EY27" s="487"/>
      <c r="EZ27" s="487"/>
      <c r="FA27" s="487"/>
      <c r="FB27" s="487"/>
      <c r="FC27" s="487"/>
      <c r="FD27" s="487"/>
      <c r="FE27" s="487"/>
      <c r="FF27" s="487"/>
      <c r="FG27" s="487"/>
      <c r="FH27" s="487"/>
      <c r="FI27" s="487"/>
      <c r="FJ27" s="487"/>
      <c r="FK27" s="487"/>
      <c r="FL27" s="487"/>
      <c r="FM27" s="487"/>
      <c r="FN27" s="487"/>
      <c r="FO27" s="487"/>
      <c r="FP27" s="487"/>
      <c r="FQ27" s="487"/>
      <c r="FR27" s="487"/>
      <c r="FS27" s="487"/>
      <c r="FT27" s="487"/>
      <c r="FU27" s="487"/>
      <c r="FV27" s="487"/>
      <c r="FW27" s="487"/>
      <c r="FX27" s="487"/>
      <c r="FY27" s="487"/>
      <c r="FZ27" s="487"/>
      <c r="GA27" s="487"/>
      <c r="GB27" s="487"/>
      <c r="GC27" s="487"/>
      <c r="GD27" s="487"/>
      <c r="GE27" s="487"/>
      <c r="GF27" s="487"/>
      <c r="GG27" s="487"/>
      <c r="GH27" s="487"/>
      <c r="GI27" s="487"/>
      <c r="GJ27" s="487"/>
      <c r="GK27" s="487"/>
      <c r="GL27" s="487"/>
      <c r="GM27" s="487"/>
      <c r="GN27" s="487"/>
      <c r="GO27" s="487"/>
      <c r="GP27" s="487"/>
      <c r="GQ27" s="487"/>
      <c r="GR27" s="487"/>
      <c r="GS27" s="487"/>
      <c r="GT27" s="487"/>
      <c r="GU27" s="487"/>
      <c r="GV27" s="487"/>
      <c r="GW27" s="487"/>
      <c r="GX27" s="487"/>
      <c r="GY27" s="487"/>
      <c r="GZ27" s="487"/>
      <c r="HA27" s="487"/>
      <c r="HB27" s="487"/>
      <c r="HC27" s="487"/>
      <c r="HD27" s="487"/>
      <c r="HE27" s="487"/>
      <c r="HF27" s="487"/>
      <c r="HG27" s="487"/>
      <c r="HH27" s="487"/>
      <c r="HI27" s="487"/>
      <c r="HJ27" s="487"/>
      <c r="HK27" s="487"/>
      <c r="HL27" s="487"/>
      <c r="HM27" s="487"/>
      <c r="HN27" s="487"/>
      <c r="HO27" s="487"/>
      <c r="HP27" s="487"/>
      <c r="HQ27" s="487"/>
      <c r="HR27" s="487"/>
      <c r="HS27" s="487"/>
      <c r="HT27" s="487"/>
      <c r="HU27" s="487"/>
      <c r="HV27" s="487"/>
      <c r="HW27" s="487"/>
      <c r="HX27" s="487"/>
      <c r="HY27" s="487"/>
      <c r="HZ27" s="487"/>
      <c r="IA27" s="487"/>
      <c r="IB27" s="487"/>
      <c r="IC27" s="487"/>
      <c r="ID27" s="487"/>
      <c r="IE27" s="487"/>
      <c r="IF27" s="487"/>
      <c r="IG27" s="487"/>
      <c r="IH27" s="487"/>
      <c r="II27" s="487"/>
      <c r="IJ27" s="487"/>
      <c r="IK27" s="487"/>
      <c r="IL27" s="487"/>
      <c r="IM27" s="487"/>
      <c r="IN27" s="487"/>
    </row>
    <row r="28" spans="1:248" s="491" customFormat="1" ht="27" customHeight="1" x14ac:dyDescent="0.2">
      <c r="B28" s="410" t="s">
        <v>28</v>
      </c>
      <c r="C28" s="962" t="s">
        <v>92</v>
      </c>
      <c r="D28" s="962"/>
      <c r="E28" s="501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3"/>
      <c r="AA28" s="503"/>
      <c r="AB28" s="503"/>
      <c r="AC28" s="503"/>
      <c r="AD28" s="503"/>
      <c r="AE28" s="503"/>
      <c r="AF28" s="487"/>
      <c r="AG28" s="487"/>
      <c r="AH28" s="488"/>
      <c r="AI28" s="487"/>
      <c r="AJ28" s="489"/>
      <c r="AK28" s="490"/>
      <c r="AL28" s="489"/>
      <c r="AM28" s="490"/>
      <c r="AN28" s="489"/>
      <c r="AO28" s="487"/>
      <c r="AP28" s="487"/>
      <c r="AQ28" s="487"/>
      <c r="AR28" s="487"/>
      <c r="AS28" s="487"/>
      <c r="AT28" s="487"/>
      <c r="AU28" s="487"/>
      <c r="AV28" s="487"/>
      <c r="AW28" s="487"/>
      <c r="AX28" s="487"/>
      <c r="AY28" s="487"/>
      <c r="AZ28" s="487"/>
      <c r="BA28" s="487"/>
      <c r="BB28" s="487"/>
      <c r="BC28" s="487"/>
      <c r="BD28" s="487"/>
      <c r="BE28" s="487"/>
      <c r="BF28" s="487"/>
      <c r="BG28" s="487"/>
      <c r="BH28" s="487"/>
      <c r="BI28" s="487"/>
      <c r="BJ28" s="487"/>
      <c r="BK28" s="487"/>
      <c r="BL28" s="487"/>
      <c r="BM28" s="487"/>
      <c r="BN28" s="487"/>
      <c r="BO28" s="487"/>
      <c r="BP28" s="487"/>
      <c r="BQ28" s="487"/>
      <c r="BR28" s="487"/>
      <c r="BS28" s="487"/>
      <c r="BT28" s="487"/>
      <c r="BU28" s="487"/>
      <c r="BV28" s="487"/>
      <c r="BW28" s="487"/>
      <c r="BX28" s="487"/>
      <c r="BY28" s="487"/>
      <c r="BZ28" s="487"/>
      <c r="CA28" s="487"/>
      <c r="CB28" s="487"/>
      <c r="CC28" s="487"/>
      <c r="CD28" s="487"/>
      <c r="CE28" s="487"/>
      <c r="CF28" s="487"/>
      <c r="CG28" s="487"/>
      <c r="CH28" s="487"/>
      <c r="CI28" s="487"/>
      <c r="CJ28" s="487"/>
      <c r="CK28" s="487"/>
      <c r="CL28" s="487"/>
      <c r="CM28" s="487"/>
      <c r="CN28" s="487"/>
      <c r="CO28" s="487"/>
      <c r="CP28" s="487"/>
      <c r="CQ28" s="487"/>
      <c r="CR28" s="487"/>
      <c r="CS28" s="487"/>
      <c r="CT28" s="487"/>
      <c r="CU28" s="487"/>
      <c r="CV28" s="487"/>
      <c r="CW28" s="487"/>
      <c r="CX28" s="487"/>
      <c r="CY28" s="487"/>
      <c r="CZ28" s="487"/>
      <c r="DA28" s="487"/>
      <c r="DB28" s="487"/>
      <c r="DC28" s="487"/>
      <c r="DD28" s="487"/>
      <c r="DE28" s="487"/>
      <c r="DF28" s="487"/>
      <c r="DG28" s="487"/>
      <c r="DH28" s="487"/>
      <c r="DI28" s="487"/>
      <c r="DJ28" s="487"/>
      <c r="DK28" s="487"/>
      <c r="DL28" s="487"/>
      <c r="DM28" s="487"/>
      <c r="DN28" s="487"/>
      <c r="DO28" s="487"/>
      <c r="DP28" s="487"/>
      <c r="DQ28" s="487"/>
      <c r="DR28" s="487"/>
      <c r="DS28" s="487"/>
      <c r="DT28" s="487"/>
      <c r="DU28" s="487"/>
      <c r="DV28" s="487"/>
      <c r="DW28" s="487"/>
      <c r="DX28" s="487"/>
      <c r="DY28" s="487"/>
      <c r="DZ28" s="487"/>
      <c r="EA28" s="487"/>
      <c r="EB28" s="487"/>
      <c r="EC28" s="487"/>
      <c r="ED28" s="487"/>
      <c r="EE28" s="487"/>
      <c r="EF28" s="487"/>
      <c r="EG28" s="487"/>
      <c r="EH28" s="487"/>
      <c r="EI28" s="487"/>
      <c r="EJ28" s="487"/>
      <c r="EK28" s="487"/>
      <c r="EL28" s="487"/>
      <c r="EM28" s="487"/>
      <c r="EN28" s="487"/>
      <c r="EO28" s="487"/>
      <c r="EP28" s="487"/>
      <c r="EQ28" s="487"/>
      <c r="ER28" s="487"/>
      <c r="ES28" s="487"/>
      <c r="ET28" s="487"/>
      <c r="EU28" s="487"/>
      <c r="EV28" s="487"/>
      <c r="EW28" s="487"/>
      <c r="EX28" s="487"/>
      <c r="EY28" s="487"/>
      <c r="EZ28" s="487"/>
      <c r="FA28" s="487"/>
      <c r="FB28" s="487"/>
      <c r="FC28" s="487"/>
      <c r="FD28" s="487"/>
      <c r="FE28" s="487"/>
      <c r="FF28" s="487"/>
      <c r="FG28" s="487"/>
      <c r="FH28" s="487"/>
      <c r="FI28" s="487"/>
      <c r="FJ28" s="487"/>
      <c r="FK28" s="487"/>
      <c r="FL28" s="487"/>
      <c r="FM28" s="487"/>
      <c r="FN28" s="487"/>
      <c r="FO28" s="487"/>
      <c r="FP28" s="487"/>
      <c r="FQ28" s="487"/>
      <c r="FR28" s="487"/>
      <c r="FS28" s="487"/>
      <c r="FT28" s="487"/>
      <c r="FU28" s="487"/>
      <c r="FV28" s="487"/>
      <c r="FW28" s="487"/>
      <c r="FX28" s="487"/>
      <c r="FY28" s="487"/>
      <c r="FZ28" s="487"/>
      <c r="GA28" s="487"/>
      <c r="GB28" s="487"/>
      <c r="GC28" s="487"/>
      <c r="GD28" s="487"/>
      <c r="GE28" s="487"/>
      <c r="GF28" s="487"/>
      <c r="GG28" s="487"/>
      <c r="GH28" s="487"/>
      <c r="GI28" s="487"/>
      <c r="GJ28" s="487"/>
      <c r="GK28" s="487"/>
      <c r="GL28" s="487"/>
      <c r="GM28" s="487"/>
      <c r="GN28" s="487"/>
      <c r="GO28" s="487"/>
      <c r="GP28" s="487"/>
      <c r="GQ28" s="487"/>
      <c r="GR28" s="487"/>
      <c r="GS28" s="487"/>
      <c r="GT28" s="487"/>
      <c r="GU28" s="487"/>
      <c r="GV28" s="487"/>
      <c r="GW28" s="487"/>
      <c r="GX28" s="487"/>
      <c r="GY28" s="487"/>
      <c r="GZ28" s="487"/>
      <c r="HA28" s="487"/>
      <c r="HB28" s="487"/>
      <c r="HC28" s="487"/>
      <c r="HD28" s="487"/>
      <c r="HE28" s="487"/>
      <c r="HF28" s="487"/>
      <c r="HG28" s="487"/>
      <c r="HH28" s="487"/>
      <c r="HI28" s="487"/>
      <c r="HJ28" s="487"/>
      <c r="HK28" s="487"/>
      <c r="HL28" s="487"/>
      <c r="HM28" s="487"/>
      <c r="HN28" s="487"/>
      <c r="HO28" s="487"/>
      <c r="HP28" s="487"/>
      <c r="HQ28" s="487"/>
      <c r="HR28" s="487"/>
      <c r="HS28" s="487"/>
      <c r="HT28" s="487"/>
      <c r="HU28" s="487"/>
      <c r="HV28" s="487"/>
      <c r="HW28" s="487"/>
      <c r="HX28" s="487"/>
      <c r="HY28" s="487"/>
      <c r="HZ28" s="487"/>
      <c r="IA28" s="487"/>
      <c r="IB28" s="487"/>
      <c r="IC28" s="487"/>
      <c r="ID28" s="487"/>
      <c r="IE28" s="487"/>
      <c r="IF28" s="487"/>
      <c r="IG28" s="487"/>
      <c r="IH28" s="487"/>
      <c r="II28" s="487"/>
      <c r="IJ28" s="487"/>
      <c r="IK28" s="487"/>
      <c r="IL28" s="487"/>
      <c r="IM28" s="487"/>
      <c r="IN28" s="487"/>
    </row>
    <row r="29" spans="1:248" s="491" customFormat="1" ht="12.75" x14ac:dyDescent="0.2">
      <c r="B29" s="504" t="s">
        <v>42</v>
      </c>
      <c r="C29" s="965" t="s">
        <v>93</v>
      </c>
      <c r="D29" s="966"/>
      <c r="E29" s="505">
        <f>Titullapa!B20</f>
        <v>0.02</v>
      </c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  <c r="V29" s="506"/>
      <c r="W29" s="506"/>
      <c r="X29" s="506"/>
      <c r="Y29" s="506"/>
      <c r="Z29" s="506"/>
      <c r="AA29" s="506"/>
      <c r="AB29" s="506"/>
      <c r="AC29" s="506"/>
      <c r="AD29" s="506"/>
      <c r="AE29" s="506"/>
      <c r="AF29" s="487"/>
      <c r="AG29" s="487"/>
      <c r="AH29" s="488"/>
      <c r="AI29" s="487"/>
      <c r="AJ29" s="489"/>
      <c r="AK29" s="490"/>
      <c r="AL29" s="489"/>
      <c r="AM29" s="490"/>
      <c r="AN29" s="489"/>
      <c r="AO29" s="487"/>
      <c r="AP29" s="487"/>
      <c r="AQ29" s="487"/>
      <c r="AR29" s="487"/>
      <c r="AS29" s="487"/>
      <c r="AT29" s="487"/>
      <c r="AU29" s="487"/>
      <c r="AV29" s="487"/>
      <c r="AW29" s="487"/>
      <c r="AX29" s="487"/>
      <c r="AY29" s="487"/>
      <c r="AZ29" s="487"/>
      <c r="BA29" s="487"/>
      <c r="BB29" s="487"/>
      <c r="BC29" s="487"/>
      <c r="BD29" s="487"/>
      <c r="BE29" s="487"/>
      <c r="BF29" s="487"/>
      <c r="BG29" s="487"/>
      <c r="BH29" s="487"/>
      <c r="BI29" s="487"/>
      <c r="BJ29" s="487"/>
      <c r="BK29" s="487"/>
      <c r="BL29" s="487"/>
      <c r="BM29" s="487"/>
      <c r="BN29" s="487"/>
      <c r="BO29" s="487"/>
      <c r="BP29" s="487"/>
      <c r="BQ29" s="487"/>
      <c r="BR29" s="487"/>
      <c r="BS29" s="487"/>
      <c r="BT29" s="487"/>
      <c r="BU29" s="487"/>
      <c r="BV29" s="487"/>
      <c r="BW29" s="487"/>
      <c r="BX29" s="487"/>
      <c r="BY29" s="487"/>
      <c r="BZ29" s="487"/>
      <c r="CA29" s="487"/>
      <c r="CB29" s="487"/>
      <c r="CC29" s="487"/>
      <c r="CD29" s="487"/>
      <c r="CE29" s="487"/>
      <c r="CF29" s="487"/>
      <c r="CG29" s="487"/>
      <c r="CH29" s="487"/>
      <c r="CI29" s="487"/>
      <c r="CJ29" s="487"/>
      <c r="CK29" s="487"/>
      <c r="CL29" s="487"/>
      <c r="CM29" s="487"/>
      <c r="CN29" s="487"/>
      <c r="CO29" s="487"/>
      <c r="CP29" s="487"/>
      <c r="CQ29" s="487"/>
      <c r="CR29" s="487"/>
      <c r="CS29" s="487"/>
      <c r="CT29" s="487"/>
      <c r="CU29" s="487"/>
      <c r="CV29" s="487"/>
      <c r="CW29" s="487"/>
      <c r="CX29" s="487"/>
      <c r="CY29" s="487"/>
      <c r="CZ29" s="487"/>
      <c r="DA29" s="487"/>
      <c r="DB29" s="487"/>
      <c r="DC29" s="487"/>
      <c r="DD29" s="487"/>
      <c r="DE29" s="487"/>
      <c r="DF29" s="487"/>
      <c r="DG29" s="487"/>
      <c r="DH29" s="487"/>
      <c r="DI29" s="487"/>
      <c r="DJ29" s="487"/>
      <c r="DK29" s="487"/>
      <c r="DL29" s="487"/>
      <c r="DM29" s="487"/>
      <c r="DN29" s="487"/>
      <c r="DO29" s="487"/>
      <c r="DP29" s="487"/>
      <c r="DQ29" s="487"/>
      <c r="DR29" s="487"/>
      <c r="DS29" s="487"/>
      <c r="DT29" s="487"/>
      <c r="DU29" s="487"/>
      <c r="DV29" s="487"/>
      <c r="DW29" s="487"/>
      <c r="DX29" s="487"/>
      <c r="DY29" s="487"/>
      <c r="DZ29" s="487"/>
      <c r="EA29" s="487"/>
      <c r="EB29" s="487"/>
      <c r="EC29" s="487"/>
      <c r="ED29" s="487"/>
      <c r="EE29" s="487"/>
      <c r="EF29" s="487"/>
      <c r="EG29" s="487"/>
      <c r="EH29" s="487"/>
      <c r="EI29" s="487"/>
      <c r="EJ29" s="487"/>
      <c r="EK29" s="487"/>
      <c r="EL29" s="487"/>
      <c r="EM29" s="487"/>
      <c r="EN29" s="487"/>
      <c r="EO29" s="487"/>
      <c r="EP29" s="487"/>
      <c r="EQ29" s="487"/>
      <c r="ER29" s="487"/>
      <c r="ES29" s="487"/>
      <c r="ET29" s="487"/>
      <c r="EU29" s="487"/>
      <c r="EV29" s="487"/>
      <c r="EW29" s="487"/>
      <c r="EX29" s="487"/>
      <c r="EY29" s="487"/>
      <c r="EZ29" s="487"/>
      <c r="FA29" s="487"/>
      <c r="FB29" s="487"/>
      <c r="FC29" s="487"/>
      <c r="FD29" s="487"/>
      <c r="FE29" s="487"/>
      <c r="FF29" s="487"/>
      <c r="FG29" s="487"/>
      <c r="FH29" s="487"/>
      <c r="FI29" s="487"/>
      <c r="FJ29" s="487"/>
      <c r="FK29" s="487"/>
      <c r="FL29" s="487"/>
      <c r="FM29" s="487"/>
      <c r="FN29" s="487"/>
      <c r="FO29" s="487"/>
      <c r="FP29" s="487"/>
      <c r="FQ29" s="487"/>
      <c r="FR29" s="487"/>
      <c r="FS29" s="487"/>
      <c r="FT29" s="487"/>
      <c r="FU29" s="487"/>
      <c r="FV29" s="487"/>
      <c r="FW29" s="487"/>
      <c r="FX29" s="487"/>
      <c r="FY29" s="487"/>
      <c r="FZ29" s="487"/>
      <c r="GA29" s="487"/>
      <c r="GB29" s="487"/>
      <c r="GC29" s="487"/>
      <c r="GD29" s="487"/>
      <c r="GE29" s="487"/>
      <c r="GF29" s="487"/>
      <c r="GG29" s="487"/>
      <c r="GH29" s="487"/>
      <c r="GI29" s="487"/>
      <c r="GJ29" s="487"/>
      <c r="GK29" s="487"/>
      <c r="GL29" s="487"/>
      <c r="GM29" s="487"/>
      <c r="GN29" s="487"/>
      <c r="GO29" s="487"/>
      <c r="GP29" s="487"/>
      <c r="GQ29" s="487"/>
      <c r="GR29" s="487"/>
      <c r="GS29" s="487"/>
      <c r="GT29" s="487"/>
      <c r="GU29" s="487"/>
      <c r="GV29" s="487"/>
      <c r="GW29" s="487"/>
      <c r="GX29" s="487"/>
      <c r="GY29" s="487"/>
      <c r="GZ29" s="487"/>
      <c r="HA29" s="487"/>
      <c r="HB29" s="487"/>
      <c r="HC29" s="487"/>
      <c r="HD29" s="487"/>
      <c r="HE29" s="487"/>
      <c r="HF29" s="487"/>
      <c r="HG29" s="487"/>
      <c r="HH29" s="487"/>
      <c r="HI29" s="487"/>
      <c r="HJ29" s="487"/>
      <c r="HK29" s="487"/>
      <c r="HL29" s="487"/>
      <c r="HM29" s="487"/>
      <c r="HN29" s="487"/>
      <c r="HO29" s="487"/>
      <c r="HP29" s="487"/>
      <c r="HQ29" s="487"/>
      <c r="HR29" s="487"/>
      <c r="HS29" s="487"/>
      <c r="HT29" s="487"/>
      <c r="HU29" s="487"/>
      <c r="HV29" s="487"/>
      <c r="HW29" s="487"/>
      <c r="HX29" s="487"/>
      <c r="HY29" s="487"/>
      <c r="HZ29" s="487"/>
      <c r="IA29" s="487"/>
      <c r="IB29" s="487"/>
      <c r="IC29" s="487"/>
      <c r="ID29" s="487"/>
      <c r="IE29" s="487"/>
      <c r="IF29" s="487"/>
      <c r="IG29" s="487"/>
      <c r="IH29" s="487"/>
      <c r="II29" s="487"/>
      <c r="IJ29" s="487"/>
      <c r="IK29" s="487"/>
      <c r="IL29" s="487"/>
      <c r="IM29" s="487"/>
      <c r="IN29" s="487"/>
    </row>
    <row r="30" spans="1:248" s="491" customFormat="1" ht="13.5" customHeight="1" x14ac:dyDescent="0.2">
      <c r="B30" s="507" t="s">
        <v>43</v>
      </c>
      <c r="C30" s="956" t="s">
        <v>94</v>
      </c>
      <c r="D30" s="957"/>
      <c r="E30" s="508">
        <v>0</v>
      </c>
      <c r="F30" s="508">
        <f t="shared" ref="F30:AD30" si="10">F10</f>
        <v>0</v>
      </c>
      <c r="G30" s="508">
        <f t="shared" si="10"/>
        <v>1000</v>
      </c>
      <c r="H30" s="508">
        <f t="shared" si="10"/>
        <v>0</v>
      </c>
      <c r="I30" s="508">
        <f t="shared" si="10"/>
        <v>0</v>
      </c>
      <c r="J30" s="508">
        <f t="shared" si="10"/>
        <v>0</v>
      </c>
      <c r="K30" s="508">
        <f t="shared" si="10"/>
        <v>0</v>
      </c>
      <c r="L30" s="508">
        <f t="shared" si="10"/>
        <v>0</v>
      </c>
      <c r="M30" s="508">
        <f t="shared" si="10"/>
        <v>0</v>
      </c>
      <c r="N30" s="508">
        <f t="shared" si="10"/>
        <v>0</v>
      </c>
      <c r="O30" s="508">
        <f t="shared" si="10"/>
        <v>0</v>
      </c>
      <c r="P30" s="508">
        <f t="shared" si="10"/>
        <v>0</v>
      </c>
      <c r="Q30" s="508">
        <f t="shared" si="10"/>
        <v>0</v>
      </c>
      <c r="R30" s="508">
        <f t="shared" si="10"/>
        <v>0</v>
      </c>
      <c r="S30" s="508">
        <f t="shared" si="10"/>
        <v>0</v>
      </c>
      <c r="T30" s="508">
        <f t="shared" si="10"/>
        <v>0</v>
      </c>
      <c r="U30" s="508">
        <f t="shared" si="10"/>
        <v>0</v>
      </c>
      <c r="V30" s="508">
        <f t="shared" si="10"/>
        <v>0</v>
      </c>
      <c r="W30" s="508">
        <f t="shared" si="10"/>
        <v>0</v>
      </c>
      <c r="X30" s="508">
        <f t="shared" si="10"/>
        <v>0</v>
      </c>
      <c r="Y30" s="508">
        <f t="shared" si="10"/>
        <v>0</v>
      </c>
      <c r="Z30" s="508">
        <f t="shared" si="10"/>
        <v>0</v>
      </c>
      <c r="AA30" s="508">
        <f t="shared" si="10"/>
        <v>0</v>
      </c>
      <c r="AB30" s="508">
        <f t="shared" si="10"/>
        <v>0</v>
      </c>
      <c r="AC30" s="508">
        <f t="shared" si="10"/>
        <v>0</v>
      </c>
      <c r="AD30" s="508">
        <f t="shared" si="10"/>
        <v>0</v>
      </c>
      <c r="AE30" s="508">
        <f>SUM(F30:AD30)</f>
        <v>1000</v>
      </c>
      <c r="AF30" s="487" t="str">
        <f>IF(AE30=Titullapa!B18,"TRUE","FALSE")</f>
        <v>FALSE</v>
      </c>
      <c r="AG30" s="487"/>
      <c r="AH30" s="488"/>
      <c r="AI30" s="487"/>
      <c r="AJ30" s="489"/>
      <c r="AK30" s="490"/>
      <c r="AL30" s="489"/>
      <c r="AM30" s="490"/>
      <c r="AN30" s="489"/>
      <c r="AO30" s="487"/>
      <c r="AP30" s="487"/>
      <c r="AQ30" s="487"/>
      <c r="AR30" s="487"/>
      <c r="AS30" s="487"/>
      <c r="AT30" s="487"/>
      <c r="AU30" s="487"/>
      <c r="AV30" s="487"/>
      <c r="AW30" s="487"/>
      <c r="AX30" s="487"/>
      <c r="AY30" s="487"/>
      <c r="AZ30" s="487"/>
      <c r="BA30" s="487"/>
      <c r="BB30" s="487"/>
      <c r="BC30" s="487"/>
      <c r="BD30" s="487"/>
      <c r="BE30" s="487"/>
      <c r="BF30" s="487"/>
      <c r="BG30" s="487"/>
      <c r="BH30" s="487"/>
      <c r="BI30" s="487"/>
      <c r="BJ30" s="487"/>
      <c r="BK30" s="487"/>
      <c r="BL30" s="487"/>
      <c r="BM30" s="487"/>
      <c r="BN30" s="487"/>
      <c r="BO30" s="487"/>
      <c r="BP30" s="487"/>
      <c r="BQ30" s="487"/>
      <c r="BR30" s="487"/>
      <c r="BS30" s="487"/>
      <c r="BT30" s="487"/>
      <c r="BU30" s="487"/>
      <c r="BV30" s="487"/>
      <c r="BW30" s="487"/>
      <c r="BX30" s="487"/>
      <c r="BY30" s="487"/>
      <c r="BZ30" s="487"/>
      <c r="CA30" s="487"/>
      <c r="CB30" s="487"/>
      <c r="CC30" s="487"/>
      <c r="CD30" s="487"/>
      <c r="CE30" s="487"/>
      <c r="CF30" s="487"/>
      <c r="CG30" s="487"/>
      <c r="CH30" s="487"/>
      <c r="CI30" s="487"/>
      <c r="CJ30" s="487"/>
      <c r="CK30" s="487"/>
      <c r="CL30" s="487"/>
      <c r="CM30" s="487"/>
      <c r="CN30" s="487"/>
      <c r="CO30" s="487"/>
      <c r="CP30" s="487"/>
      <c r="CQ30" s="487"/>
      <c r="CR30" s="487"/>
      <c r="CS30" s="487"/>
      <c r="CT30" s="487"/>
      <c r="CU30" s="487"/>
      <c r="CV30" s="487"/>
      <c r="CW30" s="487"/>
      <c r="CX30" s="487"/>
      <c r="CY30" s="487"/>
      <c r="CZ30" s="487"/>
      <c r="DA30" s="487"/>
      <c r="DB30" s="487"/>
      <c r="DC30" s="487"/>
      <c r="DD30" s="487"/>
      <c r="DE30" s="487"/>
      <c r="DF30" s="487"/>
      <c r="DG30" s="487"/>
      <c r="DH30" s="487"/>
      <c r="DI30" s="487"/>
      <c r="DJ30" s="487"/>
      <c r="DK30" s="487"/>
      <c r="DL30" s="487"/>
      <c r="DM30" s="487"/>
      <c r="DN30" s="487"/>
      <c r="DO30" s="487"/>
      <c r="DP30" s="487"/>
      <c r="DQ30" s="487"/>
      <c r="DR30" s="487"/>
      <c r="DS30" s="487"/>
      <c r="DT30" s="487"/>
      <c r="DU30" s="487"/>
      <c r="DV30" s="487"/>
      <c r="DW30" s="487"/>
      <c r="DX30" s="487"/>
      <c r="DY30" s="487"/>
      <c r="DZ30" s="487"/>
      <c r="EA30" s="487"/>
      <c r="EB30" s="487"/>
      <c r="EC30" s="487"/>
      <c r="ED30" s="487"/>
      <c r="EE30" s="487"/>
      <c r="EF30" s="487"/>
      <c r="EG30" s="487"/>
      <c r="EH30" s="487"/>
      <c r="EI30" s="487"/>
      <c r="EJ30" s="487"/>
      <c r="EK30" s="487"/>
      <c r="EL30" s="487"/>
      <c r="EM30" s="487"/>
      <c r="EN30" s="487"/>
      <c r="EO30" s="487"/>
      <c r="EP30" s="487"/>
      <c r="EQ30" s="487"/>
      <c r="ER30" s="487"/>
      <c r="ES30" s="487"/>
      <c r="ET30" s="487"/>
      <c r="EU30" s="487"/>
      <c r="EV30" s="487"/>
      <c r="EW30" s="487"/>
      <c r="EX30" s="487"/>
      <c r="EY30" s="487"/>
      <c r="EZ30" s="487"/>
      <c r="FA30" s="487"/>
      <c r="FB30" s="487"/>
      <c r="FC30" s="487"/>
      <c r="FD30" s="487"/>
      <c r="FE30" s="487"/>
      <c r="FF30" s="487"/>
      <c r="FG30" s="487"/>
      <c r="FH30" s="487"/>
      <c r="FI30" s="487"/>
      <c r="FJ30" s="487"/>
      <c r="FK30" s="487"/>
      <c r="FL30" s="487"/>
      <c r="FM30" s="487"/>
      <c r="FN30" s="487"/>
      <c r="FO30" s="487"/>
      <c r="FP30" s="487"/>
      <c r="FQ30" s="487"/>
      <c r="FR30" s="487"/>
      <c r="FS30" s="487"/>
      <c r="FT30" s="487"/>
      <c r="FU30" s="487"/>
      <c r="FV30" s="487"/>
      <c r="FW30" s="487"/>
      <c r="FX30" s="487"/>
      <c r="FY30" s="487"/>
      <c r="FZ30" s="487"/>
      <c r="GA30" s="487"/>
      <c r="GB30" s="487"/>
      <c r="GC30" s="487"/>
      <c r="GD30" s="487"/>
      <c r="GE30" s="487"/>
      <c r="GF30" s="487"/>
      <c r="GG30" s="487"/>
      <c r="GH30" s="487"/>
      <c r="GI30" s="487"/>
      <c r="GJ30" s="487"/>
      <c r="GK30" s="487"/>
      <c r="GL30" s="487"/>
      <c r="GM30" s="487"/>
      <c r="GN30" s="487"/>
      <c r="GO30" s="487"/>
      <c r="GP30" s="487"/>
      <c r="GQ30" s="487"/>
      <c r="GR30" s="487"/>
      <c r="GS30" s="487"/>
      <c r="GT30" s="487"/>
      <c r="GU30" s="487"/>
      <c r="GV30" s="487"/>
      <c r="GW30" s="487"/>
      <c r="GX30" s="487"/>
      <c r="GY30" s="487"/>
      <c r="GZ30" s="487"/>
      <c r="HA30" s="487"/>
      <c r="HB30" s="487"/>
      <c r="HC30" s="487"/>
      <c r="HD30" s="487"/>
      <c r="HE30" s="487"/>
      <c r="HF30" s="487"/>
      <c r="HG30" s="487"/>
      <c r="HH30" s="487"/>
      <c r="HI30" s="487"/>
      <c r="HJ30" s="487"/>
      <c r="HK30" s="487"/>
      <c r="HL30" s="487"/>
      <c r="HM30" s="487"/>
      <c r="HN30" s="487"/>
      <c r="HO30" s="487"/>
      <c r="HP30" s="487"/>
      <c r="HQ30" s="487"/>
      <c r="HR30" s="487"/>
      <c r="HS30" s="487"/>
      <c r="HT30" s="487"/>
      <c r="HU30" s="487"/>
      <c r="HV30" s="487"/>
      <c r="HW30" s="487"/>
      <c r="HX30" s="487"/>
      <c r="HY30" s="487"/>
      <c r="HZ30" s="487"/>
      <c r="IA30" s="487"/>
      <c r="IB30" s="487"/>
      <c r="IC30" s="487"/>
      <c r="ID30" s="487"/>
      <c r="IE30" s="487"/>
      <c r="IF30" s="487"/>
      <c r="IG30" s="487"/>
      <c r="IH30" s="487"/>
      <c r="II30" s="487"/>
      <c r="IJ30" s="487"/>
      <c r="IK30" s="487"/>
      <c r="IL30" s="487"/>
      <c r="IM30" s="487"/>
      <c r="IN30" s="487"/>
    </row>
    <row r="31" spans="1:248" s="491" customFormat="1" ht="12.75" x14ac:dyDescent="0.2">
      <c r="B31" s="509" t="s">
        <v>44</v>
      </c>
      <c r="C31" s="967" t="s">
        <v>95</v>
      </c>
      <c r="D31" s="968"/>
      <c r="E31" s="510">
        <f>SUM(E32:E33)</f>
        <v>0</v>
      </c>
      <c r="F31" s="510">
        <f t="shared" ref="F31:AD31" si="11">SUM(F32:F33)</f>
        <v>0</v>
      </c>
      <c r="G31" s="510">
        <f t="shared" si="11"/>
        <v>0</v>
      </c>
      <c r="H31" s="510">
        <f t="shared" si="11"/>
        <v>120</v>
      </c>
      <c r="I31" s="510">
        <f t="shared" si="11"/>
        <v>118</v>
      </c>
      <c r="J31" s="510">
        <f t="shared" si="11"/>
        <v>116</v>
      </c>
      <c r="K31" s="510">
        <f t="shared" si="11"/>
        <v>114</v>
      </c>
      <c r="L31" s="510">
        <f t="shared" si="11"/>
        <v>112</v>
      </c>
      <c r="M31" s="510">
        <f t="shared" si="11"/>
        <v>110</v>
      </c>
      <c r="N31" s="510">
        <f t="shared" si="11"/>
        <v>108</v>
      </c>
      <c r="O31" s="510">
        <f t="shared" si="11"/>
        <v>106</v>
      </c>
      <c r="P31" s="510">
        <f t="shared" si="11"/>
        <v>104</v>
      </c>
      <c r="Q31" s="510">
        <f t="shared" si="11"/>
        <v>102</v>
      </c>
      <c r="R31" s="510">
        <f t="shared" si="11"/>
        <v>0</v>
      </c>
      <c r="S31" s="510">
        <f t="shared" si="11"/>
        <v>0</v>
      </c>
      <c r="T31" s="510">
        <f t="shared" si="11"/>
        <v>0</v>
      </c>
      <c r="U31" s="510">
        <f t="shared" si="11"/>
        <v>0</v>
      </c>
      <c r="V31" s="510">
        <f t="shared" si="11"/>
        <v>0</v>
      </c>
      <c r="W31" s="510">
        <f t="shared" si="11"/>
        <v>0</v>
      </c>
      <c r="X31" s="510">
        <f t="shared" si="11"/>
        <v>0</v>
      </c>
      <c r="Y31" s="510">
        <f t="shared" si="11"/>
        <v>0</v>
      </c>
      <c r="Z31" s="510">
        <f t="shared" si="11"/>
        <v>0</v>
      </c>
      <c r="AA31" s="510">
        <f t="shared" si="11"/>
        <v>0</v>
      </c>
      <c r="AB31" s="510">
        <f t="shared" si="11"/>
        <v>0</v>
      </c>
      <c r="AC31" s="510">
        <f t="shared" si="11"/>
        <v>0</v>
      </c>
      <c r="AD31" s="510">
        <f t="shared" si="11"/>
        <v>0</v>
      </c>
      <c r="AE31" s="508">
        <f t="shared" ref="AE31:AE34" si="12">SUM(F31:AD31)</f>
        <v>1110</v>
      </c>
      <c r="AF31" s="487"/>
      <c r="AG31" s="487"/>
      <c r="AH31" s="488"/>
      <c r="AI31" s="487"/>
      <c r="AJ31" s="489"/>
      <c r="AK31" s="490"/>
      <c r="AL31" s="489"/>
      <c r="AM31" s="490"/>
      <c r="AN31" s="489"/>
      <c r="AO31" s="487"/>
      <c r="AP31" s="487"/>
      <c r="AQ31" s="487"/>
      <c r="AR31" s="487"/>
      <c r="AS31" s="487"/>
      <c r="AT31" s="487"/>
      <c r="AU31" s="487"/>
      <c r="AV31" s="487"/>
      <c r="AW31" s="487"/>
      <c r="AX31" s="487"/>
      <c r="AY31" s="487"/>
      <c r="AZ31" s="487"/>
      <c r="BA31" s="487"/>
      <c r="BB31" s="487"/>
      <c r="BC31" s="487"/>
      <c r="BD31" s="487"/>
      <c r="BE31" s="487"/>
      <c r="BF31" s="487"/>
      <c r="BG31" s="487"/>
      <c r="BH31" s="487"/>
      <c r="BI31" s="487"/>
      <c r="BJ31" s="487"/>
      <c r="BK31" s="487"/>
      <c r="BL31" s="487"/>
      <c r="BM31" s="487"/>
      <c r="BN31" s="487"/>
      <c r="BO31" s="487"/>
      <c r="BP31" s="487"/>
      <c r="BQ31" s="487"/>
      <c r="BR31" s="487"/>
      <c r="BS31" s="487"/>
      <c r="BT31" s="487"/>
      <c r="BU31" s="487"/>
      <c r="BV31" s="487"/>
      <c r="BW31" s="487"/>
      <c r="BX31" s="487"/>
      <c r="BY31" s="487"/>
      <c r="BZ31" s="487"/>
      <c r="CA31" s="487"/>
      <c r="CB31" s="487"/>
      <c r="CC31" s="487"/>
      <c r="CD31" s="487"/>
      <c r="CE31" s="487"/>
      <c r="CF31" s="487"/>
      <c r="CG31" s="487"/>
      <c r="CH31" s="487"/>
      <c r="CI31" s="487"/>
      <c r="CJ31" s="487"/>
      <c r="CK31" s="487"/>
      <c r="CL31" s="487"/>
      <c r="CM31" s="487"/>
      <c r="CN31" s="487"/>
      <c r="CO31" s="487"/>
      <c r="CP31" s="487"/>
      <c r="CQ31" s="487"/>
      <c r="CR31" s="487"/>
      <c r="CS31" s="487"/>
      <c r="CT31" s="487"/>
      <c r="CU31" s="487"/>
      <c r="CV31" s="487"/>
      <c r="CW31" s="487"/>
      <c r="CX31" s="487"/>
      <c r="CY31" s="487"/>
      <c r="CZ31" s="487"/>
      <c r="DA31" s="487"/>
      <c r="DB31" s="487"/>
      <c r="DC31" s="487"/>
      <c r="DD31" s="487"/>
      <c r="DE31" s="487"/>
      <c r="DF31" s="487"/>
      <c r="DG31" s="487"/>
      <c r="DH31" s="487"/>
      <c r="DI31" s="487"/>
      <c r="DJ31" s="487"/>
      <c r="DK31" s="487"/>
      <c r="DL31" s="487"/>
      <c r="DM31" s="487"/>
      <c r="DN31" s="487"/>
      <c r="DO31" s="487"/>
      <c r="DP31" s="487"/>
      <c r="DQ31" s="487"/>
      <c r="DR31" s="487"/>
      <c r="DS31" s="487"/>
      <c r="DT31" s="487"/>
      <c r="DU31" s="487"/>
      <c r="DV31" s="487"/>
      <c r="DW31" s="487"/>
      <c r="DX31" s="487"/>
      <c r="DY31" s="487"/>
      <c r="DZ31" s="487"/>
      <c r="EA31" s="487"/>
      <c r="EB31" s="487"/>
      <c r="EC31" s="487"/>
      <c r="ED31" s="487"/>
      <c r="EE31" s="487"/>
      <c r="EF31" s="487"/>
      <c r="EG31" s="487"/>
      <c r="EH31" s="487"/>
      <c r="EI31" s="487"/>
      <c r="EJ31" s="487"/>
      <c r="EK31" s="487"/>
      <c r="EL31" s="487"/>
      <c r="EM31" s="487"/>
      <c r="EN31" s="487"/>
      <c r="EO31" s="487"/>
      <c r="EP31" s="487"/>
      <c r="EQ31" s="487"/>
      <c r="ER31" s="487"/>
      <c r="ES31" s="487"/>
      <c r="ET31" s="487"/>
      <c r="EU31" s="487"/>
      <c r="EV31" s="487"/>
      <c r="EW31" s="487"/>
      <c r="EX31" s="487"/>
      <c r="EY31" s="487"/>
      <c r="EZ31" s="487"/>
      <c r="FA31" s="487"/>
      <c r="FB31" s="487"/>
      <c r="FC31" s="487"/>
      <c r="FD31" s="487"/>
      <c r="FE31" s="487"/>
      <c r="FF31" s="487"/>
      <c r="FG31" s="487"/>
      <c r="FH31" s="487"/>
      <c r="FI31" s="487"/>
      <c r="FJ31" s="487"/>
      <c r="FK31" s="487"/>
      <c r="FL31" s="487"/>
      <c r="FM31" s="487"/>
      <c r="FN31" s="487"/>
      <c r="FO31" s="487"/>
      <c r="FP31" s="487"/>
      <c r="FQ31" s="487"/>
      <c r="FR31" s="487"/>
      <c r="FS31" s="487"/>
      <c r="FT31" s="487"/>
      <c r="FU31" s="487"/>
      <c r="FV31" s="487"/>
      <c r="FW31" s="487"/>
      <c r="FX31" s="487"/>
      <c r="FY31" s="487"/>
      <c r="FZ31" s="487"/>
      <c r="GA31" s="487"/>
      <c r="GB31" s="487"/>
      <c r="GC31" s="487"/>
      <c r="GD31" s="487"/>
      <c r="GE31" s="487"/>
      <c r="GF31" s="487"/>
      <c r="GG31" s="487"/>
      <c r="GH31" s="487"/>
      <c r="GI31" s="487"/>
      <c r="GJ31" s="487"/>
      <c r="GK31" s="487"/>
      <c r="GL31" s="487"/>
      <c r="GM31" s="487"/>
      <c r="GN31" s="487"/>
      <c r="GO31" s="487"/>
      <c r="GP31" s="487"/>
      <c r="GQ31" s="487"/>
      <c r="GR31" s="487"/>
      <c r="GS31" s="487"/>
      <c r="GT31" s="487"/>
      <c r="GU31" s="487"/>
      <c r="GV31" s="487"/>
      <c r="GW31" s="487"/>
      <c r="GX31" s="487"/>
      <c r="GY31" s="487"/>
      <c r="GZ31" s="487"/>
      <c r="HA31" s="487"/>
      <c r="HB31" s="487"/>
      <c r="HC31" s="487"/>
      <c r="HD31" s="487"/>
      <c r="HE31" s="487"/>
      <c r="HF31" s="487"/>
      <c r="HG31" s="487"/>
      <c r="HH31" s="487"/>
      <c r="HI31" s="487"/>
      <c r="HJ31" s="487"/>
      <c r="HK31" s="487"/>
      <c r="HL31" s="487"/>
      <c r="HM31" s="487"/>
      <c r="HN31" s="487"/>
      <c r="HO31" s="487"/>
      <c r="HP31" s="487"/>
      <c r="HQ31" s="487"/>
      <c r="HR31" s="487"/>
      <c r="HS31" s="487"/>
      <c r="HT31" s="487"/>
      <c r="HU31" s="487"/>
      <c r="HV31" s="487"/>
      <c r="HW31" s="487"/>
      <c r="HX31" s="487"/>
      <c r="HY31" s="487"/>
      <c r="HZ31" s="487"/>
      <c r="IA31" s="487"/>
      <c r="IB31" s="487"/>
      <c r="IC31" s="487"/>
      <c r="ID31" s="487"/>
      <c r="IE31" s="487"/>
      <c r="IF31" s="487"/>
      <c r="IG31" s="487"/>
      <c r="IH31" s="487"/>
      <c r="II31" s="487"/>
      <c r="IJ31" s="487"/>
      <c r="IK31" s="487"/>
      <c r="IL31" s="487"/>
      <c r="IM31" s="487"/>
      <c r="IN31" s="487"/>
    </row>
    <row r="32" spans="1:248" s="491" customFormat="1" ht="15.75" customHeight="1" x14ac:dyDescent="0.2">
      <c r="B32" s="507" t="s">
        <v>204</v>
      </c>
      <c r="C32" s="956" t="s">
        <v>96</v>
      </c>
      <c r="D32" s="957"/>
      <c r="E32" s="508">
        <f>E29*E34</f>
        <v>0</v>
      </c>
      <c r="F32" s="508">
        <f>$E$29*E34</f>
        <v>0</v>
      </c>
      <c r="G32" s="508">
        <f t="shared" ref="G32:AD32" si="13">$E$29*F34</f>
        <v>0</v>
      </c>
      <c r="H32" s="508">
        <f t="shared" si="13"/>
        <v>20</v>
      </c>
      <c r="I32" s="508">
        <f t="shared" si="13"/>
        <v>18</v>
      </c>
      <c r="J32" s="508">
        <f t="shared" si="13"/>
        <v>16</v>
      </c>
      <c r="K32" s="508">
        <f t="shared" si="13"/>
        <v>14</v>
      </c>
      <c r="L32" s="508">
        <f t="shared" si="13"/>
        <v>12</v>
      </c>
      <c r="M32" s="508">
        <f t="shared" si="13"/>
        <v>10</v>
      </c>
      <c r="N32" s="508">
        <f t="shared" si="13"/>
        <v>8</v>
      </c>
      <c r="O32" s="508">
        <f t="shared" si="13"/>
        <v>6</v>
      </c>
      <c r="P32" s="508">
        <f t="shared" si="13"/>
        <v>4</v>
      </c>
      <c r="Q32" s="508">
        <f t="shared" si="13"/>
        <v>2</v>
      </c>
      <c r="R32" s="508">
        <f t="shared" si="13"/>
        <v>0</v>
      </c>
      <c r="S32" s="508">
        <f t="shared" si="13"/>
        <v>0</v>
      </c>
      <c r="T32" s="508">
        <f t="shared" si="13"/>
        <v>0</v>
      </c>
      <c r="U32" s="508">
        <f t="shared" si="13"/>
        <v>0</v>
      </c>
      <c r="V32" s="508">
        <f t="shared" si="13"/>
        <v>0</v>
      </c>
      <c r="W32" s="508">
        <f t="shared" si="13"/>
        <v>0</v>
      </c>
      <c r="X32" s="508">
        <f t="shared" si="13"/>
        <v>0</v>
      </c>
      <c r="Y32" s="508">
        <f t="shared" si="13"/>
        <v>0</v>
      </c>
      <c r="Z32" s="508">
        <f t="shared" si="13"/>
        <v>0</v>
      </c>
      <c r="AA32" s="508">
        <f t="shared" si="13"/>
        <v>0</v>
      </c>
      <c r="AB32" s="508">
        <f t="shared" si="13"/>
        <v>0</v>
      </c>
      <c r="AC32" s="508">
        <f t="shared" si="13"/>
        <v>0</v>
      </c>
      <c r="AD32" s="508">
        <f t="shared" si="13"/>
        <v>0</v>
      </c>
      <c r="AE32" s="508">
        <f t="shared" si="12"/>
        <v>110</v>
      </c>
      <c r="AF32" s="487"/>
      <c r="AG32" s="487"/>
      <c r="AH32" s="488"/>
      <c r="AI32" s="487"/>
      <c r="AJ32" s="489"/>
      <c r="AK32" s="490"/>
      <c r="AL32" s="489"/>
      <c r="AM32" s="490"/>
      <c r="AN32" s="489"/>
      <c r="AO32" s="487"/>
      <c r="AP32" s="487"/>
      <c r="AQ32" s="487"/>
      <c r="AR32" s="487"/>
      <c r="AS32" s="487"/>
      <c r="AT32" s="487"/>
      <c r="AU32" s="487"/>
      <c r="AV32" s="487"/>
      <c r="AW32" s="487"/>
      <c r="AX32" s="487"/>
      <c r="AY32" s="487"/>
      <c r="AZ32" s="487"/>
      <c r="BA32" s="487"/>
      <c r="BB32" s="487"/>
      <c r="BC32" s="487"/>
      <c r="BD32" s="487"/>
      <c r="BE32" s="487"/>
      <c r="BF32" s="487"/>
      <c r="BG32" s="487"/>
      <c r="BH32" s="487"/>
      <c r="BI32" s="487"/>
      <c r="BJ32" s="487"/>
      <c r="BK32" s="487"/>
      <c r="BL32" s="487"/>
      <c r="BM32" s="487"/>
      <c r="BN32" s="487"/>
      <c r="BO32" s="487"/>
      <c r="BP32" s="487"/>
      <c r="BQ32" s="487"/>
      <c r="BR32" s="487"/>
      <c r="BS32" s="487"/>
      <c r="BT32" s="487"/>
      <c r="BU32" s="487"/>
      <c r="BV32" s="487"/>
      <c r="BW32" s="487"/>
      <c r="BX32" s="487"/>
      <c r="BY32" s="487"/>
      <c r="BZ32" s="487"/>
      <c r="CA32" s="487"/>
      <c r="CB32" s="487"/>
      <c r="CC32" s="487"/>
      <c r="CD32" s="487"/>
      <c r="CE32" s="487"/>
      <c r="CF32" s="487"/>
      <c r="CG32" s="487"/>
      <c r="CH32" s="487"/>
      <c r="CI32" s="487"/>
      <c r="CJ32" s="487"/>
      <c r="CK32" s="487"/>
      <c r="CL32" s="487"/>
      <c r="CM32" s="487"/>
      <c r="CN32" s="487"/>
      <c r="CO32" s="487"/>
      <c r="CP32" s="487"/>
      <c r="CQ32" s="487"/>
      <c r="CR32" s="487"/>
      <c r="CS32" s="487"/>
      <c r="CT32" s="487"/>
      <c r="CU32" s="487"/>
      <c r="CV32" s="487"/>
      <c r="CW32" s="487"/>
      <c r="CX32" s="487"/>
      <c r="CY32" s="487"/>
      <c r="CZ32" s="487"/>
      <c r="DA32" s="487"/>
      <c r="DB32" s="487"/>
      <c r="DC32" s="487"/>
      <c r="DD32" s="487"/>
      <c r="DE32" s="487"/>
      <c r="DF32" s="487"/>
      <c r="DG32" s="487"/>
      <c r="DH32" s="487"/>
      <c r="DI32" s="487"/>
      <c r="DJ32" s="487"/>
      <c r="DK32" s="487"/>
      <c r="DL32" s="487"/>
      <c r="DM32" s="487"/>
      <c r="DN32" s="487"/>
      <c r="DO32" s="487"/>
      <c r="DP32" s="487"/>
      <c r="DQ32" s="487"/>
      <c r="DR32" s="487"/>
      <c r="DS32" s="487"/>
      <c r="DT32" s="487"/>
      <c r="DU32" s="487"/>
      <c r="DV32" s="487"/>
      <c r="DW32" s="487"/>
      <c r="DX32" s="487"/>
      <c r="DY32" s="487"/>
      <c r="DZ32" s="487"/>
      <c r="EA32" s="487"/>
      <c r="EB32" s="487"/>
      <c r="EC32" s="487"/>
      <c r="ED32" s="487"/>
      <c r="EE32" s="487"/>
      <c r="EF32" s="487"/>
      <c r="EG32" s="487"/>
      <c r="EH32" s="487"/>
      <c r="EI32" s="487"/>
      <c r="EJ32" s="487"/>
      <c r="EK32" s="487"/>
      <c r="EL32" s="487"/>
      <c r="EM32" s="487"/>
      <c r="EN32" s="487"/>
      <c r="EO32" s="487"/>
      <c r="EP32" s="487"/>
      <c r="EQ32" s="487"/>
      <c r="ER32" s="487"/>
      <c r="ES32" s="487"/>
      <c r="ET32" s="487"/>
      <c r="EU32" s="487"/>
      <c r="EV32" s="487"/>
      <c r="EW32" s="487"/>
      <c r="EX32" s="487"/>
      <c r="EY32" s="487"/>
      <c r="EZ32" s="487"/>
      <c r="FA32" s="487"/>
      <c r="FB32" s="487"/>
      <c r="FC32" s="487"/>
      <c r="FD32" s="487"/>
      <c r="FE32" s="487"/>
      <c r="FF32" s="487"/>
      <c r="FG32" s="487"/>
      <c r="FH32" s="487"/>
      <c r="FI32" s="487"/>
      <c r="FJ32" s="487"/>
      <c r="FK32" s="487"/>
      <c r="FL32" s="487"/>
      <c r="FM32" s="487"/>
      <c r="FN32" s="487"/>
      <c r="FO32" s="487"/>
      <c r="FP32" s="487"/>
      <c r="FQ32" s="487"/>
      <c r="FR32" s="487"/>
      <c r="FS32" s="487"/>
      <c r="FT32" s="487"/>
      <c r="FU32" s="487"/>
      <c r="FV32" s="487"/>
      <c r="FW32" s="487"/>
      <c r="FX32" s="487"/>
      <c r="FY32" s="487"/>
      <c r="FZ32" s="487"/>
      <c r="GA32" s="487"/>
      <c r="GB32" s="487"/>
      <c r="GC32" s="487"/>
      <c r="GD32" s="487"/>
      <c r="GE32" s="487"/>
      <c r="GF32" s="487"/>
      <c r="GG32" s="487"/>
      <c r="GH32" s="487"/>
      <c r="GI32" s="487"/>
      <c r="GJ32" s="487"/>
      <c r="GK32" s="487"/>
      <c r="GL32" s="487"/>
      <c r="GM32" s="487"/>
      <c r="GN32" s="487"/>
      <c r="GO32" s="487"/>
      <c r="GP32" s="487"/>
      <c r="GQ32" s="487"/>
      <c r="GR32" s="487"/>
      <c r="GS32" s="487"/>
      <c r="GT32" s="487"/>
      <c r="GU32" s="487"/>
      <c r="GV32" s="487"/>
      <c r="GW32" s="487"/>
      <c r="GX32" s="487"/>
      <c r="GY32" s="487"/>
      <c r="GZ32" s="487"/>
      <c r="HA32" s="487"/>
      <c r="HB32" s="487"/>
      <c r="HC32" s="487"/>
      <c r="HD32" s="487"/>
      <c r="HE32" s="487"/>
      <c r="HF32" s="487"/>
      <c r="HG32" s="487"/>
      <c r="HH32" s="487"/>
      <c r="HI32" s="487"/>
      <c r="HJ32" s="487"/>
      <c r="HK32" s="487"/>
      <c r="HL32" s="487"/>
      <c r="HM32" s="487"/>
      <c r="HN32" s="487"/>
      <c r="HO32" s="487"/>
      <c r="HP32" s="487"/>
      <c r="HQ32" s="487"/>
      <c r="HR32" s="487"/>
      <c r="HS32" s="487"/>
      <c r="HT32" s="487"/>
      <c r="HU32" s="487"/>
      <c r="HV32" s="487"/>
      <c r="HW32" s="487"/>
      <c r="HX32" s="487"/>
      <c r="HY32" s="487"/>
      <c r="HZ32" s="487"/>
      <c r="IA32" s="487"/>
      <c r="IB32" s="487"/>
      <c r="IC32" s="487"/>
      <c r="ID32" s="487"/>
      <c r="IE32" s="487"/>
      <c r="IF32" s="487"/>
      <c r="IG32" s="487"/>
      <c r="IH32" s="487"/>
      <c r="II32" s="487"/>
      <c r="IJ32" s="487"/>
      <c r="IK32" s="487"/>
      <c r="IL32" s="487"/>
      <c r="IM32" s="487"/>
      <c r="IN32" s="487"/>
    </row>
    <row r="33" spans="1:248" s="491" customFormat="1" ht="13.5" customHeight="1" x14ac:dyDescent="0.2">
      <c r="B33" s="511" t="s">
        <v>205</v>
      </c>
      <c r="C33" s="958" t="s">
        <v>97</v>
      </c>
      <c r="D33" s="959"/>
      <c r="E33" s="508">
        <v>0</v>
      </c>
      <c r="F33" s="508">
        <f>IF(OR(F27&lt;Titullapa!$B$13,NOT(SUM($E$33)&lt;SUM($E$30))),0,SUM(E30:AD30)/Titullapa!$B$19)</f>
        <v>0</v>
      </c>
      <c r="G33" s="508">
        <f>IF(OR(G27&lt;Titullapa!$B$13,NOT(SUM($E$33:F33)&lt;SUM($E$30:F30))),0,SUM($E$30:$AD$30)/Titullapa!$B$19)</f>
        <v>0</v>
      </c>
      <c r="H33" s="508">
        <f>IF(OR(H27&lt;Titullapa!$B$13,NOT(SUM($E$33:G33)&lt;SUM($E$30:G30))),0,SUM($E$30:$AD$30)/Titullapa!$B$19)</f>
        <v>100</v>
      </c>
      <c r="I33" s="508">
        <f>IF(OR(I27&lt;Titullapa!$B$13,NOT(SUM($E$33:H33)&lt;SUM($E$30:H30))),0,SUM($E$30:$AD$30)/Titullapa!$B$19)</f>
        <v>100</v>
      </c>
      <c r="J33" s="508">
        <f>IF(OR(J27&lt;Titullapa!$B$13,NOT(SUM($E$33:I33)&lt;SUM($E$30:I30))),0,SUM($E$30:$AD$30)/Titullapa!$B$19)</f>
        <v>100</v>
      </c>
      <c r="K33" s="508">
        <f>IF(OR(K27&lt;Titullapa!$B$13,NOT(SUM($E$33:J33)&lt;SUM($E$30:J30))),0,SUM($E$30:$AD$30)/Titullapa!$B$19)</f>
        <v>100</v>
      </c>
      <c r="L33" s="508">
        <f>IF(OR(L27&lt;Titullapa!$B$13,NOT(SUM($E$33:K33)&lt;SUM($E$30:K30))),0,SUM($E$30:$AD$30)/Titullapa!$B$19)</f>
        <v>100</v>
      </c>
      <c r="M33" s="508">
        <f>IF(OR(M27&lt;Titullapa!$B$13,NOT(SUM($E$33:L33)&lt;SUM($E$30:L30))),0,SUM($E$30:$AD$30)/Titullapa!$B$19)</f>
        <v>100</v>
      </c>
      <c r="N33" s="508">
        <f>IF(OR(N27&lt;Titullapa!$B$13,NOT(SUM($E$33:M33)&lt;SUM($E$30:M30))),0,SUM($E$30:$AD$30)/Titullapa!$B$19)</f>
        <v>100</v>
      </c>
      <c r="O33" s="508">
        <f>IF(OR(O27&lt;Titullapa!$B$13,NOT(SUM($E$33:N33)&lt;SUM($E$30:N30))),0,SUM($E$30:$AD$30)/Titullapa!$B$19)</f>
        <v>100</v>
      </c>
      <c r="P33" s="508">
        <f>IF(OR(P27&lt;Titullapa!$B$13,NOT(SUM($E$33:O33)&lt;SUM($E$30:O30))),0,SUM($E$30:$AD$30)/Titullapa!$B$19)</f>
        <v>100</v>
      </c>
      <c r="Q33" s="508">
        <f>IF(OR(Q27&lt;Titullapa!$B$13,NOT(SUM($E$33:P33)&lt;SUM($E$30:P30))),0,SUM($E$30:$AD$30)/Titullapa!$B$19)</f>
        <v>100</v>
      </c>
      <c r="R33" s="508">
        <f>IF(OR(R27&lt;Titullapa!$B$13,NOT(SUM($E$33:Q33)&lt;SUM($E$30:Q30))),0,SUM($E$30:$AD$30)/Titullapa!$B$19)</f>
        <v>0</v>
      </c>
      <c r="S33" s="508">
        <f>IF(OR(S27&lt;Titullapa!$B$13,NOT(SUM($E$33:R33)&lt;SUM($E$30:R30))),0,SUM($E$30:$AD$30)/Titullapa!$B$19)</f>
        <v>0</v>
      </c>
      <c r="T33" s="508">
        <f>IF(OR(T27&lt;Titullapa!$B$13,NOT(SUM($E$33:S33)&lt;SUM($E$30:S30))),0,SUM($E$30:$AD$30)/Titullapa!$B$19)</f>
        <v>0</v>
      </c>
      <c r="U33" s="508">
        <f>IF(OR(U27&lt;Titullapa!$B$13,NOT(SUM($E$33:T33)&lt;SUM($E$30:T30))),0,SUM($E$30:$AD$30)/Titullapa!$B$19)</f>
        <v>0</v>
      </c>
      <c r="V33" s="508">
        <f>IF(OR(V27&lt;Titullapa!$B$13,NOT(SUM($E$33:U33)&lt;SUM($E$30:U30))),0,SUM($E$30:$AD$30)/Titullapa!$B$19)</f>
        <v>0</v>
      </c>
      <c r="W33" s="508">
        <f>IF(OR(W27&lt;Titullapa!$B$13,NOT(SUM($E$33:V33)&lt;SUM($E$30:V30))),0,SUM($E$30:$AD$30)/Titullapa!$B$19)</f>
        <v>0</v>
      </c>
      <c r="X33" s="508">
        <f>IF(OR(X27&lt;Titullapa!$B$13,NOT(SUM($E$33:W33)&lt;SUM($E$30:W30))),0,SUM($E$30:$AD$30)/Titullapa!$B$19)</f>
        <v>0</v>
      </c>
      <c r="Y33" s="508">
        <f>IF(OR(Y27&lt;Titullapa!$B$13,NOT(SUM($E$33:X33)&lt;SUM($E$30:X30))),0,SUM($E$30:$AD$30)/Titullapa!$B$19)</f>
        <v>0</v>
      </c>
      <c r="Z33" s="508">
        <f>IF(OR(Z27&lt;Titullapa!$B$13,NOT(SUM($E$33:Y33)&lt;SUM($E$30:Y30))),0,SUM($E$30:$AD$30)/Titullapa!$B$19)</f>
        <v>0</v>
      </c>
      <c r="AA33" s="508">
        <f>IF(OR(AA27&lt;Titullapa!$B$13,NOT(SUM($E$33:Z33)&lt;SUM($E$30:Z30))),0,SUM($E$30:$AD$30)/Titullapa!$B$19)</f>
        <v>0</v>
      </c>
      <c r="AB33" s="508">
        <f>IF(OR(AB27&lt;Titullapa!$B$13,NOT(SUM($E$33:AA33)&lt;SUM($E$30:AA30))),0,SUM($E$30:$AD$30)/Titullapa!$B$19)</f>
        <v>0</v>
      </c>
      <c r="AC33" s="508">
        <f>IF(OR(AC27&lt;Titullapa!$B$13,NOT(SUM($E$33:AB33)&lt;SUM($E$30:AB30))),0,SUM($E$30:$AD$30)/Titullapa!$B$19)</f>
        <v>0</v>
      </c>
      <c r="AD33" s="508">
        <f>IF(OR(AD27&lt;Titullapa!$B$13,NOT(SUM($E$33:AC33)&lt;SUM($E$30:AC30))),0,SUM($E$30:$AD$30)/Titullapa!$B$19)</f>
        <v>0</v>
      </c>
      <c r="AE33" s="508">
        <f t="shared" si="12"/>
        <v>1000</v>
      </c>
      <c r="AF33" s="487"/>
      <c r="AG33" s="487"/>
      <c r="AH33" s="488"/>
      <c r="AI33" s="487"/>
      <c r="AJ33" s="489"/>
      <c r="AK33" s="490"/>
      <c r="AL33" s="489"/>
      <c r="AM33" s="490"/>
      <c r="AN33" s="489"/>
      <c r="AO33" s="487"/>
      <c r="AP33" s="487"/>
      <c r="AQ33" s="487"/>
      <c r="AR33" s="487"/>
      <c r="AS33" s="487"/>
      <c r="AT33" s="487"/>
      <c r="AU33" s="487"/>
      <c r="AV33" s="487"/>
      <c r="AW33" s="487"/>
      <c r="AX33" s="487"/>
      <c r="AY33" s="487"/>
      <c r="AZ33" s="487"/>
      <c r="BA33" s="487"/>
      <c r="BB33" s="487"/>
      <c r="BC33" s="487"/>
      <c r="BD33" s="487"/>
      <c r="BE33" s="487"/>
      <c r="BF33" s="487"/>
      <c r="BG33" s="487"/>
      <c r="BH33" s="487"/>
      <c r="BI33" s="487"/>
      <c r="BJ33" s="487"/>
      <c r="BK33" s="487"/>
      <c r="BL33" s="487"/>
      <c r="BM33" s="487"/>
      <c r="BN33" s="487"/>
      <c r="BO33" s="487"/>
      <c r="BP33" s="487"/>
      <c r="BQ33" s="487"/>
      <c r="BR33" s="487"/>
      <c r="BS33" s="487"/>
      <c r="BT33" s="487"/>
      <c r="BU33" s="487"/>
      <c r="BV33" s="487"/>
      <c r="BW33" s="487"/>
      <c r="BX33" s="487"/>
      <c r="BY33" s="487"/>
      <c r="BZ33" s="487"/>
      <c r="CA33" s="487"/>
      <c r="CB33" s="487"/>
      <c r="CC33" s="487"/>
      <c r="CD33" s="487"/>
      <c r="CE33" s="487"/>
      <c r="CF33" s="487"/>
      <c r="CG33" s="487"/>
      <c r="CH33" s="487"/>
      <c r="CI33" s="487"/>
      <c r="CJ33" s="487"/>
      <c r="CK33" s="487"/>
      <c r="CL33" s="487"/>
      <c r="CM33" s="487"/>
      <c r="CN33" s="487"/>
      <c r="CO33" s="487"/>
      <c r="CP33" s="487"/>
      <c r="CQ33" s="487"/>
      <c r="CR33" s="487"/>
      <c r="CS33" s="487"/>
      <c r="CT33" s="487"/>
      <c r="CU33" s="487"/>
      <c r="CV33" s="487"/>
      <c r="CW33" s="487"/>
      <c r="CX33" s="487"/>
      <c r="CY33" s="487"/>
      <c r="CZ33" s="487"/>
      <c r="DA33" s="487"/>
      <c r="DB33" s="487"/>
      <c r="DC33" s="487"/>
      <c r="DD33" s="487"/>
      <c r="DE33" s="487"/>
      <c r="DF33" s="487"/>
      <c r="DG33" s="487"/>
      <c r="DH33" s="487"/>
      <c r="DI33" s="487"/>
      <c r="DJ33" s="487"/>
      <c r="DK33" s="487"/>
      <c r="DL33" s="487"/>
      <c r="DM33" s="487"/>
      <c r="DN33" s="487"/>
      <c r="DO33" s="487"/>
      <c r="DP33" s="487"/>
      <c r="DQ33" s="487"/>
      <c r="DR33" s="487"/>
      <c r="DS33" s="487"/>
      <c r="DT33" s="487"/>
      <c r="DU33" s="487"/>
      <c r="DV33" s="487"/>
      <c r="DW33" s="487"/>
      <c r="DX33" s="487"/>
      <c r="DY33" s="487"/>
      <c r="DZ33" s="487"/>
      <c r="EA33" s="487"/>
      <c r="EB33" s="487"/>
      <c r="EC33" s="487"/>
      <c r="ED33" s="487"/>
      <c r="EE33" s="487"/>
      <c r="EF33" s="487"/>
      <c r="EG33" s="487"/>
      <c r="EH33" s="487"/>
      <c r="EI33" s="487"/>
      <c r="EJ33" s="487"/>
      <c r="EK33" s="487"/>
      <c r="EL33" s="487"/>
      <c r="EM33" s="487"/>
      <c r="EN33" s="487"/>
      <c r="EO33" s="487"/>
      <c r="EP33" s="487"/>
      <c r="EQ33" s="487"/>
      <c r="ER33" s="487"/>
      <c r="ES33" s="487"/>
      <c r="ET33" s="487"/>
      <c r="EU33" s="487"/>
      <c r="EV33" s="487"/>
      <c r="EW33" s="487"/>
      <c r="EX33" s="487"/>
      <c r="EY33" s="487"/>
      <c r="EZ33" s="487"/>
      <c r="FA33" s="487"/>
      <c r="FB33" s="487"/>
      <c r="FC33" s="487"/>
      <c r="FD33" s="487"/>
      <c r="FE33" s="487"/>
      <c r="FF33" s="487"/>
      <c r="FG33" s="487"/>
      <c r="FH33" s="487"/>
      <c r="FI33" s="487"/>
      <c r="FJ33" s="487"/>
      <c r="FK33" s="487"/>
      <c r="FL33" s="487"/>
      <c r="FM33" s="487"/>
      <c r="FN33" s="487"/>
      <c r="FO33" s="487"/>
      <c r="FP33" s="487"/>
      <c r="FQ33" s="487"/>
      <c r="FR33" s="487"/>
      <c r="FS33" s="487"/>
      <c r="FT33" s="487"/>
      <c r="FU33" s="487"/>
      <c r="FV33" s="487"/>
      <c r="FW33" s="487"/>
      <c r="FX33" s="487"/>
      <c r="FY33" s="487"/>
      <c r="FZ33" s="487"/>
      <c r="GA33" s="487"/>
      <c r="GB33" s="487"/>
      <c r="GC33" s="487"/>
      <c r="GD33" s="487"/>
      <c r="GE33" s="487"/>
      <c r="GF33" s="487"/>
      <c r="GG33" s="487"/>
      <c r="GH33" s="487"/>
      <c r="GI33" s="487"/>
      <c r="GJ33" s="487"/>
      <c r="GK33" s="487"/>
      <c r="GL33" s="487"/>
      <c r="GM33" s="487"/>
      <c r="GN33" s="487"/>
      <c r="GO33" s="487"/>
      <c r="GP33" s="487"/>
      <c r="GQ33" s="487"/>
      <c r="GR33" s="487"/>
      <c r="GS33" s="487"/>
      <c r="GT33" s="487"/>
      <c r="GU33" s="487"/>
      <c r="GV33" s="487"/>
      <c r="GW33" s="487"/>
      <c r="GX33" s="487"/>
      <c r="GY33" s="487"/>
      <c r="GZ33" s="487"/>
      <c r="HA33" s="487"/>
      <c r="HB33" s="487"/>
      <c r="HC33" s="487"/>
      <c r="HD33" s="487"/>
      <c r="HE33" s="487"/>
      <c r="HF33" s="487"/>
      <c r="HG33" s="487"/>
      <c r="HH33" s="487"/>
      <c r="HI33" s="487"/>
      <c r="HJ33" s="487"/>
      <c r="HK33" s="487"/>
      <c r="HL33" s="487"/>
      <c r="HM33" s="487"/>
      <c r="HN33" s="487"/>
      <c r="HO33" s="487"/>
      <c r="HP33" s="487"/>
      <c r="HQ33" s="487"/>
      <c r="HR33" s="487"/>
      <c r="HS33" s="487"/>
      <c r="HT33" s="487"/>
      <c r="HU33" s="487"/>
      <c r="HV33" s="487"/>
      <c r="HW33" s="487"/>
      <c r="HX33" s="487"/>
      <c r="HY33" s="487"/>
      <c r="HZ33" s="487"/>
      <c r="IA33" s="487"/>
      <c r="IB33" s="487"/>
      <c r="IC33" s="487"/>
      <c r="ID33" s="487"/>
      <c r="IE33" s="487"/>
      <c r="IF33" s="487"/>
      <c r="IG33" s="487"/>
      <c r="IH33" s="487"/>
      <c r="II33" s="487"/>
      <c r="IJ33" s="487"/>
      <c r="IK33" s="487"/>
      <c r="IL33" s="487"/>
      <c r="IM33" s="487"/>
      <c r="IN33" s="487"/>
    </row>
    <row r="34" spans="1:248" s="491" customFormat="1" ht="12.75" x14ac:dyDescent="0.2">
      <c r="B34" s="512" t="s">
        <v>45</v>
      </c>
      <c r="C34" s="960" t="s">
        <v>98</v>
      </c>
      <c r="D34" s="961"/>
      <c r="E34" s="513">
        <f t="shared" ref="E34:F34" si="14">(D34+E30)-E33</f>
        <v>0</v>
      </c>
      <c r="F34" s="510">
        <f t="shared" si="14"/>
        <v>0</v>
      </c>
      <c r="G34" s="510">
        <f t="shared" ref="G34" si="15">(F34+G30)-G33</f>
        <v>1000</v>
      </c>
      <c r="H34" s="510">
        <f t="shared" ref="H34" si="16">(G34+H30)-H33</f>
        <v>900</v>
      </c>
      <c r="I34" s="510">
        <f t="shared" ref="I34" si="17">(H34+I30)-I33</f>
        <v>800</v>
      </c>
      <c r="J34" s="510">
        <f t="shared" ref="J34" si="18">(I34+J30)-J33</f>
        <v>700</v>
      </c>
      <c r="K34" s="510">
        <f t="shared" ref="K34" si="19">(J34+K30)-K33</f>
        <v>600</v>
      </c>
      <c r="L34" s="510">
        <f t="shared" ref="L34" si="20">(K34+L30)-L33</f>
        <v>500</v>
      </c>
      <c r="M34" s="510">
        <f t="shared" ref="M34" si="21">(L34+M30)-M33</f>
        <v>400</v>
      </c>
      <c r="N34" s="510">
        <f t="shared" ref="N34" si="22">(M34+N30)-N33</f>
        <v>300</v>
      </c>
      <c r="O34" s="510">
        <f t="shared" ref="O34" si="23">(N34+O30)-O33</f>
        <v>200</v>
      </c>
      <c r="P34" s="510">
        <f t="shared" ref="P34" si="24">(O34+P30)-P33</f>
        <v>100</v>
      </c>
      <c r="Q34" s="510">
        <f t="shared" ref="Q34" si="25">(P34+Q30)-Q33</f>
        <v>0</v>
      </c>
      <c r="R34" s="510">
        <f t="shared" ref="R34" si="26">(Q34+R30)-R33</f>
        <v>0</v>
      </c>
      <c r="S34" s="510">
        <f t="shared" ref="S34" si="27">(R34+S30)-S33</f>
        <v>0</v>
      </c>
      <c r="T34" s="510">
        <f t="shared" ref="T34" si="28">(S34+T30)-T33</f>
        <v>0</v>
      </c>
      <c r="U34" s="510">
        <f t="shared" ref="U34" si="29">(T34+U30)-U33</f>
        <v>0</v>
      </c>
      <c r="V34" s="510">
        <f t="shared" ref="V34" si="30">(U34+V30)-V33</f>
        <v>0</v>
      </c>
      <c r="W34" s="510">
        <f t="shared" ref="W34" si="31">(V34+W30)-W33</f>
        <v>0</v>
      </c>
      <c r="X34" s="510">
        <f t="shared" ref="X34" si="32">(W34+X30)-X33</f>
        <v>0</v>
      </c>
      <c r="Y34" s="510">
        <f t="shared" ref="Y34" si="33">(X34+Y30)-Y33</f>
        <v>0</v>
      </c>
      <c r="Z34" s="510">
        <f t="shared" ref="Z34" si="34">(Y34+Z30)-Z33</f>
        <v>0</v>
      </c>
      <c r="AA34" s="510">
        <f t="shared" ref="AA34" si="35">(Z34+AA30)-AA33</f>
        <v>0</v>
      </c>
      <c r="AB34" s="510">
        <f t="shared" ref="AB34" si="36">(AA34+AB30)-AB33</f>
        <v>0</v>
      </c>
      <c r="AC34" s="510">
        <f t="shared" ref="AC34" si="37">(AB34+AC30)-AC33</f>
        <v>0</v>
      </c>
      <c r="AD34" s="510">
        <f t="shared" ref="AD34" si="38">(AC34+AD30)-AD33</f>
        <v>0</v>
      </c>
      <c r="AE34" s="508">
        <f t="shared" si="12"/>
        <v>5500</v>
      </c>
      <c r="AF34" s="487"/>
      <c r="AG34" s="487"/>
      <c r="AH34" s="488"/>
      <c r="AI34" s="487"/>
      <c r="AJ34" s="489"/>
      <c r="AK34" s="490"/>
      <c r="AL34" s="489"/>
      <c r="AM34" s="490"/>
      <c r="AN34" s="489"/>
      <c r="AO34" s="487"/>
      <c r="AP34" s="487"/>
      <c r="AQ34" s="487"/>
      <c r="AR34" s="487"/>
      <c r="AS34" s="487"/>
      <c r="AT34" s="487"/>
      <c r="AU34" s="487"/>
      <c r="AV34" s="487"/>
      <c r="AW34" s="487"/>
      <c r="AX34" s="487"/>
      <c r="AY34" s="487"/>
      <c r="AZ34" s="487"/>
      <c r="BA34" s="487"/>
      <c r="BB34" s="487"/>
      <c r="BC34" s="487"/>
      <c r="BD34" s="487"/>
      <c r="BE34" s="487"/>
      <c r="BF34" s="487"/>
      <c r="BG34" s="487"/>
      <c r="BH34" s="487"/>
      <c r="BI34" s="487"/>
      <c r="BJ34" s="487"/>
      <c r="BK34" s="487"/>
      <c r="BL34" s="487"/>
      <c r="BM34" s="487"/>
      <c r="BN34" s="487"/>
      <c r="BO34" s="487"/>
      <c r="BP34" s="487"/>
      <c r="BQ34" s="487"/>
      <c r="BR34" s="487"/>
      <c r="BS34" s="487"/>
      <c r="BT34" s="487"/>
      <c r="BU34" s="487"/>
      <c r="BV34" s="487"/>
      <c r="BW34" s="487"/>
      <c r="BX34" s="487"/>
      <c r="BY34" s="487"/>
      <c r="BZ34" s="487"/>
      <c r="CA34" s="487"/>
      <c r="CB34" s="487"/>
      <c r="CC34" s="487"/>
      <c r="CD34" s="487"/>
      <c r="CE34" s="487"/>
      <c r="CF34" s="487"/>
      <c r="CG34" s="487"/>
      <c r="CH34" s="487"/>
      <c r="CI34" s="487"/>
      <c r="CJ34" s="487"/>
      <c r="CK34" s="487"/>
      <c r="CL34" s="487"/>
      <c r="CM34" s="487"/>
      <c r="CN34" s="487"/>
      <c r="CO34" s="487"/>
      <c r="CP34" s="487"/>
      <c r="CQ34" s="487"/>
      <c r="CR34" s="487"/>
      <c r="CS34" s="487"/>
      <c r="CT34" s="487"/>
      <c r="CU34" s="487"/>
      <c r="CV34" s="487"/>
      <c r="CW34" s="487"/>
      <c r="CX34" s="487"/>
      <c r="CY34" s="487"/>
      <c r="CZ34" s="487"/>
      <c r="DA34" s="487"/>
      <c r="DB34" s="487"/>
      <c r="DC34" s="487"/>
      <c r="DD34" s="487"/>
      <c r="DE34" s="487"/>
      <c r="DF34" s="487"/>
      <c r="DG34" s="487"/>
      <c r="DH34" s="487"/>
      <c r="DI34" s="487"/>
      <c r="DJ34" s="487"/>
      <c r="DK34" s="487"/>
      <c r="DL34" s="487"/>
      <c r="DM34" s="487"/>
      <c r="DN34" s="487"/>
      <c r="DO34" s="487"/>
      <c r="DP34" s="487"/>
      <c r="DQ34" s="487"/>
      <c r="DR34" s="487"/>
      <c r="DS34" s="487"/>
      <c r="DT34" s="487"/>
      <c r="DU34" s="487"/>
      <c r="DV34" s="487"/>
      <c r="DW34" s="487"/>
      <c r="DX34" s="487"/>
      <c r="DY34" s="487"/>
      <c r="DZ34" s="487"/>
      <c r="EA34" s="487"/>
      <c r="EB34" s="487"/>
      <c r="EC34" s="487"/>
      <c r="ED34" s="487"/>
      <c r="EE34" s="487"/>
      <c r="EF34" s="487"/>
      <c r="EG34" s="487"/>
      <c r="EH34" s="487"/>
      <c r="EI34" s="487"/>
      <c r="EJ34" s="487"/>
      <c r="EK34" s="487"/>
      <c r="EL34" s="487"/>
      <c r="EM34" s="487"/>
      <c r="EN34" s="487"/>
      <c r="EO34" s="487"/>
      <c r="EP34" s="487"/>
      <c r="EQ34" s="487"/>
      <c r="ER34" s="487"/>
      <c r="ES34" s="487"/>
      <c r="ET34" s="487"/>
      <c r="EU34" s="487"/>
      <c r="EV34" s="487"/>
      <c r="EW34" s="487"/>
      <c r="EX34" s="487"/>
      <c r="EY34" s="487"/>
      <c r="EZ34" s="487"/>
      <c r="FA34" s="487"/>
      <c r="FB34" s="487"/>
      <c r="FC34" s="487"/>
      <c r="FD34" s="487"/>
      <c r="FE34" s="487"/>
      <c r="FF34" s="487"/>
      <c r="FG34" s="487"/>
      <c r="FH34" s="487"/>
      <c r="FI34" s="487"/>
      <c r="FJ34" s="487"/>
      <c r="FK34" s="487"/>
      <c r="FL34" s="487"/>
      <c r="FM34" s="487"/>
      <c r="FN34" s="487"/>
      <c r="FO34" s="487"/>
      <c r="FP34" s="487"/>
      <c r="FQ34" s="487"/>
      <c r="FR34" s="487"/>
      <c r="FS34" s="487"/>
      <c r="FT34" s="487"/>
      <c r="FU34" s="487"/>
      <c r="FV34" s="487"/>
      <c r="FW34" s="487"/>
      <c r="FX34" s="487"/>
      <c r="FY34" s="487"/>
      <c r="FZ34" s="487"/>
      <c r="GA34" s="487"/>
      <c r="GB34" s="487"/>
      <c r="GC34" s="487"/>
      <c r="GD34" s="487"/>
      <c r="GE34" s="487"/>
      <c r="GF34" s="487"/>
      <c r="GG34" s="487"/>
      <c r="GH34" s="487"/>
      <c r="GI34" s="487"/>
      <c r="GJ34" s="487"/>
      <c r="GK34" s="487"/>
      <c r="GL34" s="487"/>
      <c r="GM34" s="487"/>
      <c r="GN34" s="487"/>
      <c r="GO34" s="487"/>
      <c r="GP34" s="487"/>
      <c r="GQ34" s="487"/>
      <c r="GR34" s="487"/>
      <c r="GS34" s="487"/>
      <c r="GT34" s="487"/>
      <c r="GU34" s="487"/>
      <c r="GV34" s="487"/>
      <c r="GW34" s="487"/>
      <c r="GX34" s="487"/>
      <c r="GY34" s="487"/>
      <c r="GZ34" s="487"/>
      <c r="HA34" s="487"/>
      <c r="HB34" s="487"/>
      <c r="HC34" s="487"/>
      <c r="HD34" s="487"/>
      <c r="HE34" s="487"/>
      <c r="HF34" s="487"/>
      <c r="HG34" s="487"/>
      <c r="HH34" s="487"/>
      <c r="HI34" s="487"/>
      <c r="HJ34" s="487"/>
      <c r="HK34" s="487"/>
      <c r="HL34" s="487"/>
      <c r="HM34" s="487"/>
      <c r="HN34" s="487"/>
      <c r="HO34" s="487"/>
      <c r="HP34" s="487"/>
      <c r="HQ34" s="487"/>
      <c r="HR34" s="487"/>
      <c r="HS34" s="487"/>
      <c r="HT34" s="487"/>
      <c r="HU34" s="487"/>
      <c r="HV34" s="487"/>
      <c r="HW34" s="487"/>
      <c r="HX34" s="487"/>
      <c r="HY34" s="487"/>
      <c r="HZ34" s="487"/>
      <c r="IA34" s="487"/>
      <c r="IB34" s="487"/>
      <c r="IC34" s="487"/>
      <c r="ID34" s="487"/>
      <c r="IE34" s="487"/>
      <c r="IF34" s="487"/>
      <c r="IG34" s="487"/>
      <c r="IH34" s="487"/>
      <c r="II34" s="487"/>
      <c r="IJ34" s="487"/>
      <c r="IK34" s="487"/>
      <c r="IL34" s="487"/>
      <c r="IM34" s="487"/>
      <c r="IN34" s="487"/>
    </row>
    <row r="35" spans="1:248" s="491" customFormat="1" ht="12.75" x14ac:dyDescent="0.25">
      <c r="A35" s="858"/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7"/>
      <c r="T35" s="487"/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8"/>
      <c r="AI35" s="487"/>
      <c r="AJ35" s="489"/>
      <c r="AK35" s="490"/>
      <c r="AL35" s="489"/>
      <c r="AM35" s="490"/>
      <c r="AN35" s="489"/>
      <c r="AO35" s="487"/>
      <c r="AP35" s="487"/>
      <c r="AQ35" s="487"/>
      <c r="AR35" s="487"/>
      <c r="AS35" s="487"/>
      <c r="AT35" s="487"/>
      <c r="AU35" s="487"/>
      <c r="AV35" s="487"/>
      <c r="AW35" s="487"/>
      <c r="AX35" s="487"/>
      <c r="AY35" s="487"/>
      <c r="AZ35" s="487"/>
      <c r="BA35" s="487"/>
      <c r="BB35" s="487"/>
      <c r="BC35" s="487"/>
      <c r="BD35" s="487"/>
      <c r="BE35" s="487"/>
      <c r="BF35" s="487"/>
      <c r="BG35" s="487"/>
      <c r="BH35" s="487"/>
      <c r="BI35" s="487"/>
      <c r="BJ35" s="487"/>
      <c r="BK35" s="487"/>
      <c r="BL35" s="487"/>
      <c r="BM35" s="487"/>
      <c r="BN35" s="487"/>
      <c r="BO35" s="487"/>
      <c r="BP35" s="487"/>
      <c r="BQ35" s="487"/>
      <c r="BR35" s="487"/>
      <c r="BS35" s="487"/>
      <c r="BT35" s="487"/>
      <c r="BU35" s="487"/>
      <c r="BV35" s="487"/>
      <c r="BW35" s="487"/>
      <c r="BX35" s="487"/>
      <c r="BY35" s="487"/>
      <c r="BZ35" s="487"/>
      <c r="CA35" s="487"/>
      <c r="CB35" s="487"/>
      <c r="CC35" s="487"/>
      <c r="CD35" s="487"/>
      <c r="CE35" s="487"/>
      <c r="CF35" s="487"/>
      <c r="CG35" s="487"/>
      <c r="CH35" s="487"/>
      <c r="CI35" s="487"/>
      <c r="CJ35" s="487"/>
      <c r="CK35" s="487"/>
      <c r="CL35" s="487"/>
      <c r="CM35" s="487"/>
      <c r="CN35" s="487"/>
      <c r="CO35" s="487"/>
      <c r="CP35" s="487"/>
      <c r="CQ35" s="487"/>
      <c r="CR35" s="487"/>
      <c r="CS35" s="487"/>
      <c r="CT35" s="487"/>
      <c r="CU35" s="487"/>
      <c r="CV35" s="487"/>
      <c r="CW35" s="487"/>
      <c r="CX35" s="487"/>
      <c r="CY35" s="487"/>
      <c r="CZ35" s="487"/>
      <c r="DA35" s="487"/>
      <c r="DB35" s="487"/>
      <c r="DC35" s="487"/>
      <c r="DD35" s="487"/>
      <c r="DE35" s="487"/>
      <c r="DF35" s="487"/>
      <c r="DG35" s="487"/>
      <c r="DH35" s="487"/>
      <c r="DI35" s="487"/>
      <c r="DJ35" s="487"/>
      <c r="DK35" s="487"/>
      <c r="DL35" s="487"/>
      <c r="DM35" s="487"/>
      <c r="DN35" s="487"/>
      <c r="DO35" s="487"/>
      <c r="DP35" s="487"/>
      <c r="DQ35" s="487"/>
      <c r="DR35" s="487"/>
      <c r="DS35" s="487"/>
      <c r="DT35" s="487"/>
      <c r="DU35" s="487"/>
      <c r="DV35" s="487"/>
      <c r="DW35" s="487"/>
      <c r="DX35" s="487"/>
      <c r="DY35" s="487"/>
      <c r="DZ35" s="487"/>
      <c r="EA35" s="487"/>
      <c r="EB35" s="487"/>
      <c r="EC35" s="487"/>
      <c r="ED35" s="487"/>
      <c r="EE35" s="487"/>
      <c r="EF35" s="487"/>
      <c r="EG35" s="487"/>
      <c r="EH35" s="487"/>
      <c r="EI35" s="487"/>
      <c r="EJ35" s="487"/>
      <c r="EK35" s="487"/>
      <c r="EL35" s="487"/>
      <c r="EM35" s="487"/>
      <c r="EN35" s="487"/>
      <c r="EO35" s="487"/>
      <c r="EP35" s="487"/>
      <c r="EQ35" s="487"/>
      <c r="ER35" s="487"/>
      <c r="ES35" s="487"/>
      <c r="ET35" s="487"/>
      <c r="EU35" s="487"/>
      <c r="EV35" s="487"/>
      <c r="EW35" s="487"/>
      <c r="EX35" s="487"/>
      <c r="EY35" s="487"/>
      <c r="EZ35" s="487"/>
      <c r="FA35" s="487"/>
      <c r="FB35" s="487"/>
      <c r="FC35" s="487"/>
      <c r="FD35" s="487"/>
      <c r="FE35" s="487"/>
      <c r="FF35" s="487"/>
      <c r="FG35" s="487"/>
      <c r="FH35" s="487"/>
      <c r="FI35" s="487"/>
      <c r="FJ35" s="487"/>
      <c r="FK35" s="487"/>
      <c r="FL35" s="487"/>
      <c r="FM35" s="487"/>
      <c r="FN35" s="487"/>
      <c r="FO35" s="487"/>
      <c r="FP35" s="487"/>
      <c r="FQ35" s="487"/>
      <c r="FR35" s="487"/>
      <c r="FS35" s="487"/>
      <c r="FT35" s="487"/>
      <c r="FU35" s="487"/>
      <c r="FV35" s="487"/>
      <c r="FW35" s="487"/>
      <c r="FX35" s="487"/>
      <c r="FY35" s="487"/>
      <c r="FZ35" s="487"/>
      <c r="GA35" s="487"/>
      <c r="GB35" s="487"/>
      <c r="GC35" s="487"/>
      <c r="GD35" s="487"/>
      <c r="GE35" s="487"/>
      <c r="GF35" s="487"/>
      <c r="GG35" s="487"/>
      <c r="GH35" s="487"/>
      <c r="GI35" s="487"/>
      <c r="GJ35" s="487"/>
      <c r="GK35" s="487"/>
      <c r="GL35" s="487"/>
      <c r="GM35" s="487"/>
      <c r="GN35" s="487"/>
      <c r="GO35" s="487"/>
      <c r="GP35" s="487"/>
      <c r="GQ35" s="487"/>
      <c r="GR35" s="487"/>
      <c r="GS35" s="487"/>
      <c r="GT35" s="487"/>
      <c r="GU35" s="487"/>
      <c r="GV35" s="487"/>
      <c r="GW35" s="487"/>
      <c r="GX35" s="487"/>
      <c r="GY35" s="487"/>
      <c r="GZ35" s="487"/>
      <c r="HA35" s="487"/>
      <c r="HB35" s="487"/>
      <c r="HC35" s="487"/>
      <c r="HD35" s="487"/>
      <c r="HE35" s="487"/>
      <c r="HF35" s="487"/>
      <c r="HG35" s="487"/>
      <c r="HH35" s="487"/>
      <c r="HI35" s="487"/>
      <c r="HJ35" s="487"/>
      <c r="HK35" s="487"/>
      <c r="HL35" s="487"/>
      <c r="HM35" s="487"/>
      <c r="HN35" s="487"/>
      <c r="HO35" s="487"/>
      <c r="HP35" s="487"/>
      <c r="HQ35" s="487"/>
      <c r="HR35" s="487"/>
      <c r="HS35" s="487"/>
      <c r="HT35" s="487"/>
      <c r="HU35" s="487"/>
      <c r="HV35" s="487"/>
      <c r="HW35" s="487"/>
      <c r="HX35" s="487"/>
      <c r="HY35" s="487"/>
      <c r="HZ35" s="487"/>
      <c r="IA35" s="487"/>
      <c r="IB35" s="487"/>
      <c r="IC35" s="487"/>
      <c r="ID35" s="487"/>
      <c r="IE35" s="487"/>
      <c r="IF35" s="487"/>
      <c r="IG35" s="487"/>
      <c r="IH35" s="487"/>
      <c r="II35" s="487"/>
      <c r="IJ35" s="487"/>
      <c r="IK35" s="487"/>
      <c r="IL35" s="487"/>
      <c r="IM35" s="487"/>
      <c r="IN35" s="487"/>
    </row>
    <row r="36" spans="1:248" s="599" customFormat="1" x14ac:dyDescent="0.25"/>
    <row r="37" spans="1:248" s="599" customFormat="1" x14ac:dyDescent="0.25"/>
    <row r="38" spans="1:248" s="599" customFormat="1" x14ac:dyDescent="0.25"/>
    <row r="39" spans="1:248" s="599" customFormat="1" x14ac:dyDescent="0.25"/>
    <row r="40" spans="1:248" s="599" customFormat="1" x14ac:dyDescent="0.25"/>
  </sheetData>
  <sheetProtection algorithmName="SHA-512" hashValue="P069kV/fQW2A4QccR3RBzeK93WHJFWGj5p6Z2uV+J0Wx4sF1fPLde9YA1vJHuTVpN7O5g1atluHDfPpHP6KLMQ==" saltValue="Z3pCYFy43Y9dG2xPgLFgBQ==" spinCount="100000" sheet="1" formatCells="0" formatColumns="0" formatRows="0"/>
  <mergeCells count="10">
    <mergeCell ref="C32:D32"/>
    <mergeCell ref="C33:D33"/>
    <mergeCell ref="C34:D34"/>
    <mergeCell ref="C28:D28"/>
    <mergeCell ref="A1:D1"/>
    <mergeCell ref="A25:E25"/>
    <mergeCell ref="C29:D29"/>
    <mergeCell ref="C30:D30"/>
    <mergeCell ref="C31:D31"/>
    <mergeCell ref="D23:E23"/>
  </mergeCells>
  <conditionalFormatting sqref="F23:K23">
    <cfRule type="cellIs" dxfId="16" priority="1" operator="equal">
      <formula>"Jāsamazina 1.2.pozīcijā ievadītie dati"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B37"/>
  <sheetViews>
    <sheetView workbookViewId="0">
      <selection activeCell="AD10" sqref="AD10"/>
    </sheetView>
  </sheetViews>
  <sheetFormatPr defaultColWidth="9.140625" defaultRowHeight="15" x14ac:dyDescent="0.25"/>
  <cols>
    <col min="1" max="1" width="42.42578125" style="423" customWidth="1"/>
    <col min="2" max="2" width="6.85546875" style="423" customWidth="1"/>
    <col min="3" max="3" width="11.85546875" style="423" bestFit="1" customWidth="1"/>
    <col min="4" max="4" width="13" style="423" customWidth="1"/>
    <col min="5" max="5" width="12.5703125" style="423" customWidth="1"/>
    <col min="6" max="27" width="12.85546875" style="423" bestFit="1" customWidth="1"/>
    <col min="28" max="28" width="14" style="423" bestFit="1" customWidth="1"/>
    <col min="29" max="16384" width="9.140625" style="423"/>
  </cols>
  <sheetData>
    <row r="1" spans="1:28" s="428" customFormat="1" ht="26.25" x14ac:dyDescent="0.25">
      <c r="A1" s="970" t="s">
        <v>271</v>
      </c>
      <c r="B1" s="970"/>
      <c r="C1" s="970"/>
      <c r="D1" s="970"/>
      <c r="E1" s="182"/>
      <c r="F1" s="183"/>
      <c r="G1" s="182"/>
      <c r="H1" s="182"/>
      <c r="I1" s="182"/>
    </row>
    <row r="2" spans="1:28" s="428" customFormat="1" ht="21" x14ac:dyDescent="0.25">
      <c r="A2" s="971" t="s">
        <v>382</v>
      </c>
      <c r="B2" s="972"/>
      <c r="C2" s="972"/>
      <c r="D2" s="972"/>
      <c r="E2" s="972"/>
      <c r="F2" s="972"/>
      <c r="G2" s="972"/>
      <c r="H2" s="972"/>
      <c r="I2" s="972"/>
    </row>
    <row r="3" spans="1:28" s="514" customFormat="1" ht="12.75" x14ac:dyDescent="0.2">
      <c r="B3" s="516" t="s">
        <v>39</v>
      </c>
      <c r="C3" s="516">
        <f>'4.DL Projekta_finansiala_ilgtsp'!F5</f>
        <v>2021</v>
      </c>
      <c r="D3" s="516">
        <f>'4.DL Projekta_finansiala_ilgtsp'!G5</f>
        <v>2022</v>
      </c>
      <c r="E3" s="516">
        <f>'4.DL Projekta_finansiala_ilgtsp'!H5</f>
        <v>2023</v>
      </c>
      <c r="F3" s="516">
        <f>'4.DL Projekta_finansiala_ilgtsp'!I5</f>
        <v>2024</v>
      </c>
      <c r="G3" s="516">
        <f>'4.DL Projekta_finansiala_ilgtsp'!J5</f>
        <v>2025</v>
      </c>
      <c r="H3" s="516">
        <f>'4.DL Projekta_finansiala_ilgtsp'!K5</f>
        <v>2026</v>
      </c>
      <c r="I3" s="516">
        <f>'4.DL Projekta_finansiala_ilgtsp'!L5</f>
        <v>2027</v>
      </c>
      <c r="J3" s="516">
        <f>'4.DL Projekta_finansiala_ilgtsp'!M5</f>
        <v>2028</v>
      </c>
      <c r="K3" s="516">
        <f>'4.DL Projekta_finansiala_ilgtsp'!N5</f>
        <v>2029</v>
      </c>
      <c r="L3" s="516">
        <f>'4.DL Projekta_finansiala_ilgtsp'!O5</f>
        <v>2030</v>
      </c>
      <c r="M3" s="516">
        <f>'4.DL Projekta_finansiala_ilgtsp'!P5</f>
        <v>2031</v>
      </c>
      <c r="N3" s="516">
        <f>'4.DL Projekta_finansiala_ilgtsp'!Q5</f>
        <v>2032</v>
      </c>
      <c r="O3" s="516">
        <f>'4.DL Projekta_finansiala_ilgtsp'!R5</f>
        <v>2033</v>
      </c>
      <c r="P3" s="516">
        <f>'4.DL Projekta_finansiala_ilgtsp'!S5</f>
        <v>2034</v>
      </c>
      <c r="Q3" s="516">
        <f>'4.DL Projekta_finansiala_ilgtsp'!T5</f>
        <v>2035</v>
      </c>
      <c r="R3" s="516">
        <f>'4.DL Projekta_finansiala_ilgtsp'!U5</f>
        <v>2036</v>
      </c>
      <c r="S3" s="516">
        <f>'4.DL Projekta_finansiala_ilgtsp'!V5</f>
        <v>2037</v>
      </c>
      <c r="T3" s="516">
        <f>'4.DL Projekta_finansiala_ilgtsp'!W5</f>
        <v>2038</v>
      </c>
      <c r="U3" s="516">
        <f>'4.DL Projekta_finansiala_ilgtsp'!X5</f>
        <v>2039</v>
      </c>
      <c r="V3" s="516">
        <f>'4.DL Projekta_finansiala_ilgtsp'!Y5</f>
        <v>2040</v>
      </c>
      <c r="W3" s="516">
        <f>'4.DL Projekta_finansiala_ilgtsp'!Z5</f>
        <v>2041</v>
      </c>
      <c r="X3" s="516">
        <f>'4.DL Projekta_finansiala_ilgtsp'!AA5</f>
        <v>2042</v>
      </c>
      <c r="Y3" s="516">
        <f>'4.DL Projekta_finansiala_ilgtsp'!AB5</f>
        <v>2043</v>
      </c>
      <c r="Z3" s="516">
        <f>'4.DL Projekta_finansiala_ilgtsp'!AC5</f>
        <v>2044</v>
      </c>
      <c r="AA3" s="516">
        <f>'4.DL Projekta_finansiala_ilgtsp'!AD5</f>
        <v>2045</v>
      </c>
      <c r="AB3" s="516" t="str">
        <f>'4.DL Projekta_finansiala_ilgtsp'!AE5</f>
        <v>Kopā</v>
      </c>
    </row>
    <row r="4" spans="1:28" s="514" customFormat="1" ht="12.75" x14ac:dyDescent="0.2">
      <c r="A4" s="397" t="s">
        <v>383</v>
      </c>
      <c r="B4" s="396" t="s">
        <v>20</v>
      </c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</row>
    <row r="5" spans="1:28" s="514" customFormat="1" ht="12.75" x14ac:dyDescent="0.2">
      <c r="A5" s="398" t="s">
        <v>470</v>
      </c>
      <c r="B5" s="404" t="s">
        <v>20</v>
      </c>
      <c r="C5" s="539">
        <f>Titullapa!B26</f>
        <v>80000</v>
      </c>
      <c r="D5" s="539">
        <f>C32</f>
        <v>4299.93</v>
      </c>
      <c r="E5" s="539">
        <f t="shared" ref="E5:AA5" si="0">D32</f>
        <v>2999.9300000000003</v>
      </c>
      <c r="F5" s="539">
        <f t="shared" si="0"/>
        <v>4999.93</v>
      </c>
      <c r="G5" s="539">
        <f t="shared" si="0"/>
        <v>999.93000000000029</v>
      </c>
      <c r="H5" s="539">
        <f t="shared" si="0"/>
        <v>999.93000000000029</v>
      </c>
      <c r="I5" s="539">
        <f t="shared" si="0"/>
        <v>999.93000000000029</v>
      </c>
      <c r="J5" s="539">
        <f t="shared" si="0"/>
        <v>999.93000000000029</v>
      </c>
      <c r="K5" s="539">
        <f t="shared" si="0"/>
        <v>999.93000000000029</v>
      </c>
      <c r="L5" s="539">
        <f t="shared" si="0"/>
        <v>999.93000000000029</v>
      </c>
      <c r="M5" s="539">
        <f t="shared" si="0"/>
        <v>999.93000000000029</v>
      </c>
      <c r="N5" s="539">
        <f t="shared" si="0"/>
        <v>999.93000000000029</v>
      </c>
      <c r="O5" s="539">
        <f t="shared" si="0"/>
        <v>999.93000000000029</v>
      </c>
      <c r="P5" s="539">
        <f t="shared" si="0"/>
        <v>999.93000000000029</v>
      </c>
      <c r="Q5" s="539">
        <f t="shared" si="0"/>
        <v>999.93000000000029</v>
      </c>
      <c r="R5" s="539">
        <f t="shared" si="0"/>
        <v>999.93000000000029</v>
      </c>
      <c r="S5" s="539">
        <f t="shared" si="0"/>
        <v>999.93000000000029</v>
      </c>
      <c r="T5" s="539">
        <f t="shared" si="0"/>
        <v>999.93000000000029</v>
      </c>
      <c r="U5" s="539">
        <f t="shared" si="0"/>
        <v>999.93000000000029</v>
      </c>
      <c r="V5" s="539">
        <f t="shared" si="0"/>
        <v>999.93000000000029</v>
      </c>
      <c r="W5" s="539">
        <f t="shared" si="0"/>
        <v>999.93000000000029</v>
      </c>
      <c r="X5" s="539">
        <f t="shared" si="0"/>
        <v>999.93000000000029</v>
      </c>
      <c r="Y5" s="539">
        <f t="shared" si="0"/>
        <v>999.93000000000029</v>
      </c>
      <c r="Z5" s="539">
        <f t="shared" si="0"/>
        <v>999.93000000000029</v>
      </c>
      <c r="AA5" s="539">
        <f t="shared" si="0"/>
        <v>999.93000000000029</v>
      </c>
      <c r="AB5" s="539">
        <f>SUM(C5:AA5)</f>
        <v>113298.31999999983</v>
      </c>
    </row>
    <row r="6" spans="1:28" s="521" customFormat="1" ht="12.75" x14ac:dyDescent="0.2">
      <c r="A6" s="856" t="s">
        <v>107</v>
      </c>
      <c r="B6" s="855" t="s">
        <v>20</v>
      </c>
      <c r="C6" s="529">
        <v>2000</v>
      </c>
      <c r="D6" s="529">
        <v>2000</v>
      </c>
      <c r="E6" s="529">
        <v>2000</v>
      </c>
      <c r="F6" s="529">
        <v>2000</v>
      </c>
      <c r="G6" s="529">
        <v>2000</v>
      </c>
      <c r="H6" s="529">
        <v>2000</v>
      </c>
      <c r="I6" s="529">
        <v>2000</v>
      </c>
      <c r="J6" s="529">
        <v>2000</v>
      </c>
      <c r="K6" s="529">
        <v>2000</v>
      </c>
      <c r="L6" s="529">
        <v>2000</v>
      </c>
      <c r="M6" s="529">
        <v>2000</v>
      </c>
      <c r="N6" s="529">
        <v>2000</v>
      </c>
      <c r="O6" s="529">
        <v>2000</v>
      </c>
      <c r="P6" s="529">
        <v>2000</v>
      </c>
      <c r="Q6" s="529">
        <v>2000</v>
      </c>
      <c r="R6" s="529">
        <v>2000</v>
      </c>
      <c r="S6" s="529">
        <v>2000</v>
      </c>
      <c r="T6" s="529">
        <v>2000</v>
      </c>
      <c r="U6" s="529">
        <v>2000</v>
      </c>
      <c r="V6" s="529">
        <v>2000</v>
      </c>
      <c r="W6" s="529">
        <v>2000</v>
      </c>
      <c r="X6" s="529">
        <v>2000</v>
      </c>
      <c r="Y6" s="529">
        <v>2000</v>
      </c>
      <c r="Z6" s="529">
        <v>2000</v>
      </c>
      <c r="AA6" s="529">
        <v>2000</v>
      </c>
      <c r="AB6" s="854">
        <f t="shared" ref="AB6:AB19" si="1">SUM(C6:AA6)</f>
        <v>50000</v>
      </c>
    </row>
    <row r="7" spans="1:28" s="514" customFormat="1" ht="12.75" x14ac:dyDescent="0.2">
      <c r="A7" s="400" t="s">
        <v>385</v>
      </c>
      <c r="B7" s="396" t="s">
        <v>20</v>
      </c>
      <c r="C7" s="535">
        <f t="shared" ref="C7:AA7" si="2">SUM(C5:C6)</f>
        <v>82000</v>
      </c>
      <c r="D7" s="535">
        <f t="shared" si="2"/>
        <v>6299.93</v>
      </c>
      <c r="E7" s="535">
        <f t="shared" si="2"/>
        <v>4999.93</v>
      </c>
      <c r="F7" s="535">
        <f t="shared" si="2"/>
        <v>6999.93</v>
      </c>
      <c r="G7" s="535">
        <f t="shared" si="2"/>
        <v>2999.9300000000003</v>
      </c>
      <c r="H7" s="535">
        <f t="shared" si="2"/>
        <v>2999.9300000000003</v>
      </c>
      <c r="I7" s="535">
        <f t="shared" si="2"/>
        <v>2999.9300000000003</v>
      </c>
      <c r="J7" s="535">
        <f t="shared" si="2"/>
        <v>2999.9300000000003</v>
      </c>
      <c r="K7" s="535">
        <f t="shared" si="2"/>
        <v>2999.9300000000003</v>
      </c>
      <c r="L7" s="535">
        <f t="shared" si="2"/>
        <v>2999.9300000000003</v>
      </c>
      <c r="M7" s="535">
        <f t="shared" si="2"/>
        <v>2999.9300000000003</v>
      </c>
      <c r="N7" s="535">
        <f t="shared" si="2"/>
        <v>2999.9300000000003</v>
      </c>
      <c r="O7" s="535">
        <f t="shared" si="2"/>
        <v>2999.9300000000003</v>
      </c>
      <c r="P7" s="535">
        <f t="shared" si="2"/>
        <v>2999.9300000000003</v>
      </c>
      <c r="Q7" s="535">
        <f t="shared" si="2"/>
        <v>2999.9300000000003</v>
      </c>
      <c r="R7" s="535">
        <f t="shared" si="2"/>
        <v>2999.9300000000003</v>
      </c>
      <c r="S7" s="535">
        <f t="shared" si="2"/>
        <v>2999.9300000000003</v>
      </c>
      <c r="T7" s="535">
        <f t="shared" si="2"/>
        <v>2999.9300000000003</v>
      </c>
      <c r="U7" s="535">
        <f t="shared" si="2"/>
        <v>2999.9300000000003</v>
      </c>
      <c r="V7" s="535">
        <f t="shared" si="2"/>
        <v>2999.9300000000003</v>
      </c>
      <c r="W7" s="535">
        <f t="shared" si="2"/>
        <v>2999.9300000000003</v>
      </c>
      <c r="X7" s="535">
        <f t="shared" si="2"/>
        <v>2999.9300000000003</v>
      </c>
      <c r="Y7" s="535">
        <f t="shared" si="2"/>
        <v>2999.9300000000003</v>
      </c>
      <c r="Z7" s="535">
        <f t="shared" si="2"/>
        <v>2999.9300000000003</v>
      </c>
      <c r="AA7" s="535">
        <f t="shared" si="2"/>
        <v>2999.9300000000003</v>
      </c>
      <c r="AB7" s="539">
        <f t="shared" si="1"/>
        <v>163298.31999999983</v>
      </c>
    </row>
    <row r="8" spans="1:28" s="514" customFormat="1" ht="12.75" x14ac:dyDescent="0.2">
      <c r="A8" s="400" t="s">
        <v>386</v>
      </c>
      <c r="B8" s="396" t="s">
        <v>20</v>
      </c>
      <c r="C8" s="539"/>
      <c r="D8" s="539"/>
      <c r="E8" s="539"/>
      <c r="F8" s="539"/>
      <c r="G8" s="539"/>
      <c r="H8" s="539"/>
      <c r="I8" s="539"/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>
        <f t="shared" si="1"/>
        <v>0</v>
      </c>
    </row>
    <row r="9" spans="1:28" s="514" customFormat="1" ht="12.75" x14ac:dyDescent="0.2">
      <c r="A9" s="401" t="s">
        <v>387</v>
      </c>
      <c r="B9" s="404" t="s">
        <v>20</v>
      </c>
      <c r="C9" s="539">
        <f>-'3.DL Naudas plūsma ar projektu'!E55</f>
        <v>-99500</v>
      </c>
      <c r="D9" s="539">
        <f>-'3.DL Naudas plūsma ar projektu'!F55</f>
        <v>-83500</v>
      </c>
      <c r="E9" s="539">
        <f>-'3.DL Naudas plūsma ar projektu'!G55</f>
        <v>-25000</v>
      </c>
      <c r="F9" s="636"/>
      <c r="G9" s="636"/>
      <c r="H9" s="636"/>
      <c r="I9" s="636"/>
      <c r="J9" s="636"/>
      <c r="K9" s="636"/>
      <c r="L9" s="636"/>
      <c r="M9" s="636"/>
      <c r="N9" s="636"/>
      <c r="O9" s="636"/>
      <c r="P9" s="636"/>
      <c r="Q9" s="636"/>
      <c r="R9" s="636"/>
      <c r="S9" s="636"/>
      <c r="T9" s="636"/>
      <c r="U9" s="636"/>
      <c r="V9" s="636"/>
      <c r="W9" s="636"/>
      <c r="X9" s="636"/>
      <c r="Y9" s="636"/>
      <c r="Z9" s="636"/>
      <c r="AA9" s="636"/>
      <c r="AB9" s="539">
        <f t="shared" si="1"/>
        <v>-208000</v>
      </c>
    </row>
    <row r="10" spans="1:28" s="514" customFormat="1" ht="12.75" x14ac:dyDescent="0.2">
      <c r="A10" s="400" t="s">
        <v>388</v>
      </c>
      <c r="B10" s="396" t="s">
        <v>20</v>
      </c>
      <c r="C10" s="535">
        <f>SUM(C9)</f>
        <v>-99500</v>
      </c>
      <c r="D10" s="535">
        <f t="shared" ref="D10:AA10" si="3">SUM(D9)</f>
        <v>-83500</v>
      </c>
      <c r="E10" s="535">
        <f t="shared" si="3"/>
        <v>-25000</v>
      </c>
      <c r="F10" s="535">
        <f t="shared" si="3"/>
        <v>0</v>
      </c>
      <c r="G10" s="535">
        <f t="shared" si="3"/>
        <v>0</v>
      </c>
      <c r="H10" s="535">
        <f t="shared" si="3"/>
        <v>0</v>
      </c>
      <c r="I10" s="535">
        <f t="shared" si="3"/>
        <v>0</v>
      </c>
      <c r="J10" s="535">
        <f t="shared" si="3"/>
        <v>0</v>
      </c>
      <c r="K10" s="535">
        <f t="shared" si="3"/>
        <v>0</v>
      </c>
      <c r="L10" s="535">
        <f t="shared" si="3"/>
        <v>0</v>
      </c>
      <c r="M10" s="535">
        <f t="shared" si="3"/>
        <v>0</v>
      </c>
      <c r="N10" s="535">
        <f t="shared" si="3"/>
        <v>0</v>
      </c>
      <c r="O10" s="535">
        <f t="shared" si="3"/>
        <v>0</v>
      </c>
      <c r="P10" s="535">
        <f t="shared" si="3"/>
        <v>0</v>
      </c>
      <c r="Q10" s="535">
        <f t="shared" si="3"/>
        <v>0</v>
      </c>
      <c r="R10" s="535">
        <f t="shared" si="3"/>
        <v>0</v>
      </c>
      <c r="S10" s="535">
        <f t="shared" si="3"/>
        <v>0</v>
      </c>
      <c r="T10" s="535">
        <f t="shared" si="3"/>
        <v>0</v>
      </c>
      <c r="U10" s="535">
        <f t="shared" si="3"/>
        <v>0</v>
      </c>
      <c r="V10" s="535">
        <f t="shared" si="3"/>
        <v>0</v>
      </c>
      <c r="W10" s="535">
        <f t="shared" si="3"/>
        <v>0</v>
      </c>
      <c r="X10" s="535">
        <f t="shared" si="3"/>
        <v>0</v>
      </c>
      <c r="Y10" s="535">
        <f t="shared" si="3"/>
        <v>0</v>
      </c>
      <c r="Z10" s="535">
        <f t="shared" si="3"/>
        <v>0</v>
      </c>
      <c r="AA10" s="535">
        <f t="shared" si="3"/>
        <v>0</v>
      </c>
      <c r="AB10" s="539">
        <f t="shared" si="1"/>
        <v>-208000</v>
      </c>
    </row>
    <row r="11" spans="1:28" s="514" customFormat="1" ht="12.75" x14ac:dyDescent="0.2">
      <c r="A11" s="400" t="s">
        <v>389</v>
      </c>
      <c r="B11" s="396" t="s">
        <v>20</v>
      </c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>
        <f t="shared" si="1"/>
        <v>0</v>
      </c>
    </row>
    <row r="12" spans="1:28" s="514" customFormat="1" ht="12.75" x14ac:dyDescent="0.2">
      <c r="A12" s="401" t="s">
        <v>390</v>
      </c>
      <c r="B12" s="404" t="s">
        <v>20</v>
      </c>
      <c r="C12" s="539">
        <f t="shared" ref="C12:AA12" si="4">SUM(C13:C15)</f>
        <v>53358.75</v>
      </c>
      <c r="D12" s="539">
        <f t="shared" si="4"/>
        <v>20622.25</v>
      </c>
      <c r="E12" s="539">
        <f t="shared" si="4"/>
        <v>17212.5</v>
      </c>
      <c r="F12" s="539">
        <f t="shared" si="4"/>
        <v>0</v>
      </c>
      <c r="G12" s="539">
        <f t="shared" si="4"/>
        <v>0</v>
      </c>
      <c r="H12" s="539">
        <f t="shared" si="4"/>
        <v>0</v>
      </c>
      <c r="I12" s="539">
        <f t="shared" si="4"/>
        <v>0</v>
      </c>
      <c r="J12" s="539">
        <f t="shared" si="4"/>
        <v>0</v>
      </c>
      <c r="K12" s="539">
        <f t="shared" si="4"/>
        <v>0</v>
      </c>
      <c r="L12" s="539">
        <f t="shared" si="4"/>
        <v>0</v>
      </c>
      <c r="M12" s="539">
        <f t="shared" si="4"/>
        <v>0</v>
      </c>
      <c r="N12" s="539">
        <f t="shared" si="4"/>
        <v>0</v>
      </c>
      <c r="O12" s="539">
        <f t="shared" si="4"/>
        <v>0</v>
      </c>
      <c r="P12" s="539">
        <f t="shared" si="4"/>
        <v>0</v>
      </c>
      <c r="Q12" s="539">
        <f t="shared" si="4"/>
        <v>0</v>
      </c>
      <c r="R12" s="539">
        <f t="shared" si="4"/>
        <v>0</v>
      </c>
      <c r="S12" s="539">
        <f t="shared" si="4"/>
        <v>0</v>
      </c>
      <c r="T12" s="539">
        <f t="shared" si="4"/>
        <v>0</v>
      </c>
      <c r="U12" s="539">
        <f t="shared" si="4"/>
        <v>0</v>
      </c>
      <c r="V12" s="539">
        <f t="shared" si="4"/>
        <v>0</v>
      </c>
      <c r="W12" s="539">
        <f t="shared" si="4"/>
        <v>0</v>
      </c>
      <c r="X12" s="539">
        <f t="shared" si="4"/>
        <v>0</v>
      </c>
      <c r="Y12" s="539">
        <f t="shared" si="4"/>
        <v>0</v>
      </c>
      <c r="Z12" s="539">
        <f t="shared" si="4"/>
        <v>0</v>
      </c>
      <c r="AA12" s="539">
        <f t="shared" si="4"/>
        <v>0</v>
      </c>
      <c r="AB12" s="539">
        <f t="shared" si="1"/>
        <v>91193.5</v>
      </c>
    </row>
    <row r="13" spans="1:28" s="514" customFormat="1" ht="12.75" x14ac:dyDescent="0.2">
      <c r="A13" s="402" t="s">
        <v>604</v>
      </c>
      <c r="B13" s="404" t="s">
        <v>20</v>
      </c>
      <c r="C13" s="539">
        <f>'4.DL Projekta_finansiala_ilgtsp'!F13</f>
        <v>53358.75</v>
      </c>
      <c r="D13" s="539">
        <f>'4.DL Projekta_finansiala_ilgtsp'!G13</f>
        <v>19622.25</v>
      </c>
      <c r="E13" s="539">
        <f>'4.DL Projekta_finansiala_ilgtsp'!H13</f>
        <v>17212.5</v>
      </c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636"/>
      <c r="AB13" s="539">
        <f t="shared" si="1"/>
        <v>90193.5</v>
      </c>
    </row>
    <row r="14" spans="1:28" s="514" customFormat="1" ht="12.75" x14ac:dyDescent="0.2">
      <c r="A14" s="402" t="s">
        <v>548</v>
      </c>
      <c r="B14" s="404" t="s">
        <v>20</v>
      </c>
      <c r="C14" s="539">
        <f>SUM('1.DL Projekta budžets'!J25:M25)</f>
        <v>0</v>
      </c>
      <c r="D14" s="539">
        <f>SUM('1.DL Projekta budžets'!N25:O25)</f>
        <v>0</v>
      </c>
      <c r="E14" s="539">
        <f>SUM('1.DL Projekta budžets'!P25:Q25)</f>
        <v>0</v>
      </c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636"/>
      <c r="AB14" s="539"/>
    </row>
    <row r="15" spans="1:28" s="514" customFormat="1" ht="12.75" x14ac:dyDescent="0.2">
      <c r="A15" s="402" t="s">
        <v>391</v>
      </c>
      <c r="B15" s="404" t="s">
        <v>20</v>
      </c>
      <c r="C15" s="539">
        <f>'4.DL Projekta_finansiala_ilgtsp'!F10</f>
        <v>0</v>
      </c>
      <c r="D15" s="539">
        <f>'4.DL Projekta_finansiala_ilgtsp'!G10</f>
        <v>1000</v>
      </c>
      <c r="E15" s="539">
        <f>'4.DL Projekta_finansiala_ilgtsp'!H10</f>
        <v>0</v>
      </c>
      <c r="F15" s="636"/>
      <c r="G15" s="636"/>
      <c r="H15" s="636"/>
      <c r="I15" s="636"/>
      <c r="J15" s="636"/>
      <c r="K15" s="636"/>
      <c r="L15" s="636"/>
      <c r="M15" s="636"/>
      <c r="N15" s="636"/>
      <c r="O15" s="636"/>
      <c r="P15" s="636"/>
      <c r="Q15" s="636"/>
      <c r="R15" s="636"/>
      <c r="S15" s="636"/>
      <c r="T15" s="636"/>
      <c r="U15" s="636"/>
      <c r="V15" s="636"/>
      <c r="W15" s="636"/>
      <c r="X15" s="636"/>
      <c r="Y15" s="636"/>
      <c r="Z15" s="636"/>
      <c r="AA15" s="636"/>
      <c r="AB15" s="539">
        <f t="shared" si="1"/>
        <v>1000</v>
      </c>
    </row>
    <row r="16" spans="1:28" s="514" customFormat="1" ht="12.75" x14ac:dyDescent="0.2">
      <c r="A16" s="399" t="s">
        <v>392</v>
      </c>
      <c r="B16" s="404" t="s">
        <v>20</v>
      </c>
      <c r="C16" s="539">
        <f>'4.DL Projekta_finansiala_ilgtsp'!F19</f>
        <v>0</v>
      </c>
      <c r="D16" s="539">
        <f>'4.DL Projekta_finansiala_ilgtsp'!G19</f>
        <v>0</v>
      </c>
      <c r="E16" s="539">
        <f>'4.DL Projekta_finansiala_ilgtsp'!H19</f>
        <v>100</v>
      </c>
      <c r="F16" s="539">
        <f>'4.DL Projekta_finansiala_ilgtsp'!I19</f>
        <v>100</v>
      </c>
      <c r="G16" s="539">
        <f>'4.DL Projekta_finansiala_ilgtsp'!J19</f>
        <v>100</v>
      </c>
      <c r="H16" s="539">
        <f>'4.DL Projekta_finansiala_ilgtsp'!K19</f>
        <v>100</v>
      </c>
      <c r="I16" s="539">
        <f>'4.DL Projekta_finansiala_ilgtsp'!L19</f>
        <v>100</v>
      </c>
      <c r="J16" s="539">
        <f>'4.DL Projekta_finansiala_ilgtsp'!M19</f>
        <v>100</v>
      </c>
      <c r="K16" s="539">
        <f>'4.DL Projekta_finansiala_ilgtsp'!N19</f>
        <v>100</v>
      </c>
      <c r="L16" s="539">
        <f>'4.DL Projekta_finansiala_ilgtsp'!O19</f>
        <v>100</v>
      </c>
      <c r="M16" s="539">
        <f>'4.DL Projekta_finansiala_ilgtsp'!P19</f>
        <v>100</v>
      </c>
      <c r="N16" s="539">
        <f>'4.DL Projekta_finansiala_ilgtsp'!Q19</f>
        <v>100</v>
      </c>
      <c r="O16" s="539">
        <f>'4.DL Projekta_finansiala_ilgtsp'!R19</f>
        <v>0</v>
      </c>
      <c r="P16" s="539">
        <f>'4.DL Projekta_finansiala_ilgtsp'!S19</f>
        <v>0</v>
      </c>
      <c r="Q16" s="539">
        <f>'4.DL Projekta_finansiala_ilgtsp'!T19</f>
        <v>0</v>
      </c>
      <c r="R16" s="539">
        <f>'4.DL Projekta_finansiala_ilgtsp'!U19</f>
        <v>0</v>
      </c>
      <c r="S16" s="539">
        <f>'4.DL Projekta_finansiala_ilgtsp'!V19</f>
        <v>0</v>
      </c>
      <c r="T16" s="539">
        <f>'4.DL Projekta_finansiala_ilgtsp'!W19</f>
        <v>0</v>
      </c>
      <c r="U16" s="539">
        <f>'4.DL Projekta_finansiala_ilgtsp'!X19</f>
        <v>0</v>
      </c>
      <c r="V16" s="539">
        <f>'4.DL Projekta_finansiala_ilgtsp'!Y19</f>
        <v>0</v>
      </c>
      <c r="W16" s="539">
        <f>'4.DL Projekta_finansiala_ilgtsp'!Z19</f>
        <v>0</v>
      </c>
      <c r="X16" s="539">
        <f>'4.DL Projekta_finansiala_ilgtsp'!AA19</f>
        <v>0</v>
      </c>
      <c r="Y16" s="539">
        <f>'4.DL Projekta_finansiala_ilgtsp'!AB19</f>
        <v>0</v>
      </c>
      <c r="Z16" s="539">
        <f>'4.DL Projekta_finansiala_ilgtsp'!AC19</f>
        <v>0</v>
      </c>
      <c r="AA16" s="539">
        <f>'4.DL Projekta_finansiala_ilgtsp'!AD19</f>
        <v>0</v>
      </c>
      <c r="AB16" s="539">
        <f t="shared" si="1"/>
        <v>1000</v>
      </c>
    </row>
    <row r="17" spans="1:28" s="537" customFormat="1" ht="12.75" x14ac:dyDescent="0.2">
      <c r="A17" s="403" t="s">
        <v>393</v>
      </c>
      <c r="B17" s="396" t="s">
        <v>20</v>
      </c>
      <c r="C17" s="535">
        <f>C12-C16</f>
        <v>53358.75</v>
      </c>
      <c r="D17" s="535">
        <f t="shared" ref="D17:AA17" si="5">D12-D16</f>
        <v>20622.25</v>
      </c>
      <c r="E17" s="535">
        <f t="shared" si="5"/>
        <v>17112.5</v>
      </c>
      <c r="F17" s="535">
        <f t="shared" si="5"/>
        <v>-100</v>
      </c>
      <c r="G17" s="535">
        <f t="shared" si="5"/>
        <v>-100</v>
      </c>
      <c r="H17" s="535">
        <f t="shared" si="5"/>
        <v>-100</v>
      </c>
      <c r="I17" s="535">
        <f t="shared" si="5"/>
        <v>-100</v>
      </c>
      <c r="J17" s="535">
        <f t="shared" si="5"/>
        <v>-100</v>
      </c>
      <c r="K17" s="535">
        <f t="shared" si="5"/>
        <v>-100</v>
      </c>
      <c r="L17" s="535">
        <f t="shared" si="5"/>
        <v>-100</v>
      </c>
      <c r="M17" s="535">
        <f t="shared" si="5"/>
        <v>-100</v>
      </c>
      <c r="N17" s="535">
        <f t="shared" si="5"/>
        <v>-100</v>
      </c>
      <c r="O17" s="535">
        <f t="shared" si="5"/>
        <v>0</v>
      </c>
      <c r="P17" s="535">
        <f t="shared" si="5"/>
        <v>0</v>
      </c>
      <c r="Q17" s="535">
        <f t="shared" si="5"/>
        <v>0</v>
      </c>
      <c r="R17" s="535">
        <f t="shared" si="5"/>
        <v>0</v>
      </c>
      <c r="S17" s="535">
        <f t="shared" si="5"/>
        <v>0</v>
      </c>
      <c r="T17" s="535">
        <f t="shared" si="5"/>
        <v>0</v>
      </c>
      <c r="U17" s="535">
        <f t="shared" si="5"/>
        <v>0</v>
      </c>
      <c r="V17" s="535">
        <f t="shared" si="5"/>
        <v>0</v>
      </c>
      <c r="W17" s="535">
        <f t="shared" si="5"/>
        <v>0</v>
      </c>
      <c r="X17" s="535">
        <f t="shared" si="5"/>
        <v>0</v>
      </c>
      <c r="Y17" s="535">
        <f t="shared" si="5"/>
        <v>0</v>
      </c>
      <c r="Z17" s="535">
        <f t="shared" si="5"/>
        <v>0</v>
      </c>
      <c r="AA17" s="535">
        <f t="shared" si="5"/>
        <v>0</v>
      </c>
      <c r="AB17" s="539">
        <f t="shared" si="1"/>
        <v>90193.5</v>
      </c>
    </row>
    <row r="18" spans="1:28" s="514" customFormat="1" ht="25.5" x14ac:dyDescent="0.2">
      <c r="A18" s="403" t="s">
        <v>394</v>
      </c>
      <c r="B18" s="396" t="s">
        <v>20</v>
      </c>
      <c r="C18" s="535">
        <f t="shared" ref="C18:AA18" si="6">SUM(C7,C10,C17)</f>
        <v>35858.75</v>
      </c>
      <c r="D18" s="535">
        <f t="shared" si="6"/>
        <v>-56577.820000000007</v>
      </c>
      <c r="E18" s="535">
        <f t="shared" si="6"/>
        <v>-2887.5699999999997</v>
      </c>
      <c r="F18" s="535">
        <f t="shared" si="6"/>
        <v>6899.93</v>
      </c>
      <c r="G18" s="535">
        <f t="shared" si="6"/>
        <v>2899.9300000000003</v>
      </c>
      <c r="H18" s="535">
        <f t="shared" si="6"/>
        <v>2899.9300000000003</v>
      </c>
      <c r="I18" s="535">
        <f t="shared" si="6"/>
        <v>2899.9300000000003</v>
      </c>
      <c r="J18" s="535">
        <f t="shared" si="6"/>
        <v>2899.9300000000003</v>
      </c>
      <c r="K18" s="535">
        <f t="shared" si="6"/>
        <v>2899.9300000000003</v>
      </c>
      <c r="L18" s="535">
        <f t="shared" si="6"/>
        <v>2899.9300000000003</v>
      </c>
      <c r="M18" s="535">
        <f t="shared" si="6"/>
        <v>2899.9300000000003</v>
      </c>
      <c r="N18" s="535">
        <f t="shared" si="6"/>
        <v>2899.9300000000003</v>
      </c>
      <c r="O18" s="535">
        <f t="shared" si="6"/>
        <v>2999.9300000000003</v>
      </c>
      <c r="P18" s="535">
        <f t="shared" si="6"/>
        <v>2999.9300000000003</v>
      </c>
      <c r="Q18" s="535">
        <f t="shared" si="6"/>
        <v>2999.9300000000003</v>
      </c>
      <c r="R18" s="535">
        <f t="shared" si="6"/>
        <v>2999.9300000000003</v>
      </c>
      <c r="S18" s="535">
        <f t="shared" si="6"/>
        <v>2999.9300000000003</v>
      </c>
      <c r="T18" s="535">
        <f t="shared" si="6"/>
        <v>2999.9300000000003</v>
      </c>
      <c r="U18" s="535">
        <f t="shared" si="6"/>
        <v>2999.9300000000003</v>
      </c>
      <c r="V18" s="535">
        <f t="shared" si="6"/>
        <v>2999.9300000000003</v>
      </c>
      <c r="W18" s="535">
        <f t="shared" si="6"/>
        <v>2999.9300000000003</v>
      </c>
      <c r="X18" s="535">
        <f t="shared" si="6"/>
        <v>2999.9300000000003</v>
      </c>
      <c r="Y18" s="535">
        <f t="shared" si="6"/>
        <v>2999.9300000000003</v>
      </c>
      <c r="Z18" s="535">
        <f t="shared" si="6"/>
        <v>2999.9300000000003</v>
      </c>
      <c r="AA18" s="535">
        <f t="shared" si="6"/>
        <v>2999.9300000000003</v>
      </c>
      <c r="AB18" s="539">
        <f t="shared" si="1"/>
        <v>45491.82</v>
      </c>
    </row>
    <row r="19" spans="1:28" s="514" customFormat="1" ht="25.5" x14ac:dyDescent="0.2">
      <c r="A19" s="403" t="s">
        <v>395</v>
      </c>
      <c r="B19" s="396" t="s">
        <v>20</v>
      </c>
      <c r="C19" s="535">
        <f>Titullapa!B27+'5.DL_Proj_iesn_naudas_plusma'!C18</f>
        <v>60858.75</v>
      </c>
      <c r="D19" s="535">
        <f>C19+D18</f>
        <v>4280.929999999993</v>
      </c>
      <c r="E19" s="535">
        <f t="shared" ref="E19:AA19" si="7">D19+E18</f>
        <v>1393.3599999999933</v>
      </c>
      <c r="F19" s="535">
        <f t="shared" si="7"/>
        <v>8293.2899999999936</v>
      </c>
      <c r="G19" s="535">
        <f t="shared" si="7"/>
        <v>11193.219999999994</v>
      </c>
      <c r="H19" s="535">
        <f t="shared" si="7"/>
        <v>14093.149999999994</v>
      </c>
      <c r="I19" s="535">
        <f t="shared" si="7"/>
        <v>16993.079999999994</v>
      </c>
      <c r="J19" s="535">
        <f t="shared" si="7"/>
        <v>19893.009999999995</v>
      </c>
      <c r="K19" s="535">
        <f t="shared" si="7"/>
        <v>22792.939999999995</v>
      </c>
      <c r="L19" s="535">
        <f t="shared" si="7"/>
        <v>25692.869999999995</v>
      </c>
      <c r="M19" s="535">
        <f t="shared" si="7"/>
        <v>28592.799999999996</v>
      </c>
      <c r="N19" s="535">
        <f t="shared" si="7"/>
        <v>31492.729999999996</v>
      </c>
      <c r="O19" s="535">
        <f t="shared" si="7"/>
        <v>34492.659999999996</v>
      </c>
      <c r="P19" s="535">
        <f t="shared" si="7"/>
        <v>37492.589999999997</v>
      </c>
      <c r="Q19" s="535">
        <f t="shared" si="7"/>
        <v>40492.519999999997</v>
      </c>
      <c r="R19" s="535">
        <f t="shared" si="7"/>
        <v>43492.45</v>
      </c>
      <c r="S19" s="535">
        <f t="shared" si="7"/>
        <v>46492.38</v>
      </c>
      <c r="T19" s="535">
        <f t="shared" si="7"/>
        <v>49492.31</v>
      </c>
      <c r="U19" s="535">
        <f t="shared" si="7"/>
        <v>52492.24</v>
      </c>
      <c r="V19" s="535">
        <f t="shared" si="7"/>
        <v>55492.17</v>
      </c>
      <c r="W19" s="535">
        <f t="shared" si="7"/>
        <v>58492.1</v>
      </c>
      <c r="X19" s="535">
        <f t="shared" si="7"/>
        <v>61492.03</v>
      </c>
      <c r="Y19" s="535">
        <f t="shared" si="7"/>
        <v>64491.96</v>
      </c>
      <c r="Z19" s="535">
        <f t="shared" si="7"/>
        <v>67491.89</v>
      </c>
      <c r="AA19" s="535">
        <f t="shared" si="7"/>
        <v>70491.820000000007</v>
      </c>
      <c r="AB19" s="539">
        <f t="shared" si="1"/>
        <v>927969.25</v>
      </c>
    </row>
    <row r="20" spans="1:28" s="428" customFormat="1" x14ac:dyDescent="0.25"/>
    <row r="21" spans="1:28" s="428" customFormat="1" x14ac:dyDescent="0.25"/>
    <row r="22" spans="1:28" s="428" customFormat="1" ht="31.5" x14ac:dyDescent="0.25">
      <c r="A22" s="405" t="s">
        <v>396</v>
      </c>
    </row>
    <row r="23" spans="1:28" s="514" customFormat="1" ht="16.5" customHeight="1" x14ac:dyDescent="0.2">
      <c r="A23" s="406"/>
      <c r="B23" s="516" t="s">
        <v>39</v>
      </c>
      <c r="C23" s="516">
        <f t="shared" ref="C23:AB23" si="8">C3</f>
        <v>2021</v>
      </c>
      <c r="D23" s="516">
        <f t="shared" si="8"/>
        <v>2022</v>
      </c>
      <c r="E23" s="516">
        <f t="shared" si="8"/>
        <v>2023</v>
      </c>
      <c r="F23" s="516">
        <f t="shared" si="8"/>
        <v>2024</v>
      </c>
      <c r="G23" s="516">
        <f t="shared" si="8"/>
        <v>2025</v>
      </c>
      <c r="H23" s="516">
        <f t="shared" si="8"/>
        <v>2026</v>
      </c>
      <c r="I23" s="516">
        <f t="shared" si="8"/>
        <v>2027</v>
      </c>
      <c r="J23" s="516">
        <f t="shared" si="8"/>
        <v>2028</v>
      </c>
      <c r="K23" s="516">
        <f t="shared" si="8"/>
        <v>2029</v>
      </c>
      <c r="L23" s="516">
        <f t="shared" si="8"/>
        <v>2030</v>
      </c>
      <c r="M23" s="516">
        <f t="shared" si="8"/>
        <v>2031</v>
      </c>
      <c r="N23" s="516">
        <f t="shared" si="8"/>
        <v>2032</v>
      </c>
      <c r="O23" s="516">
        <f t="shared" si="8"/>
        <v>2033</v>
      </c>
      <c r="P23" s="516">
        <f t="shared" si="8"/>
        <v>2034</v>
      </c>
      <c r="Q23" s="516">
        <f t="shared" si="8"/>
        <v>2035</v>
      </c>
      <c r="R23" s="516">
        <f t="shared" si="8"/>
        <v>2036</v>
      </c>
      <c r="S23" s="516">
        <f t="shared" si="8"/>
        <v>2037</v>
      </c>
      <c r="T23" s="516">
        <f t="shared" si="8"/>
        <v>2038</v>
      </c>
      <c r="U23" s="516">
        <f t="shared" si="8"/>
        <v>2039</v>
      </c>
      <c r="V23" s="516">
        <f t="shared" si="8"/>
        <v>2040</v>
      </c>
      <c r="W23" s="516">
        <f t="shared" si="8"/>
        <v>2041</v>
      </c>
      <c r="X23" s="516">
        <f t="shared" si="8"/>
        <v>2042</v>
      </c>
      <c r="Y23" s="516">
        <f t="shared" si="8"/>
        <v>2043</v>
      </c>
      <c r="Z23" s="516">
        <f t="shared" si="8"/>
        <v>2044</v>
      </c>
      <c r="AA23" s="516">
        <f t="shared" si="8"/>
        <v>2045</v>
      </c>
      <c r="AB23" s="516" t="str">
        <f t="shared" si="8"/>
        <v>Kopā</v>
      </c>
    </row>
    <row r="24" spans="1:28" s="537" customFormat="1" ht="12.75" x14ac:dyDescent="0.2">
      <c r="A24" s="407" t="s">
        <v>397</v>
      </c>
      <c r="B24" s="532" t="s">
        <v>20</v>
      </c>
      <c r="C24" s="533">
        <f t="shared" ref="C24:AA24" si="9">SUM(C25:C26)</f>
        <v>10912</v>
      </c>
      <c r="D24" s="533">
        <f t="shared" si="9"/>
        <v>9612</v>
      </c>
      <c r="E24" s="533">
        <f t="shared" si="9"/>
        <v>11632</v>
      </c>
      <c r="F24" s="533">
        <f t="shared" si="9"/>
        <v>7630</v>
      </c>
      <c r="G24" s="533">
        <f t="shared" si="9"/>
        <v>7628</v>
      </c>
      <c r="H24" s="533">
        <f t="shared" si="9"/>
        <v>7626</v>
      </c>
      <c r="I24" s="533">
        <f t="shared" si="9"/>
        <v>7624</v>
      </c>
      <c r="J24" s="533">
        <f t="shared" si="9"/>
        <v>7622</v>
      </c>
      <c r="K24" s="533">
        <f t="shared" si="9"/>
        <v>7620</v>
      </c>
      <c r="L24" s="533">
        <f t="shared" si="9"/>
        <v>7618</v>
      </c>
      <c r="M24" s="533">
        <f t="shared" si="9"/>
        <v>7616</v>
      </c>
      <c r="N24" s="533">
        <f t="shared" si="9"/>
        <v>7614</v>
      </c>
      <c r="O24" s="533">
        <f t="shared" si="9"/>
        <v>7612</v>
      </c>
      <c r="P24" s="533">
        <f t="shared" si="9"/>
        <v>7612</v>
      </c>
      <c r="Q24" s="533">
        <f t="shared" si="9"/>
        <v>7612</v>
      </c>
      <c r="R24" s="533">
        <f t="shared" si="9"/>
        <v>7612</v>
      </c>
      <c r="S24" s="533">
        <f t="shared" si="9"/>
        <v>7612</v>
      </c>
      <c r="T24" s="533">
        <f t="shared" si="9"/>
        <v>7612</v>
      </c>
      <c r="U24" s="533">
        <f t="shared" si="9"/>
        <v>7612</v>
      </c>
      <c r="V24" s="533">
        <f t="shared" si="9"/>
        <v>7612</v>
      </c>
      <c r="W24" s="533">
        <f t="shared" si="9"/>
        <v>7612</v>
      </c>
      <c r="X24" s="533">
        <f t="shared" si="9"/>
        <v>7612</v>
      </c>
      <c r="Y24" s="533">
        <f t="shared" si="9"/>
        <v>7612</v>
      </c>
      <c r="Z24" s="533">
        <f t="shared" si="9"/>
        <v>7612</v>
      </c>
      <c r="AA24" s="533">
        <f t="shared" si="9"/>
        <v>7612</v>
      </c>
      <c r="AB24" s="539">
        <f t="shared" ref="AB24:AB32" si="10">SUM(C24:AA24)</f>
        <v>199710</v>
      </c>
    </row>
    <row r="25" spans="1:28" s="514" customFormat="1" ht="12.75" x14ac:dyDescent="0.2">
      <c r="A25" s="408" t="s">
        <v>397</v>
      </c>
      <c r="B25" s="516" t="s">
        <v>20</v>
      </c>
      <c r="C25" s="539">
        <f>'3.DL Naudas plūsma ar projektu'!E14</f>
        <v>10912</v>
      </c>
      <c r="D25" s="539">
        <f>'3.DL Naudas plūsma ar projektu'!F14</f>
        <v>9612</v>
      </c>
      <c r="E25" s="539">
        <f>'3.DL Naudas plūsma ar projektu'!G14</f>
        <v>11632</v>
      </c>
      <c r="F25" s="539">
        <f>'3.DL Naudas plūsma ar projektu'!H14</f>
        <v>7630</v>
      </c>
      <c r="G25" s="539">
        <f>'3.DL Naudas plūsma ar projektu'!I14</f>
        <v>7628</v>
      </c>
      <c r="H25" s="539">
        <f>'3.DL Naudas plūsma ar projektu'!J14</f>
        <v>7626</v>
      </c>
      <c r="I25" s="539">
        <f>'3.DL Naudas plūsma ar projektu'!K14</f>
        <v>7624</v>
      </c>
      <c r="J25" s="539">
        <f>'3.DL Naudas plūsma ar projektu'!L14</f>
        <v>7622</v>
      </c>
      <c r="K25" s="539">
        <f>'3.DL Naudas plūsma ar projektu'!M14</f>
        <v>7620</v>
      </c>
      <c r="L25" s="539">
        <f>'3.DL Naudas plūsma ar projektu'!N14</f>
        <v>7618</v>
      </c>
      <c r="M25" s="539">
        <f>'3.DL Naudas plūsma ar projektu'!O14</f>
        <v>7616</v>
      </c>
      <c r="N25" s="539">
        <f>'3.DL Naudas plūsma ar projektu'!P14</f>
        <v>7614</v>
      </c>
      <c r="O25" s="539">
        <f>'3.DL Naudas plūsma ar projektu'!Q14</f>
        <v>7612</v>
      </c>
      <c r="P25" s="539">
        <f>'3.DL Naudas plūsma ar projektu'!R14</f>
        <v>7612</v>
      </c>
      <c r="Q25" s="539">
        <f>'3.DL Naudas plūsma ar projektu'!S14</f>
        <v>7612</v>
      </c>
      <c r="R25" s="539">
        <f>'3.DL Naudas plūsma ar projektu'!T14</f>
        <v>7612</v>
      </c>
      <c r="S25" s="539">
        <f>'3.DL Naudas plūsma ar projektu'!U14</f>
        <v>7612</v>
      </c>
      <c r="T25" s="539">
        <f>'3.DL Naudas plūsma ar projektu'!V14</f>
        <v>7612</v>
      </c>
      <c r="U25" s="539">
        <f>'3.DL Naudas plūsma ar projektu'!W14</f>
        <v>7612</v>
      </c>
      <c r="V25" s="539">
        <f>'3.DL Naudas plūsma ar projektu'!X14</f>
        <v>7612</v>
      </c>
      <c r="W25" s="539">
        <f>'3.DL Naudas plūsma ar projektu'!Y14</f>
        <v>7612</v>
      </c>
      <c r="X25" s="539">
        <f>'3.DL Naudas plūsma ar projektu'!Z14</f>
        <v>7612</v>
      </c>
      <c r="Y25" s="539">
        <f>'3.DL Naudas plūsma ar projektu'!AA14</f>
        <v>7612</v>
      </c>
      <c r="Z25" s="539">
        <f>'3.DL Naudas plūsma ar projektu'!AB14</f>
        <v>7612</v>
      </c>
      <c r="AA25" s="539">
        <f>'3.DL Naudas plūsma ar projektu'!AC14</f>
        <v>7612</v>
      </c>
      <c r="AB25" s="539">
        <f t="shared" si="10"/>
        <v>199710</v>
      </c>
    </row>
    <row r="26" spans="1:28" s="514" customFormat="1" ht="12.75" x14ac:dyDescent="0.2">
      <c r="A26" s="409" t="s">
        <v>605</v>
      </c>
      <c r="B26" s="516" t="s">
        <v>20</v>
      </c>
      <c r="C26" s="539">
        <f>ROUND($C34*'3.DL Naudas plūsma ar projektu'!E78,2)</f>
        <v>0</v>
      </c>
      <c r="D26" s="541">
        <f>ROUND($C34*'3.DL Naudas plūsma ar projektu'!F78,2)</f>
        <v>0</v>
      </c>
      <c r="E26" s="541">
        <f>ROUND($C34*'3.DL Naudas plūsma ar projektu'!G78,2)</f>
        <v>0</v>
      </c>
      <c r="F26" s="541">
        <f>ROUND($C34*'3.DL Naudas plūsma ar projektu'!H78,2)</f>
        <v>0</v>
      </c>
      <c r="G26" s="541">
        <f>ROUND($C34*'3.DL Naudas plūsma ar projektu'!I78,2)</f>
        <v>0</v>
      </c>
      <c r="H26" s="541">
        <f>ROUND($C34*'3.DL Naudas plūsma ar projektu'!J78,2)</f>
        <v>0</v>
      </c>
      <c r="I26" s="541">
        <f>ROUND($C34*'3.DL Naudas plūsma ar projektu'!K78,2)</f>
        <v>0</v>
      </c>
      <c r="J26" s="541">
        <f>ROUND($C34*'3.DL Naudas plūsma ar projektu'!L78,2)</f>
        <v>0</v>
      </c>
      <c r="K26" s="541">
        <f>ROUND($C34*'3.DL Naudas plūsma ar projektu'!M78,2)</f>
        <v>0</v>
      </c>
      <c r="L26" s="541">
        <f>ROUND($C34*'3.DL Naudas plūsma ar projektu'!N78,2)</f>
        <v>0</v>
      </c>
      <c r="M26" s="541">
        <f>ROUND($C34*'3.DL Naudas plūsma ar projektu'!O78,2)</f>
        <v>0</v>
      </c>
      <c r="N26" s="541">
        <f>ROUND($C34*'3.DL Naudas plūsma ar projektu'!P78,2)</f>
        <v>0</v>
      </c>
      <c r="O26" s="541">
        <f>ROUND($C34*'3.DL Naudas plūsma ar projektu'!Q78,2)</f>
        <v>0</v>
      </c>
      <c r="P26" s="541">
        <f>ROUND($C34*'3.DL Naudas plūsma ar projektu'!R78,2)</f>
        <v>0</v>
      </c>
      <c r="Q26" s="541">
        <f>ROUND($C34*'3.DL Naudas plūsma ar projektu'!S78,2)</f>
        <v>0</v>
      </c>
      <c r="R26" s="541">
        <f>ROUND($C34*'3.DL Naudas plūsma ar projektu'!T78,2)</f>
        <v>0</v>
      </c>
      <c r="S26" s="541">
        <f>ROUND($C34*'3.DL Naudas plūsma ar projektu'!U78,2)</f>
        <v>0</v>
      </c>
      <c r="T26" s="541">
        <f>ROUND($C34*'3.DL Naudas plūsma ar projektu'!V78,2)</f>
        <v>0</v>
      </c>
      <c r="U26" s="541">
        <f>ROUND($C34*'3.DL Naudas plūsma ar projektu'!W78,2)</f>
        <v>0</v>
      </c>
      <c r="V26" s="541">
        <f>ROUND($C34*'3.DL Naudas plūsma ar projektu'!X78,2)</f>
        <v>0</v>
      </c>
      <c r="W26" s="541">
        <f>ROUND($C34*'3.DL Naudas plūsma ar projektu'!Y78,2)</f>
        <v>0</v>
      </c>
      <c r="X26" s="541">
        <f>ROUND($C34*'3.DL Naudas plūsma ar projektu'!Z78,2)</f>
        <v>0</v>
      </c>
      <c r="Y26" s="541">
        <f>ROUND($C34*'3.DL Naudas plūsma ar projektu'!AA78,2)</f>
        <v>0</v>
      </c>
      <c r="Z26" s="541">
        <f>ROUND($C34*'3.DL Naudas plūsma ar projektu'!AB78,2)</f>
        <v>0</v>
      </c>
      <c r="AA26" s="541">
        <f>ROUND($C34*'3.DL Naudas plūsma ar projektu'!AC78,2)</f>
        <v>0</v>
      </c>
      <c r="AB26" s="541">
        <f>ROUND($C34*'3.DL Naudas plūsma ar projektu'!AD78,2)</f>
        <v>0</v>
      </c>
    </row>
    <row r="27" spans="1:28" s="537" customFormat="1" ht="12.75" x14ac:dyDescent="0.2">
      <c r="A27" s="410" t="s">
        <v>398</v>
      </c>
      <c r="B27" s="532" t="s">
        <v>20</v>
      </c>
      <c r="C27" s="535">
        <f>'3.DL Naudas plūsma ar projektu'!E26</f>
        <v>6612.07</v>
      </c>
      <c r="D27" s="535">
        <f>'3.DL Naudas plūsma ar projektu'!F26</f>
        <v>6612.07</v>
      </c>
      <c r="E27" s="535">
        <f>'3.DL Naudas plūsma ar projektu'!G26</f>
        <v>6612.07</v>
      </c>
      <c r="F27" s="535">
        <f>'3.DL Naudas plūsma ar projektu'!H26</f>
        <v>6612.07</v>
      </c>
      <c r="G27" s="535">
        <f>'3.DL Naudas plūsma ar projektu'!I26</f>
        <v>6612.07</v>
      </c>
      <c r="H27" s="535">
        <f>'3.DL Naudas plūsma ar projektu'!J26</f>
        <v>6612.07</v>
      </c>
      <c r="I27" s="535">
        <f>'3.DL Naudas plūsma ar projektu'!K26</f>
        <v>6612.07</v>
      </c>
      <c r="J27" s="535">
        <f>'3.DL Naudas plūsma ar projektu'!L26</f>
        <v>6612.07</v>
      </c>
      <c r="K27" s="535">
        <f>'3.DL Naudas plūsma ar projektu'!M26</f>
        <v>6612.07</v>
      </c>
      <c r="L27" s="535">
        <f>'3.DL Naudas plūsma ar projektu'!N26</f>
        <v>6612.07</v>
      </c>
      <c r="M27" s="535">
        <f>'3.DL Naudas plūsma ar projektu'!O26</f>
        <v>6612.07</v>
      </c>
      <c r="N27" s="535">
        <f>'3.DL Naudas plūsma ar projektu'!P26</f>
        <v>6612.07</v>
      </c>
      <c r="O27" s="535">
        <f>'3.DL Naudas plūsma ar projektu'!Q26</f>
        <v>6612.07</v>
      </c>
      <c r="P27" s="535">
        <f>'3.DL Naudas plūsma ar projektu'!R26</f>
        <v>6612.07</v>
      </c>
      <c r="Q27" s="535">
        <f>'3.DL Naudas plūsma ar projektu'!S26</f>
        <v>6612.07</v>
      </c>
      <c r="R27" s="535">
        <f>'3.DL Naudas plūsma ar projektu'!T26</f>
        <v>6612.07</v>
      </c>
      <c r="S27" s="535">
        <f>'3.DL Naudas plūsma ar projektu'!U26</f>
        <v>6612.07</v>
      </c>
      <c r="T27" s="535">
        <f>'3.DL Naudas plūsma ar projektu'!V26</f>
        <v>6612.07</v>
      </c>
      <c r="U27" s="535">
        <f>'3.DL Naudas plūsma ar projektu'!W26</f>
        <v>6612.07</v>
      </c>
      <c r="V27" s="535">
        <f>'3.DL Naudas plūsma ar projektu'!X26</f>
        <v>6612.07</v>
      </c>
      <c r="W27" s="535">
        <f>'3.DL Naudas plūsma ar projektu'!Y26</f>
        <v>6612.07</v>
      </c>
      <c r="X27" s="535">
        <f>'3.DL Naudas plūsma ar projektu'!Z26</f>
        <v>6612.07</v>
      </c>
      <c r="Y27" s="535">
        <f>'3.DL Naudas plūsma ar projektu'!AA26</f>
        <v>6612.07</v>
      </c>
      <c r="Z27" s="535">
        <f>'3.DL Naudas plūsma ar projektu'!AB26</f>
        <v>6612.07</v>
      </c>
      <c r="AA27" s="535">
        <f>'3.DL Naudas plūsma ar projektu'!AC26</f>
        <v>6612.07</v>
      </c>
      <c r="AB27" s="539">
        <f t="shared" si="10"/>
        <v>165301.75000000009</v>
      </c>
    </row>
    <row r="28" spans="1:28" s="537" customFormat="1" ht="12.75" x14ac:dyDescent="0.2">
      <c r="A28" s="410" t="s">
        <v>414</v>
      </c>
      <c r="B28" s="532" t="s">
        <v>20</v>
      </c>
      <c r="C28" s="533">
        <f>C24-C27</f>
        <v>4299.93</v>
      </c>
      <c r="D28" s="533">
        <f t="shared" ref="D28:AA28" si="11">D24-D27</f>
        <v>2999.9300000000003</v>
      </c>
      <c r="E28" s="533">
        <f t="shared" si="11"/>
        <v>5019.93</v>
      </c>
      <c r="F28" s="533">
        <f t="shared" si="11"/>
        <v>1017.9300000000003</v>
      </c>
      <c r="G28" s="533">
        <f t="shared" si="11"/>
        <v>1015.9300000000003</v>
      </c>
      <c r="H28" s="533">
        <f t="shared" si="11"/>
        <v>1013.9300000000003</v>
      </c>
      <c r="I28" s="533">
        <f t="shared" si="11"/>
        <v>1011.9300000000003</v>
      </c>
      <c r="J28" s="533">
        <f t="shared" si="11"/>
        <v>1009.9300000000003</v>
      </c>
      <c r="K28" s="533">
        <f t="shared" si="11"/>
        <v>1007.9300000000003</v>
      </c>
      <c r="L28" s="533">
        <f t="shared" si="11"/>
        <v>1005.9300000000003</v>
      </c>
      <c r="M28" s="533">
        <f t="shared" si="11"/>
        <v>1003.9300000000003</v>
      </c>
      <c r="N28" s="533">
        <f t="shared" si="11"/>
        <v>1001.9300000000003</v>
      </c>
      <c r="O28" s="533">
        <f t="shared" si="11"/>
        <v>999.93000000000029</v>
      </c>
      <c r="P28" s="533">
        <f t="shared" si="11"/>
        <v>999.93000000000029</v>
      </c>
      <c r="Q28" s="533">
        <f t="shared" si="11"/>
        <v>999.93000000000029</v>
      </c>
      <c r="R28" s="533">
        <f t="shared" si="11"/>
        <v>999.93000000000029</v>
      </c>
      <c r="S28" s="533">
        <f t="shared" si="11"/>
        <v>999.93000000000029</v>
      </c>
      <c r="T28" s="533">
        <f t="shared" si="11"/>
        <v>999.93000000000029</v>
      </c>
      <c r="U28" s="533">
        <f t="shared" si="11"/>
        <v>999.93000000000029</v>
      </c>
      <c r="V28" s="533">
        <f t="shared" si="11"/>
        <v>999.93000000000029</v>
      </c>
      <c r="W28" s="533">
        <f t="shared" si="11"/>
        <v>999.93000000000029</v>
      </c>
      <c r="X28" s="533">
        <f t="shared" si="11"/>
        <v>999.93000000000029</v>
      </c>
      <c r="Y28" s="533">
        <f t="shared" si="11"/>
        <v>999.93000000000029</v>
      </c>
      <c r="Z28" s="533">
        <f t="shared" si="11"/>
        <v>999.93000000000029</v>
      </c>
      <c r="AA28" s="533">
        <f t="shared" si="11"/>
        <v>999.93000000000029</v>
      </c>
      <c r="AB28" s="539">
        <f t="shared" si="10"/>
        <v>34408.250000000007</v>
      </c>
    </row>
    <row r="29" spans="1:28" s="514" customFormat="1" ht="12.75" x14ac:dyDescent="0.2">
      <c r="A29" s="401" t="s">
        <v>413</v>
      </c>
      <c r="B29" s="516" t="s">
        <v>20</v>
      </c>
      <c r="C29" s="539">
        <f>'4.DL Projekta_finansiala_ilgtsp'!F32</f>
        <v>0</v>
      </c>
      <c r="D29" s="539">
        <f>'4.DL Projekta_finansiala_ilgtsp'!G32</f>
        <v>0</v>
      </c>
      <c r="E29" s="539">
        <f>'4.DL Projekta_finansiala_ilgtsp'!H32</f>
        <v>20</v>
      </c>
      <c r="F29" s="539">
        <f>'4.DL Projekta_finansiala_ilgtsp'!I32</f>
        <v>18</v>
      </c>
      <c r="G29" s="539">
        <f>'4.DL Projekta_finansiala_ilgtsp'!J32</f>
        <v>16</v>
      </c>
      <c r="H29" s="539">
        <f>'4.DL Projekta_finansiala_ilgtsp'!K32</f>
        <v>14</v>
      </c>
      <c r="I29" s="539">
        <f>'4.DL Projekta_finansiala_ilgtsp'!L32</f>
        <v>12</v>
      </c>
      <c r="J29" s="539">
        <f>'4.DL Projekta_finansiala_ilgtsp'!M32</f>
        <v>10</v>
      </c>
      <c r="K29" s="539">
        <f>'4.DL Projekta_finansiala_ilgtsp'!N32</f>
        <v>8</v>
      </c>
      <c r="L29" s="539">
        <f>'4.DL Projekta_finansiala_ilgtsp'!O32</f>
        <v>6</v>
      </c>
      <c r="M29" s="539">
        <f>'4.DL Projekta_finansiala_ilgtsp'!P32</f>
        <v>4</v>
      </c>
      <c r="N29" s="539">
        <f>'4.DL Projekta_finansiala_ilgtsp'!Q32</f>
        <v>2</v>
      </c>
      <c r="O29" s="539">
        <f>'4.DL Projekta_finansiala_ilgtsp'!R32</f>
        <v>0</v>
      </c>
      <c r="P29" s="539">
        <f>'4.DL Projekta_finansiala_ilgtsp'!S32</f>
        <v>0</v>
      </c>
      <c r="Q29" s="539">
        <f>'4.DL Projekta_finansiala_ilgtsp'!T32</f>
        <v>0</v>
      </c>
      <c r="R29" s="539">
        <f>'4.DL Projekta_finansiala_ilgtsp'!U32</f>
        <v>0</v>
      </c>
      <c r="S29" s="539">
        <f>'4.DL Projekta_finansiala_ilgtsp'!V32</f>
        <v>0</v>
      </c>
      <c r="T29" s="539">
        <f>'4.DL Projekta_finansiala_ilgtsp'!W32</f>
        <v>0</v>
      </c>
      <c r="U29" s="539">
        <f>'4.DL Projekta_finansiala_ilgtsp'!X32</f>
        <v>0</v>
      </c>
      <c r="V29" s="539">
        <f>'4.DL Projekta_finansiala_ilgtsp'!Y32</f>
        <v>0</v>
      </c>
      <c r="W29" s="539">
        <f>'4.DL Projekta_finansiala_ilgtsp'!Z32</f>
        <v>0</v>
      </c>
      <c r="X29" s="539">
        <f>'4.DL Projekta_finansiala_ilgtsp'!AA32</f>
        <v>0</v>
      </c>
      <c r="Y29" s="539">
        <f>'4.DL Projekta_finansiala_ilgtsp'!AB32</f>
        <v>0</v>
      </c>
      <c r="Z29" s="539">
        <f>'4.DL Projekta_finansiala_ilgtsp'!AC32</f>
        <v>0</v>
      </c>
      <c r="AA29" s="539">
        <f>'4.DL Projekta_finansiala_ilgtsp'!AD32</f>
        <v>0</v>
      </c>
      <c r="AB29" s="539">
        <f t="shared" si="10"/>
        <v>110</v>
      </c>
    </row>
    <row r="30" spans="1:28" s="514" customFormat="1" ht="12.75" x14ac:dyDescent="0.2">
      <c r="A30" s="399" t="s">
        <v>550</v>
      </c>
      <c r="B30" s="516" t="s">
        <v>20</v>
      </c>
      <c r="C30" s="539">
        <f>'3.DL Naudas plūsma ar projektu'!E14*Titullapa!$B28</f>
        <v>0</v>
      </c>
      <c r="D30" s="539">
        <f>'3.DL Naudas plūsma ar projektu'!F14*Titullapa!$B28</f>
        <v>0</v>
      </c>
      <c r="E30" s="539">
        <f>'3.DL Naudas plūsma ar projektu'!G14*Titullapa!$B28</f>
        <v>0</v>
      </c>
      <c r="F30" s="539">
        <f>'3.DL Naudas plūsma ar projektu'!H14*Titullapa!$B28</f>
        <v>0</v>
      </c>
      <c r="G30" s="539">
        <f>'3.DL Naudas plūsma ar projektu'!I14*Titullapa!$B28</f>
        <v>0</v>
      </c>
      <c r="H30" s="539">
        <f>'3.DL Naudas plūsma ar projektu'!J14*Titullapa!$B28</f>
        <v>0</v>
      </c>
      <c r="I30" s="539">
        <f>'3.DL Naudas plūsma ar projektu'!K14*Titullapa!$B28</f>
        <v>0</v>
      </c>
      <c r="J30" s="539">
        <f>'3.DL Naudas plūsma ar projektu'!L14*Titullapa!$B28</f>
        <v>0</v>
      </c>
      <c r="K30" s="539">
        <f>'3.DL Naudas plūsma ar projektu'!M14*Titullapa!$B28</f>
        <v>0</v>
      </c>
      <c r="L30" s="539">
        <f>'3.DL Naudas plūsma ar projektu'!N14*Titullapa!$B28</f>
        <v>0</v>
      </c>
      <c r="M30" s="539">
        <f>'3.DL Naudas plūsma ar projektu'!O14*Titullapa!$B28</f>
        <v>0</v>
      </c>
      <c r="N30" s="539">
        <f>'3.DL Naudas plūsma ar projektu'!P14*Titullapa!$B28</f>
        <v>0</v>
      </c>
      <c r="O30" s="539">
        <f>'3.DL Naudas plūsma ar projektu'!Q14*Titullapa!$B28</f>
        <v>0</v>
      </c>
      <c r="P30" s="539">
        <f>'3.DL Naudas plūsma ar projektu'!R14*Titullapa!$B28</f>
        <v>0</v>
      </c>
      <c r="Q30" s="539">
        <f>'3.DL Naudas plūsma ar projektu'!S14*Titullapa!$B28</f>
        <v>0</v>
      </c>
      <c r="R30" s="539">
        <f>'3.DL Naudas plūsma ar projektu'!T14*Titullapa!$B28</f>
        <v>0</v>
      </c>
      <c r="S30" s="539">
        <f>'3.DL Naudas plūsma ar projektu'!U14*Titullapa!$B28</f>
        <v>0</v>
      </c>
      <c r="T30" s="539">
        <f>'3.DL Naudas plūsma ar projektu'!V14*Titullapa!$B28</f>
        <v>0</v>
      </c>
      <c r="U30" s="539">
        <f>'3.DL Naudas plūsma ar projektu'!W14*Titullapa!$B28</f>
        <v>0</v>
      </c>
      <c r="V30" s="539">
        <f>'3.DL Naudas plūsma ar projektu'!X14*Titullapa!$B28</f>
        <v>0</v>
      </c>
      <c r="W30" s="539">
        <f>'3.DL Naudas plūsma ar projektu'!Y14*Titullapa!$B28</f>
        <v>0</v>
      </c>
      <c r="X30" s="539">
        <f>'3.DL Naudas plūsma ar projektu'!Z14*Titullapa!$B28</f>
        <v>0</v>
      </c>
      <c r="Y30" s="539">
        <f>'3.DL Naudas plūsma ar projektu'!AA14*Titullapa!$B28</f>
        <v>0</v>
      </c>
      <c r="Z30" s="539">
        <f>'3.DL Naudas plūsma ar projektu'!AB14*Titullapa!$B28</f>
        <v>0</v>
      </c>
      <c r="AA30" s="539">
        <f>'3.DL Naudas plūsma ar projektu'!AC14*Titullapa!$B28</f>
        <v>0</v>
      </c>
      <c r="AB30" s="539">
        <f t="shared" si="10"/>
        <v>0</v>
      </c>
    </row>
    <row r="31" spans="1:28" s="514" customFormat="1" ht="12.75" x14ac:dyDescent="0.2">
      <c r="A31" s="408" t="s">
        <v>415</v>
      </c>
      <c r="B31" s="516" t="s">
        <v>20</v>
      </c>
      <c r="C31" s="539">
        <f>'3.DL Naudas plūsma ar projektu'!E78+'2.DL Naudas plūsma bez projekta'!E69</f>
        <v>0</v>
      </c>
      <c r="D31" s="539">
        <f>'3.DL Naudas plūsma ar projektu'!F78+'2.DL Naudas plūsma bez projekta'!F69</f>
        <v>0</v>
      </c>
      <c r="E31" s="539">
        <f>'3.DL Naudas plūsma ar projektu'!G78+'2.DL Naudas plūsma bez projekta'!G69</f>
        <v>0</v>
      </c>
      <c r="F31" s="539">
        <f>'3.DL Naudas plūsma ar projektu'!H78+'2.DL Naudas plūsma bez projekta'!H69</f>
        <v>0</v>
      </c>
      <c r="G31" s="539">
        <f>'3.DL Naudas plūsma ar projektu'!I78+'2.DL Naudas plūsma bez projekta'!I69</f>
        <v>0</v>
      </c>
      <c r="H31" s="539">
        <f>'3.DL Naudas plūsma ar projektu'!J78+'2.DL Naudas plūsma bez projekta'!J69</f>
        <v>0</v>
      </c>
      <c r="I31" s="539">
        <f>'3.DL Naudas plūsma ar projektu'!K78+'2.DL Naudas plūsma bez projekta'!K69</f>
        <v>0</v>
      </c>
      <c r="J31" s="539">
        <f>'3.DL Naudas plūsma ar projektu'!L78+'2.DL Naudas plūsma bez projekta'!L69</f>
        <v>0</v>
      </c>
      <c r="K31" s="539">
        <f>'3.DL Naudas plūsma ar projektu'!M78+'2.DL Naudas plūsma bez projekta'!M69</f>
        <v>0</v>
      </c>
      <c r="L31" s="539">
        <f>'3.DL Naudas plūsma ar projektu'!N78+'2.DL Naudas plūsma bez projekta'!N69</f>
        <v>0</v>
      </c>
      <c r="M31" s="539">
        <f>'3.DL Naudas plūsma ar projektu'!O78+'2.DL Naudas plūsma bez projekta'!O69</f>
        <v>0</v>
      </c>
      <c r="N31" s="539">
        <f>'3.DL Naudas plūsma ar projektu'!P78+'2.DL Naudas plūsma bez projekta'!P69</f>
        <v>0</v>
      </c>
      <c r="O31" s="539">
        <f>'3.DL Naudas plūsma ar projektu'!Q78+'2.DL Naudas plūsma bez projekta'!Q69</f>
        <v>0</v>
      </c>
      <c r="P31" s="539">
        <f>'3.DL Naudas plūsma ar projektu'!R78+'2.DL Naudas plūsma bez projekta'!R69</f>
        <v>0</v>
      </c>
      <c r="Q31" s="539">
        <f>'3.DL Naudas plūsma ar projektu'!S78+'2.DL Naudas plūsma bez projekta'!S69</f>
        <v>0</v>
      </c>
      <c r="R31" s="539">
        <f>'3.DL Naudas plūsma ar projektu'!T78+'2.DL Naudas plūsma bez projekta'!T69</f>
        <v>0</v>
      </c>
      <c r="S31" s="539">
        <f>'3.DL Naudas plūsma ar projektu'!U78+'2.DL Naudas plūsma bez projekta'!U69</f>
        <v>0</v>
      </c>
      <c r="T31" s="539">
        <f>'3.DL Naudas plūsma ar projektu'!V78+'2.DL Naudas plūsma bez projekta'!V69</f>
        <v>0</v>
      </c>
      <c r="U31" s="539">
        <f>'3.DL Naudas plūsma ar projektu'!W78+'2.DL Naudas plūsma bez projekta'!W69</f>
        <v>0</v>
      </c>
      <c r="V31" s="539">
        <f>'3.DL Naudas plūsma ar projektu'!X78+'2.DL Naudas plūsma bez projekta'!X69</f>
        <v>0</v>
      </c>
      <c r="W31" s="539">
        <f>'3.DL Naudas plūsma ar projektu'!Y78+'2.DL Naudas plūsma bez projekta'!Y69</f>
        <v>0</v>
      </c>
      <c r="X31" s="539">
        <f>'3.DL Naudas plūsma ar projektu'!Z78+'2.DL Naudas plūsma bez projekta'!Z69</f>
        <v>0</v>
      </c>
      <c r="Y31" s="539">
        <f>'3.DL Naudas plūsma ar projektu'!AA78+'2.DL Naudas plūsma bez projekta'!AA69</f>
        <v>0</v>
      </c>
      <c r="Z31" s="539">
        <f>'3.DL Naudas plūsma ar projektu'!AB78+'2.DL Naudas plūsma bez projekta'!AB69</f>
        <v>0</v>
      </c>
      <c r="AA31" s="539">
        <f>'3.DL Naudas plūsma ar projektu'!AC78+'2.DL Naudas plūsma bez projekta'!AC69</f>
        <v>0</v>
      </c>
      <c r="AB31" s="539">
        <f t="shared" si="10"/>
        <v>0</v>
      </c>
    </row>
    <row r="32" spans="1:28" s="537" customFormat="1" ht="12.75" x14ac:dyDescent="0.2">
      <c r="A32" s="411" t="s">
        <v>384</v>
      </c>
      <c r="B32" s="532" t="s">
        <v>20</v>
      </c>
      <c r="C32" s="533">
        <f>C28-C29-C30-C31</f>
        <v>4299.93</v>
      </c>
      <c r="D32" s="533">
        <f t="shared" ref="D32:AA32" si="12">D28-D29-D30-D31</f>
        <v>2999.9300000000003</v>
      </c>
      <c r="E32" s="533">
        <f t="shared" si="12"/>
        <v>4999.93</v>
      </c>
      <c r="F32" s="533">
        <f t="shared" si="12"/>
        <v>999.93000000000029</v>
      </c>
      <c r="G32" s="533">
        <f t="shared" si="12"/>
        <v>999.93000000000029</v>
      </c>
      <c r="H32" s="533">
        <f t="shared" si="12"/>
        <v>999.93000000000029</v>
      </c>
      <c r="I32" s="533">
        <f t="shared" si="12"/>
        <v>999.93000000000029</v>
      </c>
      <c r="J32" s="533">
        <f t="shared" si="12"/>
        <v>999.93000000000029</v>
      </c>
      <c r="K32" s="533">
        <f t="shared" si="12"/>
        <v>999.93000000000029</v>
      </c>
      <c r="L32" s="533">
        <f t="shared" si="12"/>
        <v>999.93000000000029</v>
      </c>
      <c r="M32" s="533">
        <f t="shared" si="12"/>
        <v>999.93000000000029</v>
      </c>
      <c r="N32" s="533">
        <f t="shared" si="12"/>
        <v>999.93000000000029</v>
      </c>
      <c r="O32" s="533">
        <f t="shared" si="12"/>
        <v>999.93000000000029</v>
      </c>
      <c r="P32" s="533">
        <f t="shared" si="12"/>
        <v>999.93000000000029</v>
      </c>
      <c r="Q32" s="533">
        <f t="shared" si="12"/>
        <v>999.93000000000029</v>
      </c>
      <c r="R32" s="533">
        <f t="shared" si="12"/>
        <v>999.93000000000029</v>
      </c>
      <c r="S32" s="533">
        <f t="shared" si="12"/>
        <v>999.93000000000029</v>
      </c>
      <c r="T32" s="533">
        <f t="shared" si="12"/>
        <v>999.93000000000029</v>
      </c>
      <c r="U32" s="533">
        <f t="shared" si="12"/>
        <v>999.93000000000029</v>
      </c>
      <c r="V32" s="533">
        <f t="shared" si="12"/>
        <v>999.93000000000029</v>
      </c>
      <c r="W32" s="533">
        <f t="shared" si="12"/>
        <v>999.93000000000029</v>
      </c>
      <c r="X32" s="533">
        <f t="shared" si="12"/>
        <v>999.93000000000029</v>
      </c>
      <c r="Y32" s="533">
        <f t="shared" si="12"/>
        <v>999.93000000000029</v>
      </c>
      <c r="Z32" s="533">
        <f t="shared" si="12"/>
        <v>999.93000000000029</v>
      </c>
      <c r="AA32" s="533">
        <f t="shared" si="12"/>
        <v>999.93000000000029</v>
      </c>
      <c r="AB32" s="539">
        <f t="shared" si="10"/>
        <v>34298.250000000007</v>
      </c>
    </row>
    <row r="33" spans="1:3" s="428" customFormat="1" x14ac:dyDescent="0.25"/>
    <row r="34" spans="1:3" s="428" customFormat="1" x14ac:dyDescent="0.25">
      <c r="A34" s="514" t="s">
        <v>399</v>
      </c>
      <c r="C34" s="637">
        <f>'1.DL Projekta budžets'!I17/'1.DL Projekta budžets'!G17</f>
        <v>0.6885</v>
      </c>
    </row>
    <row r="35" spans="1:3" s="428" customFormat="1" x14ac:dyDescent="0.25"/>
    <row r="36" spans="1:3" s="428" customFormat="1" x14ac:dyDescent="0.25"/>
    <row r="37" spans="1:3" s="428" customFormat="1" x14ac:dyDescent="0.25"/>
  </sheetData>
  <sheetProtection algorithmName="SHA-512" hashValue="dOyCRtsFJuE9jkKbarwkfo1SLjV0rc6rBI6mF/N4GSnvK6wD6Re3hIVWVIyssP76d92/A+d3JjHbxIXDzI6miQ==" saltValue="E+33HX1aJt/Y8jJ/Hd96Zw==" spinCount="100000" sheet="1" formatCells="0" formatColumns="0" formatRows="0"/>
  <mergeCells count="2">
    <mergeCell ref="A1:D1"/>
    <mergeCell ref="A2:I2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33"/>
  <sheetViews>
    <sheetView workbookViewId="0">
      <selection activeCell="K38" sqref="K38"/>
    </sheetView>
  </sheetViews>
  <sheetFormatPr defaultColWidth="9.140625" defaultRowHeight="15" x14ac:dyDescent="0.25"/>
  <cols>
    <col min="1" max="1" width="9.140625" style="423"/>
    <col min="2" max="2" width="34.7109375" style="423" customWidth="1"/>
    <col min="3" max="3" width="9.140625" style="423"/>
    <col min="4" max="28" width="9.28515625" style="423" bestFit="1" customWidth="1"/>
    <col min="29" max="29" width="9.85546875" style="423" bestFit="1" customWidth="1"/>
    <col min="30" max="16384" width="9.140625" style="423"/>
  </cols>
  <sheetData>
    <row r="1" spans="1:30" s="428" customFormat="1" ht="26.25" x14ac:dyDescent="0.25">
      <c r="A1" s="970" t="s">
        <v>104</v>
      </c>
      <c r="B1" s="970"/>
      <c r="C1" s="970"/>
      <c r="D1" s="182"/>
      <c r="E1" s="183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</row>
    <row r="2" spans="1:30" s="428" customFormat="1" ht="21" x14ac:dyDescent="0.25">
      <c r="A2" s="971" t="s">
        <v>272</v>
      </c>
      <c r="B2" s="971"/>
      <c r="C2" s="971"/>
      <c r="D2" s="971"/>
      <c r="E2" s="971"/>
      <c r="F2" s="971"/>
      <c r="G2" s="971"/>
      <c r="H2" s="971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</row>
    <row r="3" spans="1:30" s="428" customFormat="1" ht="15.75" x14ac:dyDescent="0.25">
      <c r="A3" s="184"/>
      <c r="B3" s="12"/>
      <c r="C3" s="12"/>
      <c r="D3" s="643">
        <f>'4.DL Projekta_finansiala_ilgtsp'!F4</f>
        <v>0</v>
      </c>
      <c r="E3" s="643">
        <f>'4.DL Projekta_finansiala_ilgtsp'!G4</f>
        <v>1</v>
      </c>
      <c r="F3" s="643">
        <f>'4.DL Projekta_finansiala_ilgtsp'!H4</f>
        <v>2</v>
      </c>
      <c r="G3" s="643">
        <f>'4.DL Projekta_finansiala_ilgtsp'!I4</f>
        <v>3</v>
      </c>
      <c r="H3" s="643">
        <f>'4.DL Projekta_finansiala_ilgtsp'!J4</f>
        <v>4</v>
      </c>
      <c r="I3" s="643">
        <f>'4.DL Projekta_finansiala_ilgtsp'!K4</f>
        <v>5</v>
      </c>
      <c r="J3" s="643">
        <f>'4.DL Projekta_finansiala_ilgtsp'!L4</f>
        <v>6</v>
      </c>
      <c r="K3" s="643">
        <f>'4.DL Projekta_finansiala_ilgtsp'!M4</f>
        <v>7</v>
      </c>
      <c r="L3" s="643">
        <f>'4.DL Projekta_finansiala_ilgtsp'!N4</f>
        <v>8</v>
      </c>
      <c r="M3" s="643">
        <f>'4.DL Projekta_finansiala_ilgtsp'!O4</f>
        <v>9</v>
      </c>
      <c r="N3" s="643">
        <f>'4.DL Projekta_finansiala_ilgtsp'!P4</f>
        <v>10</v>
      </c>
      <c r="O3" s="643">
        <f>'4.DL Projekta_finansiala_ilgtsp'!Q4</f>
        <v>11</v>
      </c>
      <c r="P3" s="643">
        <f>'4.DL Projekta_finansiala_ilgtsp'!R4</f>
        <v>12</v>
      </c>
      <c r="Q3" s="643">
        <f>'4.DL Projekta_finansiala_ilgtsp'!S4</f>
        <v>13</v>
      </c>
      <c r="R3" s="643">
        <f>'4.DL Projekta_finansiala_ilgtsp'!T4</f>
        <v>14</v>
      </c>
      <c r="S3" s="643">
        <f>'4.DL Projekta_finansiala_ilgtsp'!U4</f>
        <v>15</v>
      </c>
      <c r="T3" s="643">
        <f>'4.DL Projekta_finansiala_ilgtsp'!V4</f>
        <v>16</v>
      </c>
      <c r="U3" s="643">
        <f>'4.DL Projekta_finansiala_ilgtsp'!W4</f>
        <v>17</v>
      </c>
      <c r="V3" s="643">
        <f>'4.DL Projekta_finansiala_ilgtsp'!X4</f>
        <v>18</v>
      </c>
      <c r="W3" s="643">
        <f>'4.DL Projekta_finansiala_ilgtsp'!Y4</f>
        <v>19</v>
      </c>
      <c r="X3" s="643">
        <f>'4.DL Projekta_finansiala_ilgtsp'!Z4</f>
        <v>20</v>
      </c>
      <c r="Y3" s="643">
        <f>'4.DL Projekta_finansiala_ilgtsp'!AA4</f>
        <v>21</v>
      </c>
      <c r="Z3" s="643">
        <f>'4.DL Projekta_finansiala_ilgtsp'!AB4</f>
        <v>22</v>
      </c>
      <c r="AA3" s="643">
        <f>'4.DL Projekta_finansiala_ilgtsp'!AC4</f>
        <v>23</v>
      </c>
      <c r="AB3" s="643">
        <f>'4.DL Projekta_finansiala_ilgtsp'!AD4</f>
        <v>24</v>
      </c>
      <c r="AC3" s="126"/>
    </row>
    <row r="4" spans="1:30" s="428" customFormat="1" x14ac:dyDescent="0.25">
      <c r="A4" s="185"/>
      <c r="B4" s="24"/>
      <c r="C4" s="24" t="s">
        <v>273</v>
      </c>
      <c r="D4" s="643">
        <f>Titullapa!D10</f>
        <v>2021</v>
      </c>
      <c r="E4" s="643">
        <f>1+D4</f>
        <v>2022</v>
      </c>
      <c r="F4" s="643">
        <f t="shared" ref="F4:AB4" si="0">1+E4</f>
        <v>2023</v>
      </c>
      <c r="G4" s="643">
        <f t="shared" si="0"/>
        <v>2024</v>
      </c>
      <c r="H4" s="643">
        <f t="shared" si="0"/>
        <v>2025</v>
      </c>
      <c r="I4" s="643">
        <f t="shared" si="0"/>
        <v>2026</v>
      </c>
      <c r="J4" s="643">
        <f t="shared" si="0"/>
        <v>2027</v>
      </c>
      <c r="K4" s="643">
        <f t="shared" si="0"/>
        <v>2028</v>
      </c>
      <c r="L4" s="643">
        <f t="shared" si="0"/>
        <v>2029</v>
      </c>
      <c r="M4" s="643">
        <f t="shared" si="0"/>
        <v>2030</v>
      </c>
      <c r="N4" s="643">
        <f t="shared" si="0"/>
        <v>2031</v>
      </c>
      <c r="O4" s="643">
        <f t="shared" si="0"/>
        <v>2032</v>
      </c>
      <c r="P4" s="643">
        <f t="shared" si="0"/>
        <v>2033</v>
      </c>
      <c r="Q4" s="643">
        <f t="shared" si="0"/>
        <v>2034</v>
      </c>
      <c r="R4" s="643">
        <f t="shared" si="0"/>
        <v>2035</v>
      </c>
      <c r="S4" s="643">
        <f t="shared" si="0"/>
        <v>2036</v>
      </c>
      <c r="T4" s="643">
        <f t="shared" si="0"/>
        <v>2037</v>
      </c>
      <c r="U4" s="643">
        <f t="shared" si="0"/>
        <v>2038</v>
      </c>
      <c r="V4" s="643">
        <f t="shared" si="0"/>
        <v>2039</v>
      </c>
      <c r="W4" s="643">
        <f t="shared" si="0"/>
        <v>2040</v>
      </c>
      <c r="X4" s="643">
        <f t="shared" si="0"/>
        <v>2041</v>
      </c>
      <c r="Y4" s="643">
        <f t="shared" si="0"/>
        <v>2042</v>
      </c>
      <c r="Z4" s="643">
        <f t="shared" si="0"/>
        <v>2043</v>
      </c>
      <c r="AA4" s="643">
        <f t="shared" si="0"/>
        <v>2044</v>
      </c>
      <c r="AB4" s="643">
        <f t="shared" si="0"/>
        <v>2045</v>
      </c>
      <c r="AC4" s="144" t="s">
        <v>40</v>
      </c>
    </row>
    <row r="5" spans="1:30" s="428" customFormat="1" x14ac:dyDescent="0.25">
      <c r="A5" s="128"/>
      <c r="B5" s="67"/>
      <c r="C5" s="32"/>
      <c r="D5" s="67"/>
      <c r="E5" s="186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1:30" s="428" customFormat="1" x14ac:dyDescent="0.25">
      <c r="A6" s="187">
        <v>1</v>
      </c>
      <c r="B6" s="73" t="s">
        <v>284</v>
      </c>
      <c r="C6" s="188" t="s">
        <v>20</v>
      </c>
      <c r="D6" s="339">
        <f t="shared" ref="D6:AB6" si="1">SUM(D7:D15)</f>
        <v>17500</v>
      </c>
      <c r="E6" s="339">
        <f t="shared" si="1"/>
        <v>17500</v>
      </c>
      <c r="F6" s="339">
        <f t="shared" si="1"/>
        <v>12500</v>
      </c>
      <c r="G6" s="339">
        <f t="shared" si="1"/>
        <v>12500</v>
      </c>
      <c r="H6" s="339">
        <f t="shared" si="1"/>
        <v>12500</v>
      </c>
      <c r="I6" s="339">
        <f t="shared" si="1"/>
        <v>12500</v>
      </c>
      <c r="J6" s="339">
        <f t="shared" si="1"/>
        <v>12500</v>
      </c>
      <c r="K6" s="339">
        <f t="shared" si="1"/>
        <v>12500</v>
      </c>
      <c r="L6" s="339">
        <f t="shared" si="1"/>
        <v>12500</v>
      </c>
      <c r="M6" s="339">
        <f t="shared" si="1"/>
        <v>12500</v>
      </c>
      <c r="N6" s="339">
        <f t="shared" si="1"/>
        <v>12500</v>
      </c>
      <c r="O6" s="339">
        <f t="shared" si="1"/>
        <v>12500</v>
      </c>
      <c r="P6" s="339">
        <f t="shared" si="1"/>
        <v>12500</v>
      </c>
      <c r="Q6" s="339">
        <f t="shared" si="1"/>
        <v>12500</v>
      </c>
      <c r="R6" s="339">
        <f t="shared" si="1"/>
        <v>12500</v>
      </c>
      <c r="S6" s="339">
        <f t="shared" si="1"/>
        <v>12500</v>
      </c>
      <c r="T6" s="339">
        <f t="shared" si="1"/>
        <v>12500</v>
      </c>
      <c r="U6" s="339">
        <f t="shared" si="1"/>
        <v>12500</v>
      </c>
      <c r="V6" s="339">
        <f t="shared" si="1"/>
        <v>12500</v>
      </c>
      <c r="W6" s="339">
        <f t="shared" si="1"/>
        <v>12500</v>
      </c>
      <c r="X6" s="339">
        <f t="shared" si="1"/>
        <v>12500</v>
      </c>
      <c r="Y6" s="339">
        <f t="shared" si="1"/>
        <v>12500</v>
      </c>
      <c r="Z6" s="339">
        <f t="shared" si="1"/>
        <v>12500</v>
      </c>
      <c r="AA6" s="339">
        <f t="shared" si="1"/>
        <v>12500</v>
      </c>
      <c r="AB6" s="339">
        <f t="shared" si="1"/>
        <v>12500</v>
      </c>
      <c r="AC6" s="340">
        <f t="shared" ref="AC6:AC15" si="2">SUM(D6:AB6)</f>
        <v>322500</v>
      </c>
    </row>
    <row r="7" spans="1:30" x14ac:dyDescent="0.25">
      <c r="A7" s="123" t="s">
        <v>27</v>
      </c>
      <c r="B7" s="189" t="s">
        <v>274</v>
      </c>
      <c r="C7" s="71" t="s">
        <v>20</v>
      </c>
      <c r="D7" s="341">
        <v>7500</v>
      </c>
      <c r="E7" s="341">
        <v>7500</v>
      </c>
      <c r="F7" s="341">
        <v>7500</v>
      </c>
      <c r="G7" s="341">
        <v>7500</v>
      </c>
      <c r="H7" s="341">
        <v>7500</v>
      </c>
      <c r="I7" s="341">
        <v>7500</v>
      </c>
      <c r="J7" s="341">
        <v>7500</v>
      </c>
      <c r="K7" s="341">
        <v>7500</v>
      </c>
      <c r="L7" s="341">
        <v>7500</v>
      </c>
      <c r="M7" s="341">
        <v>7500</v>
      </c>
      <c r="N7" s="341">
        <v>7500</v>
      </c>
      <c r="O7" s="341">
        <v>7500</v>
      </c>
      <c r="P7" s="341">
        <v>7500</v>
      </c>
      <c r="Q7" s="341">
        <v>7500</v>
      </c>
      <c r="R7" s="341">
        <v>7500</v>
      </c>
      <c r="S7" s="341">
        <v>7500</v>
      </c>
      <c r="T7" s="341">
        <v>7500</v>
      </c>
      <c r="U7" s="341">
        <v>7500</v>
      </c>
      <c r="V7" s="341">
        <v>7500</v>
      </c>
      <c r="W7" s="341">
        <v>7500</v>
      </c>
      <c r="X7" s="341">
        <v>7500</v>
      </c>
      <c r="Y7" s="341">
        <v>7500</v>
      </c>
      <c r="Z7" s="341">
        <v>7500</v>
      </c>
      <c r="AA7" s="341">
        <v>7500</v>
      </c>
      <c r="AB7" s="341">
        <v>7500</v>
      </c>
      <c r="AC7" s="342">
        <f t="shared" si="2"/>
        <v>187500</v>
      </c>
      <c r="AD7" s="428"/>
    </row>
    <row r="8" spans="1:30" x14ac:dyDescent="0.25">
      <c r="A8" s="123" t="s">
        <v>28</v>
      </c>
      <c r="B8" s="189" t="s">
        <v>274</v>
      </c>
      <c r="C8" s="71" t="s">
        <v>20</v>
      </c>
      <c r="D8" s="341">
        <v>10000</v>
      </c>
      <c r="E8" s="341">
        <v>10000</v>
      </c>
      <c r="F8" s="341">
        <v>5000</v>
      </c>
      <c r="G8" s="341">
        <v>5000</v>
      </c>
      <c r="H8" s="341">
        <v>5000</v>
      </c>
      <c r="I8" s="341">
        <v>5000</v>
      </c>
      <c r="J8" s="341">
        <v>5000</v>
      </c>
      <c r="K8" s="341">
        <v>5000</v>
      </c>
      <c r="L8" s="341">
        <v>5000</v>
      </c>
      <c r="M8" s="341">
        <v>5000</v>
      </c>
      <c r="N8" s="341">
        <v>5000</v>
      </c>
      <c r="O8" s="341">
        <v>5000</v>
      </c>
      <c r="P8" s="341">
        <v>5000</v>
      </c>
      <c r="Q8" s="341">
        <v>5000</v>
      </c>
      <c r="R8" s="341">
        <v>5000</v>
      </c>
      <c r="S8" s="341">
        <v>5000</v>
      </c>
      <c r="T8" s="341">
        <v>5000</v>
      </c>
      <c r="U8" s="341">
        <v>5000</v>
      </c>
      <c r="V8" s="341">
        <v>5000</v>
      </c>
      <c r="W8" s="341">
        <v>5000</v>
      </c>
      <c r="X8" s="341">
        <v>5000</v>
      </c>
      <c r="Y8" s="341">
        <v>5000</v>
      </c>
      <c r="Z8" s="341">
        <v>5000</v>
      </c>
      <c r="AA8" s="341">
        <v>5000</v>
      </c>
      <c r="AB8" s="341">
        <v>5000</v>
      </c>
      <c r="AC8" s="342">
        <f t="shared" si="2"/>
        <v>135000</v>
      </c>
      <c r="AD8" s="428"/>
    </row>
    <row r="9" spans="1:30" x14ac:dyDescent="0.25">
      <c r="A9" s="123" t="s">
        <v>80</v>
      </c>
      <c r="B9" s="189" t="s">
        <v>274</v>
      </c>
      <c r="C9" s="71" t="s">
        <v>20</v>
      </c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2">
        <f t="shared" si="2"/>
        <v>0</v>
      </c>
      <c r="AD9" s="428"/>
    </row>
    <row r="10" spans="1:30" x14ac:dyDescent="0.25">
      <c r="A10" s="123" t="s">
        <v>142</v>
      </c>
      <c r="B10" s="189" t="s">
        <v>274</v>
      </c>
      <c r="C10" s="71" t="s">
        <v>20</v>
      </c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2">
        <f t="shared" si="2"/>
        <v>0</v>
      </c>
      <c r="AD10" s="428"/>
    </row>
    <row r="11" spans="1:30" x14ac:dyDescent="0.25">
      <c r="A11" s="123" t="s">
        <v>81</v>
      </c>
      <c r="B11" s="189" t="s">
        <v>274</v>
      </c>
      <c r="C11" s="71" t="s">
        <v>20</v>
      </c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2">
        <f t="shared" si="2"/>
        <v>0</v>
      </c>
      <c r="AD11" s="428"/>
    </row>
    <row r="12" spans="1:30" x14ac:dyDescent="0.25">
      <c r="A12" s="123" t="s">
        <v>82</v>
      </c>
      <c r="B12" s="189" t="s">
        <v>274</v>
      </c>
      <c r="C12" s="71" t="s">
        <v>20</v>
      </c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2">
        <f t="shared" si="2"/>
        <v>0</v>
      </c>
      <c r="AD12" s="428"/>
    </row>
    <row r="13" spans="1:30" x14ac:dyDescent="0.25">
      <c r="A13" s="123" t="s">
        <v>145</v>
      </c>
      <c r="B13" s="189" t="s">
        <v>274</v>
      </c>
      <c r="C13" s="71" t="s">
        <v>20</v>
      </c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2">
        <f t="shared" si="2"/>
        <v>0</v>
      </c>
      <c r="AD13" s="428"/>
    </row>
    <row r="14" spans="1:30" x14ac:dyDescent="0.25">
      <c r="A14" s="123" t="s">
        <v>275</v>
      </c>
      <c r="B14" s="189" t="s">
        <v>274</v>
      </c>
      <c r="C14" s="71" t="s">
        <v>20</v>
      </c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2">
        <f t="shared" si="2"/>
        <v>0</v>
      </c>
      <c r="AD14" s="428"/>
    </row>
    <row r="15" spans="1:30" x14ac:dyDescent="0.25">
      <c r="A15" s="123" t="s">
        <v>276</v>
      </c>
      <c r="B15" s="189" t="s">
        <v>274</v>
      </c>
      <c r="C15" s="71" t="s">
        <v>20</v>
      </c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  <c r="AA15" s="343"/>
      <c r="AB15" s="343"/>
      <c r="AC15" s="342">
        <f t="shared" si="2"/>
        <v>0</v>
      </c>
      <c r="AD15" s="428"/>
    </row>
    <row r="16" spans="1:30" s="428" customFormat="1" x14ac:dyDescent="0.25">
      <c r="A16" s="187">
        <v>2</v>
      </c>
      <c r="B16" s="73" t="s">
        <v>338</v>
      </c>
      <c r="C16" s="188" t="s">
        <v>20</v>
      </c>
      <c r="D16" s="339">
        <f>SUM(D17:D25)</f>
        <v>1500</v>
      </c>
      <c r="E16" s="339">
        <f t="shared" ref="E16:AB16" si="3">SUM(E17:E25)</f>
        <v>1500</v>
      </c>
      <c r="F16" s="339">
        <f t="shared" si="3"/>
        <v>1500</v>
      </c>
      <c r="G16" s="339">
        <f t="shared" si="3"/>
        <v>1500</v>
      </c>
      <c r="H16" s="339">
        <f t="shared" si="3"/>
        <v>1500</v>
      </c>
      <c r="I16" s="339">
        <f t="shared" si="3"/>
        <v>1500</v>
      </c>
      <c r="J16" s="339">
        <f t="shared" si="3"/>
        <v>1500</v>
      </c>
      <c r="K16" s="339">
        <f t="shared" si="3"/>
        <v>1500</v>
      </c>
      <c r="L16" s="339">
        <f t="shared" si="3"/>
        <v>1500</v>
      </c>
      <c r="M16" s="339">
        <f t="shared" si="3"/>
        <v>1500</v>
      </c>
      <c r="N16" s="339">
        <f t="shared" si="3"/>
        <v>1500</v>
      </c>
      <c r="O16" s="339">
        <f t="shared" si="3"/>
        <v>1500</v>
      </c>
      <c r="P16" s="339">
        <f t="shared" si="3"/>
        <v>1500</v>
      </c>
      <c r="Q16" s="339">
        <f t="shared" si="3"/>
        <v>1500</v>
      </c>
      <c r="R16" s="339">
        <f t="shared" si="3"/>
        <v>1500</v>
      </c>
      <c r="S16" s="339">
        <f t="shared" si="3"/>
        <v>1500</v>
      </c>
      <c r="T16" s="339">
        <f t="shared" si="3"/>
        <v>1500</v>
      </c>
      <c r="U16" s="339">
        <f t="shared" si="3"/>
        <v>1500</v>
      </c>
      <c r="V16" s="339">
        <f>SUM(V17:V25)</f>
        <v>1500</v>
      </c>
      <c r="W16" s="339">
        <f t="shared" si="3"/>
        <v>1500</v>
      </c>
      <c r="X16" s="339">
        <f t="shared" si="3"/>
        <v>1500</v>
      </c>
      <c r="Y16" s="339">
        <f t="shared" si="3"/>
        <v>1500</v>
      </c>
      <c r="Z16" s="339">
        <f t="shared" si="3"/>
        <v>1500</v>
      </c>
      <c r="AA16" s="339">
        <f t="shared" si="3"/>
        <v>1500</v>
      </c>
      <c r="AB16" s="339">
        <f t="shared" si="3"/>
        <v>1500</v>
      </c>
      <c r="AC16" s="342">
        <f>SUM(D16:AB16)</f>
        <v>37500</v>
      </c>
    </row>
    <row r="17" spans="1:30" x14ac:dyDescent="0.25">
      <c r="A17" s="123" t="s">
        <v>51</v>
      </c>
      <c r="B17" s="189" t="s">
        <v>277</v>
      </c>
      <c r="C17" s="71" t="s">
        <v>20</v>
      </c>
      <c r="D17" s="344">
        <v>1500</v>
      </c>
      <c r="E17" s="344">
        <v>1500</v>
      </c>
      <c r="F17" s="344">
        <v>1500</v>
      </c>
      <c r="G17" s="344">
        <v>1500</v>
      </c>
      <c r="H17" s="344">
        <v>1500</v>
      </c>
      <c r="I17" s="344">
        <v>1500</v>
      </c>
      <c r="J17" s="344">
        <v>1500</v>
      </c>
      <c r="K17" s="344">
        <v>1500</v>
      </c>
      <c r="L17" s="344">
        <v>1500</v>
      </c>
      <c r="M17" s="344">
        <v>1500</v>
      </c>
      <c r="N17" s="344">
        <v>1500</v>
      </c>
      <c r="O17" s="344">
        <v>1500</v>
      </c>
      <c r="P17" s="344">
        <v>1500</v>
      </c>
      <c r="Q17" s="344">
        <v>1500</v>
      </c>
      <c r="R17" s="344">
        <v>1500</v>
      </c>
      <c r="S17" s="344">
        <v>1500</v>
      </c>
      <c r="T17" s="344">
        <v>1500</v>
      </c>
      <c r="U17" s="344">
        <v>1500</v>
      </c>
      <c r="V17" s="344">
        <v>1500</v>
      </c>
      <c r="W17" s="344">
        <v>1500</v>
      </c>
      <c r="X17" s="344">
        <v>1500</v>
      </c>
      <c r="Y17" s="344">
        <v>1500</v>
      </c>
      <c r="Z17" s="344">
        <v>1500</v>
      </c>
      <c r="AA17" s="344">
        <v>1500</v>
      </c>
      <c r="AB17" s="344">
        <v>1500</v>
      </c>
      <c r="AC17" s="342">
        <f>SUM(D17:AB17)</f>
        <v>37500</v>
      </c>
      <c r="AD17" s="428"/>
    </row>
    <row r="18" spans="1:30" x14ac:dyDescent="0.25">
      <c r="A18" s="123" t="s">
        <v>52</v>
      </c>
      <c r="B18" s="189" t="s">
        <v>277</v>
      </c>
      <c r="C18" s="71" t="s">
        <v>20</v>
      </c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2">
        <f t="shared" ref="AC18:AC26" si="4">SUM(D18:AB18)</f>
        <v>0</v>
      </c>
      <c r="AD18" s="428"/>
    </row>
    <row r="19" spans="1:30" x14ac:dyDescent="0.25">
      <c r="A19" s="123" t="s">
        <v>53</v>
      </c>
      <c r="B19" s="189" t="s">
        <v>277</v>
      </c>
      <c r="C19" s="71" t="s">
        <v>20</v>
      </c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2">
        <f t="shared" si="4"/>
        <v>0</v>
      </c>
      <c r="AD19" s="428"/>
    </row>
    <row r="20" spans="1:30" x14ac:dyDescent="0.25">
      <c r="A20" s="123" t="s">
        <v>54</v>
      </c>
      <c r="B20" s="189" t="s">
        <v>277</v>
      </c>
      <c r="C20" s="71" t="s">
        <v>20</v>
      </c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2">
        <f t="shared" si="4"/>
        <v>0</v>
      </c>
      <c r="AD20" s="428"/>
    </row>
    <row r="21" spans="1:30" x14ac:dyDescent="0.25">
      <c r="A21" s="123" t="s">
        <v>55</v>
      </c>
      <c r="B21" s="189" t="s">
        <v>277</v>
      </c>
      <c r="C21" s="71" t="s">
        <v>20</v>
      </c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2">
        <f t="shared" si="4"/>
        <v>0</v>
      </c>
      <c r="AD21" s="428"/>
    </row>
    <row r="22" spans="1:30" x14ac:dyDescent="0.25">
      <c r="A22" s="123" t="s">
        <v>56</v>
      </c>
      <c r="B22" s="189" t="s">
        <v>277</v>
      </c>
      <c r="C22" s="71" t="s">
        <v>20</v>
      </c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2">
        <f t="shared" si="4"/>
        <v>0</v>
      </c>
      <c r="AD22" s="428"/>
    </row>
    <row r="23" spans="1:30" x14ac:dyDescent="0.25">
      <c r="A23" s="123" t="s">
        <v>151</v>
      </c>
      <c r="B23" s="189" t="s">
        <v>277</v>
      </c>
      <c r="C23" s="71" t="s">
        <v>20</v>
      </c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2">
        <f t="shared" si="4"/>
        <v>0</v>
      </c>
      <c r="AD23" s="428"/>
    </row>
    <row r="24" spans="1:30" x14ac:dyDescent="0.25">
      <c r="A24" s="123" t="s">
        <v>278</v>
      </c>
      <c r="B24" s="189" t="s">
        <v>277</v>
      </c>
      <c r="C24" s="71" t="s">
        <v>20</v>
      </c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2">
        <f t="shared" si="4"/>
        <v>0</v>
      </c>
      <c r="AD24" s="428"/>
    </row>
    <row r="25" spans="1:30" x14ac:dyDescent="0.25">
      <c r="A25" s="123" t="s">
        <v>279</v>
      </c>
      <c r="B25" s="189" t="s">
        <v>277</v>
      </c>
      <c r="C25" s="71" t="s">
        <v>20</v>
      </c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2">
        <f t="shared" si="4"/>
        <v>0</v>
      </c>
      <c r="AD25" s="428"/>
    </row>
    <row r="26" spans="1:30" s="428" customFormat="1" x14ac:dyDescent="0.25">
      <c r="A26" s="187">
        <v>3</v>
      </c>
      <c r="B26" s="73" t="s">
        <v>280</v>
      </c>
      <c r="C26" s="188" t="s">
        <v>20</v>
      </c>
      <c r="D26" s="339">
        <f>D29-D28-D27</f>
        <v>-1700</v>
      </c>
      <c r="E26" s="339">
        <f t="shared" ref="E26:AB26" si="5">E29-E28-E27</f>
        <v>-1700</v>
      </c>
      <c r="F26" s="339">
        <f t="shared" si="5"/>
        <v>-1700</v>
      </c>
      <c r="G26" s="339">
        <f t="shared" si="5"/>
        <v>-1700</v>
      </c>
      <c r="H26" s="339">
        <f t="shared" si="5"/>
        <v>-1700</v>
      </c>
      <c r="I26" s="339">
        <f t="shared" si="5"/>
        <v>-1700</v>
      </c>
      <c r="J26" s="339">
        <f t="shared" si="5"/>
        <v>-1700</v>
      </c>
      <c r="K26" s="339">
        <f t="shared" si="5"/>
        <v>-1700</v>
      </c>
      <c r="L26" s="339">
        <f t="shared" si="5"/>
        <v>-1700</v>
      </c>
      <c r="M26" s="339">
        <f t="shared" si="5"/>
        <v>-1700</v>
      </c>
      <c r="N26" s="339">
        <f t="shared" si="5"/>
        <v>-1700</v>
      </c>
      <c r="O26" s="339">
        <f t="shared" si="5"/>
        <v>-1700</v>
      </c>
      <c r="P26" s="339">
        <f t="shared" si="5"/>
        <v>-1700</v>
      </c>
      <c r="Q26" s="339">
        <f t="shared" si="5"/>
        <v>-1700</v>
      </c>
      <c r="R26" s="339">
        <f t="shared" si="5"/>
        <v>-1700</v>
      </c>
      <c r="S26" s="339">
        <f t="shared" si="5"/>
        <v>-1700</v>
      </c>
      <c r="T26" s="339">
        <f t="shared" si="5"/>
        <v>-1700</v>
      </c>
      <c r="U26" s="339">
        <f t="shared" si="5"/>
        <v>-1700</v>
      </c>
      <c r="V26" s="339">
        <f t="shared" si="5"/>
        <v>-1700</v>
      </c>
      <c r="W26" s="339">
        <f t="shared" si="5"/>
        <v>-1700</v>
      </c>
      <c r="X26" s="339">
        <f t="shared" si="5"/>
        <v>-1700</v>
      </c>
      <c r="Y26" s="339">
        <f t="shared" si="5"/>
        <v>-1700</v>
      </c>
      <c r="Z26" s="339">
        <f t="shared" si="5"/>
        <v>-1700</v>
      </c>
      <c r="AA26" s="339">
        <f t="shared" si="5"/>
        <v>-1700</v>
      </c>
      <c r="AB26" s="339">
        <f t="shared" si="5"/>
        <v>-1700</v>
      </c>
      <c r="AC26" s="342">
        <f t="shared" si="4"/>
        <v>-42500</v>
      </c>
    </row>
    <row r="27" spans="1:30" ht="26.25" x14ac:dyDescent="0.25">
      <c r="A27" s="123" t="s">
        <v>31</v>
      </c>
      <c r="B27" s="195" t="s">
        <v>339</v>
      </c>
      <c r="C27" s="71" t="s">
        <v>20</v>
      </c>
      <c r="D27" s="344">
        <v>1500</v>
      </c>
      <c r="E27" s="344">
        <v>1500</v>
      </c>
      <c r="F27" s="344">
        <v>1500</v>
      </c>
      <c r="G27" s="344">
        <v>1500</v>
      </c>
      <c r="H27" s="344">
        <v>1500</v>
      </c>
      <c r="I27" s="344">
        <v>1500</v>
      </c>
      <c r="J27" s="344">
        <v>1500</v>
      </c>
      <c r="K27" s="344">
        <v>1500</v>
      </c>
      <c r="L27" s="344">
        <v>1500</v>
      </c>
      <c r="M27" s="344">
        <v>1500</v>
      </c>
      <c r="N27" s="344">
        <v>1500</v>
      </c>
      <c r="O27" s="344">
        <v>1500</v>
      </c>
      <c r="P27" s="344">
        <v>1500</v>
      </c>
      <c r="Q27" s="344">
        <v>1500</v>
      </c>
      <c r="R27" s="344">
        <v>1500</v>
      </c>
      <c r="S27" s="344">
        <v>1500</v>
      </c>
      <c r="T27" s="344">
        <v>1500</v>
      </c>
      <c r="U27" s="344">
        <v>1500</v>
      </c>
      <c r="V27" s="344">
        <v>1500</v>
      </c>
      <c r="W27" s="344">
        <v>1500</v>
      </c>
      <c r="X27" s="344">
        <v>1500</v>
      </c>
      <c r="Y27" s="344">
        <v>1500</v>
      </c>
      <c r="Z27" s="344">
        <v>1500</v>
      </c>
      <c r="AA27" s="344">
        <v>1500</v>
      </c>
      <c r="AB27" s="344">
        <v>1500</v>
      </c>
      <c r="AC27" s="342">
        <f>SUM(D27:AB27)</f>
        <v>37500</v>
      </c>
      <c r="AD27" s="428"/>
    </row>
    <row r="28" spans="1:30" x14ac:dyDescent="0.25">
      <c r="A28" s="123" t="s">
        <v>32</v>
      </c>
      <c r="B28" s="190" t="s">
        <v>340</v>
      </c>
      <c r="C28" s="71" t="s">
        <v>20</v>
      </c>
      <c r="D28" s="345">
        <v>500</v>
      </c>
      <c r="E28" s="345">
        <v>500</v>
      </c>
      <c r="F28" s="345">
        <v>500</v>
      </c>
      <c r="G28" s="345">
        <v>500</v>
      </c>
      <c r="H28" s="345">
        <v>500</v>
      </c>
      <c r="I28" s="345">
        <v>500</v>
      </c>
      <c r="J28" s="345">
        <v>500</v>
      </c>
      <c r="K28" s="345">
        <v>500</v>
      </c>
      <c r="L28" s="345">
        <v>500</v>
      </c>
      <c r="M28" s="345">
        <v>500</v>
      </c>
      <c r="N28" s="345">
        <v>500</v>
      </c>
      <c r="O28" s="345">
        <v>500</v>
      </c>
      <c r="P28" s="345">
        <v>500</v>
      </c>
      <c r="Q28" s="345">
        <v>500</v>
      </c>
      <c r="R28" s="345">
        <v>500</v>
      </c>
      <c r="S28" s="345">
        <v>500</v>
      </c>
      <c r="T28" s="345">
        <v>500</v>
      </c>
      <c r="U28" s="345">
        <v>500</v>
      </c>
      <c r="V28" s="345">
        <v>500</v>
      </c>
      <c r="W28" s="345">
        <v>500</v>
      </c>
      <c r="X28" s="345">
        <v>500</v>
      </c>
      <c r="Y28" s="345">
        <v>500</v>
      </c>
      <c r="Z28" s="345">
        <v>500</v>
      </c>
      <c r="AA28" s="345">
        <v>500</v>
      </c>
      <c r="AB28" s="345">
        <v>500</v>
      </c>
      <c r="AC28" s="342">
        <f>SUM(D28:AB28)</f>
        <v>12500</v>
      </c>
      <c r="AD28" s="428"/>
    </row>
    <row r="29" spans="1:30" x14ac:dyDescent="0.25">
      <c r="A29" s="123" t="s">
        <v>124</v>
      </c>
      <c r="B29" s="190" t="s">
        <v>341</v>
      </c>
      <c r="C29" s="71" t="s">
        <v>20</v>
      </c>
      <c r="D29" s="346">
        <v>300</v>
      </c>
      <c r="E29" s="346">
        <v>300</v>
      </c>
      <c r="F29" s="346">
        <v>300</v>
      </c>
      <c r="G29" s="346">
        <v>300</v>
      </c>
      <c r="H29" s="346">
        <v>300</v>
      </c>
      <c r="I29" s="346">
        <v>300</v>
      </c>
      <c r="J29" s="346">
        <v>300</v>
      </c>
      <c r="K29" s="346">
        <v>300</v>
      </c>
      <c r="L29" s="346">
        <v>300</v>
      </c>
      <c r="M29" s="346">
        <v>300</v>
      </c>
      <c r="N29" s="346">
        <v>300</v>
      </c>
      <c r="O29" s="346">
        <v>300</v>
      </c>
      <c r="P29" s="346">
        <v>300</v>
      </c>
      <c r="Q29" s="346">
        <v>300</v>
      </c>
      <c r="R29" s="346">
        <v>300</v>
      </c>
      <c r="S29" s="346">
        <v>300</v>
      </c>
      <c r="T29" s="346">
        <v>300</v>
      </c>
      <c r="U29" s="346">
        <v>300</v>
      </c>
      <c r="V29" s="346">
        <v>300</v>
      </c>
      <c r="W29" s="346">
        <v>300</v>
      </c>
      <c r="X29" s="346">
        <v>300</v>
      </c>
      <c r="Y29" s="346">
        <v>300</v>
      </c>
      <c r="Z29" s="346">
        <v>300</v>
      </c>
      <c r="AA29" s="346">
        <v>300</v>
      </c>
      <c r="AB29" s="346">
        <v>300</v>
      </c>
      <c r="AC29" s="342">
        <f>SUM(D29:AB29)</f>
        <v>7500</v>
      </c>
      <c r="AD29" s="428"/>
    </row>
    <row r="30" spans="1:30" s="428" customFormat="1" x14ac:dyDescent="0.25">
      <c r="A30" s="187">
        <v>4</v>
      </c>
      <c r="B30" s="73" t="s">
        <v>281</v>
      </c>
      <c r="C30" s="188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47"/>
    </row>
    <row r="31" spans="1:30" ht="36" customHeight="1" x14ac:dyDescent="0.25">
      <c r="A31" s="159">
        <v>4</v>
      </c>
      <c r="B31" s="191" t="s">
        <v>466</v>
      </c>
      <c r="C31" s="110" t="s">
        <v>48</v>
      </c>
      <c r="D31" s="346">
        <v>200</v>
      </c>
      <c r="E31" s="346">
        <v>200</v>
      </c>
      <c r="F31" s="346">
        <v>200</v>
      </c>
      <c r="G31" s="346">
        <v>200</v>
      </c>
      <c r="H31" s="346">
        <v>200</v>
      </c>
      <c r="I31" s="346">
        <v>200</v>
      </c>
      <c r="J31" s="346">
        <v>200</v>
      </c>
      <c r="K31" s="346">
        <v>200</v>
      </c>
      <c r="L31" s="346">
        <v>200</v>
      </c>
      <c r="M31" s="346">
        <v>200</v>
      </c>
      <c r="N31" s="346">
        <v>200</v>
      </c>
      <c r="O31" s="346">
        <v>200</v>
      </c>
      <c r="P31" s="346">
        <v>200</v>
      </c>
      <c r="Q31" s="346">
        <v>200</v>
      </c>
      <c r="R31" s="346">
        <v>200</v>
      </c>
      <c r="S31" s="346">
        <v>200</v>
      </c>
      <c r="T31" s="346">
        <v>200</v>
      </c>
      <c r="U31" s="346">
        <v>200</v>
      </c>
      <c r="V31" s="346">
        <v>200</v>
      </c>
      <c r="W31" s="346">
        <v>200</v>
      </c>
      <c r="X31" s="346">
        <v>200</v>
      </c>
      <c r="Y31" s="346">
        <v>200</v>
      </c>
      <c r="Z31" s="346">
        <v>200</v>
      </c>
      <c r="AA31" s="346">
        <v>200</v>
      </c>
      <c r="AB31" s="346">
        <v>200</v>
      </c>
      <c r="AC31" s="348"/>
      <c r="AD31" s="428"/>
    </row>
    <row r="32" spans="1:30" s="428" customFormat="1" x14ac:dyDescent="0.25">
      <c r="A32" s="123"/>
      <c r="B32" s="190"/>
      <c r="C32" s="71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192"/>
    </row>
    <row r="33" spans="1:29" s="428" customFormat="1" x14ac:dyDescent="0.25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4"/>
    </row>
  </sheetData>
  <sheetProtection algorithmName="SHA-512" hashValue="M75CP20hOlLaseALHLUhM8l666/BYoYeldsbjlpqZDpJEGMRJw3vDgcyne3WgxsnZXomddmUpG73/dKLHRTdGQ==" saltValue="0NPDOAZvwxwAzqwOMb/vjg==" spinCount="100000" sheet="1" objects="1" scenarios="1" formatCells="0" formatColumns="0" formatRows="0"/>
  <mergeCells count="2">
    <mergeCell ref="A1:C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BF53"/>
  <sheetViews>
    <sheetView workbookViewId="0">
      <selection activeCell="H47" sqref="H47"/>
    </sheetView>
  </sheetViews>
  <sheetFormatPr defaultColWidth="9.140625" defaultRowHeight="15" x14ac:dyDescent="0.25"/>
  <cols>
    <col min="1" max="1" width="4.5703125" style="423" customWidth="1"/>
    <col min="2" max="2" width="6.85546875" style="423" customWidth="1"/>
    <col min="3" max="3" width="36.42578125" style="423" customWidth="1"/>
    <col min="4" max="4" width="18.42578125" style="423" customWidth="1"/>
    <col min="5" max="5" width="8.7109375" style="423" customWidth="1"/>
    <col min="6" max="6" width="9.28515625" style="423" bestFit="1" customWidth="1"/>
    <col min="7" max="7" width="12.28515625" style="423" customWidth="1"/>
    <col min="8" max="8" width="13.140625" style="423" customWidth="1"/>
    <col min="9" max="9" width="11.85546875" style="423" customWidth="1"/>
    <col min="10" max="10" width="13.5703125" style="423" bestFit="1" customWidth="1"/>
    <col min="11" max="11" width="11.140625" style="423" customWidth="1"/>
    <col min="12" max="12" width="10.5703125" style="423" customWidth="1"/>
    <col min="13" max="13" width="11.42578125" style="423" customWidth="1"/>
    <col min="14" max="14" width="10.7109375" style="423" customWidth="1"/>
    <col min="15" max="15" width="12" style="423" customWidth="1"/>
    <col min="16" max="16" width="11.140625" style="423" customWidth="1"/>
    <col min="17" max="17" width="10.85546875" style="423" customWidth="1"/>
    <col min="18" max="18" width="11" style="423" customWidth="1"/>
    <col min="19" max="19" width="11.85546875" style="423" customWidth="1"/>
    <col min="20" max="20" width="11.42578125" style="423" customWidth="1"/>
    <col min="21" max="21" width="12" style="423" customWidth="1"/>
    <col min="22" max="22" width="11.28515625" style="423" customWidth="1"/>
    <col min="23" max="23" width="13" style="423" customWidth="1"/>
    <col min="24" max="24" width="11.7109375" style="423" customWidth="1"/>
    <col min="25" max="25" width="11.28515625" style="423" customWidth="1"/>
    <col min="26" max="26" width="11.7109375" style="423" customWidth="1"/>
    <col min="27" max="27" width="11.42578125" style="423" customWidth="1"/>
    <col min="28" max="28" width="10.85546875" style="423" customWidth="1"/>
    <col min="29" max="29" width="11.28515625" style="423" customWidth="1"/>
    <col min="30" max="30" width="11.140625" style="423" customWidth="1"/>
    <col min="31" max="31" width="12.42578125" style="423" customWidth="1"/>
    <col min="32" max="32" width="13.140625" style="423" customWidth="1"/>
    <col min="33" max="33" width="10.7109375" style="423" bestFit="1" customWidth="1"/>
    <col min="34" max="16384" width="9.140625" style="423"/>
  </cols>
  <sheetData>
    <row r="1" spans="1:58" s="428" customFormat="1" ht="26.25" x14ac:dyDescent="0.25">
      <c r="A1" s="970" t="s">
        <v>282</v>
      </c>
      <c r="B1" s="970"/>
      <c r="C1" s="970"/>
    </row>
    <row r="2" spans="1:58" s="428" customFormat="1" ht="21" x14ac:dyDescent="0.25">
      <c r="A2" s="614" t="s">
        <v>105</v>
      </c>
      <c r="B2" s="615"/>
      <c r="C2" s="615"/>
    </row>
    <row r="3" spans="1:58" s="599" customFormat="1" ht="9" customHeight="1" x14ac:dyDescent="0.25"/>
    <row r="4" spans="1:58" s="25" customFormat="1" ht="16.5" customHeight="1" x14ac:dyDescent="0.2">
      <c r="A4" s="185"/>
      <c r="B4" s="24"/>
      <c r="C4" s="974" t="s">
        <v>133</v>
      </c>
      <c r="D4" s="974"/>
      <c r="E4" s="974"/>
      <c r="F4" s="271"/>
      <c r="G4" s="705">
        <v>0</v>
      </c>
      <c r="H4" s="705">
        <f>1+G4</f>
        <v>1</v>
      </c>
      <c r="I4" s="705">
        <f t="shared" ref="I4:AE4" si="0">1+H4</f>
        <v>2</v>
      </c>
      <c r="J4" s="705">
        <f t="shared" si="0"/>
        <v>3</v>
      </c>
      <c r="K4" s="705">
        <f t="shared" si="0"/>
        <v>4</v>
      </c>
      <c r="L4" s="705">
        <f t="shared" si="0"/>
        <v>5</v>
      </c>
      <c r="M4" s="705">
        <f t="shared" si="0"/>
        <v>6</v>
      </c>
      <c r="N4" s="705">
        <f t="shared" si="0"/>
        <v>7</v>
      </c>
      <c r="O4" s="705">
        <f t="shared" si="0"/>
        <v>8</v>
      </c>
      <c r="P4" s="705">
        <f t="shared" si="0"/>
        <v>9</v>
      </c>
      <c r="Q4" s="705">
        <f t="shared" si="0"/>
        <v>10</v>
      </c>
      <c r="R4" s="705">
        <f t="shared" si="0"/>
        <v>11</v>
      </c>
      <c r="S4" s="705">
        <f t="shared" si="0"/>
        <v>12</v>
      </c>
      <c r="T4" s="705">
        <f t="shared" si="0"/>
        <v>13</v>
      </c>
      <c r="U4" s="705">
        <f t="shared" si="0"/>
        <v>14</v>
      </c>
      <c r="V4" s="705">
        <f t="shared" si="0"/>
        <v>15</v>
      </c>
      <c r="W4" s="705">
        <f t="shared" si="0"/>
        <v>16</v>
      </c>
      <c r="X4" s="705">
        <f t="shared" si="0"/>
        <v>17</v>
      </c>
      <c r="Y4" s="705">
        <f t="shared" si="0"/>
        <v>18</v>
      </c>
      <c r="Z4" s="705">
        <f t="shared" si="0"/>
        <v>19</v>
      </c>
      <c r="AA4" s="705">
        <f t="shared" si="0"/>
        <v>20</v>
      </c>
      <c r="AB4" s="705">
        <f t="shared" si="0"/>
        <v>21</v>
      </c>
      <c r="AC4" s="705">
        <f t="shared" si="0"/>
        <v>22</v>
      </c>
      <c r="AD4" s="705">
        <f t="shared" si="0"/>
        <v>23</v>
      </c>
      <c r="AE4" s="705">
        <f t="shared" si="0"/>
        <v>24</v>
      </c>
      <c r="AF4" s="705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</row>
    <row r="5" spans="1:58" s="25" customFormat="1" ht="19.5" customHeight="1" x14ac:dyDescent="0.2">
      <c r="A5" s="14"/>
      <c r="B5" s="15"/>
      <c r="C5" s="975"/>
      <c r="D5" s="975"/>
      <c r="E5" s="975"/>
      <c r="F5" s="202" t="s">
        <v>39</v>
      </c>
      <c r="G5" s="706">
        <f>Titullapa!D10</f>
        <v>2021</v>
      </c>
      <c r="H5" s="706">
        <f>G5+1</f>
        <v>2022</v>
      </c>
      <c r="I5" s="706">
        <f>H5+1</f>
        <v>2023</v>
      </c>
      <c r="J5" s="706">
        <f t="shared" ref="J5:AE5" si="1">I5+1</f>
        <v>2024</v>
      </c>
      <c r="K5" s="706">
        <f t="shared" si="1"/>
        <v>2025</v>
      </c>
      <c r="L5" s="706">
        <f t="shared" si="1"/>
        <v>2026</v>
      </c>
      <c r="M5" s="706">
        <f t="shared" si="1"/>
        <v>2027</v>
      </c>
      <c r="N5" s="706">
        <f t="shared" si="1"/>
        <v>2028</v>
      </c>
      <c r="O5" s="706">
        <f t="shared" si="1"/>
        <v>2029</v>
      </c>
      <c r="P5" s="706">
        <f t="shared" si="1"/>
        <v>2030</v>
      </c>
      <c r="Q5" s="706">
        <f t="shared" si="1"/>
        <v>2031</v>
      </c>
      <c r="R5" s="706">
        <f t="shared" si="1"/>
        <v>2032</v>
      </c>
      <c r="S5" s="706">
        <f t="shared" si="1"/>
        <v>2033</v>
      </c>
      <c r="T5" s="706">
        <f t="shared" si="1"/>
        <v>2034</v>
      </c>
      <c r="U5" s="706">
        <f t="shared" si="1"/>
        <v>2035</v>
      </c>
      <c r="V5" s="706">
        <f t="shared" si="1"/>
        <v>2036</v>
      </c>
      <c r="W5" s="706">
        <f t="shared" si="1"/>
        <v>2037</v>
      </c>
      <c r="X5" s="706">
        <f t="shared" si="1"/>
        <v>2038</v>
      </c>
      <c r="Y5" s="706">
        <f t="shared" si="1"/>
        <v>2039</v>
      </c>
      <c r="Z5" s="706">
        <f t="shared" si="1"/>
        <v>2040</v>
      </c>
      <c r="AA5" s="706">
        <f t="shared" si="1"/>
        <v>2041</v>
      </c>
      <c r="AB5" s="706">
        <f t="shared" si="1"/>
        <v>2042</v>
      </c>
      <c r="AC5" s="706">
        <f t="shared" si="1"/>
        <v>2043</v>
      </c>
      <c r="AD5" s="706">
        <f t="shared" si="1"/>
        <v>2044</v>
      </c>
      <c r="AE5" s="706">
        <f t="shared" si="1"/>
        <v>2045</v>
      </c>
      <c r="AF5" s="706" t="s">
        <v>40</v>
      </c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</row>
    <row r="6" spans="1:58" s="32" customFormat="1" ht="12.75" x14ac:dyDescent="0.2">
      <c r="A6" s="9"/>
      <c r="B6" s="9"/>
      <c r="C6" s="9"/>
      <c r="D6" s="9"/>
      <c r="E6" s="9"/>
      <c r="F6" s="27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88"/>
      <c r="W6" s="33"/>
      <c r="X6" s="89"/>
    </row>
    <row r="7" spans="1:58" s="35" customFormat="1" ht="12.75" x14ac:dyDescent="0.2">
      <c r="A7" s="20"/>
      <c r="B7" s="21" t="s">
        <v>106</v>
      </c>
      <c r="C7" s="21"/>
      <c r="D7" s="21"/>
      <c r="E7" s="21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3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</row>
    <row r="8" spans="1:58" s="34" customFormat="1" ht="12.75" x14ac:dyDescent="0.2">
      <c r="A8" s="54" t="s">
        <v>26</v>
      </c>
      <c r="B8" s="55"/>
      <c r="C8" s="55" t="s">
        <v>78</v>
      </c>
      <c r="D8" s="55"/>
      <c r="E8" s="55"/>
      <c r="F8" s="274"/>
      <c r="G8" s="275">
        <f>SUM(G9:G18)</f>
        <v>2000</v>
      </c>
      <c r="H8" s="276">
        <f t="shared" ref="H8:AE8" si="2">SUM(H9:H18)</f>
        <v>3000</v>
      </c>
      <c r="I8" s="276">
        <f t="shared" si="2"/>
        <v>5020</v>
      </c>
      <c r="J8" s="276">
        <f t="shared" si="2"/>
        <v>1018</v>
      </c>
      <c r="K8" s="276">
        <f t="shared" si="2"/>
        <v>1016</v>
      </c>
      <c r="L8" s="276">
        <f t="shared" si="2"/>
        <v>1014</v>
      </c>
      <c r="M8" s="276">
        <f t="shared" si="2"/>
        <v>1012</v>
      </c>
      <c r="N8" s="276">
        <f t="shared" si="2"/>
        <v>1010</v>
      </c>
      <c r="O8" s="276">
        <f t="shared" si="2"/>
        <v>1008</v>
      </c>
      <c r="P8" s="276">
        <f t="shared" si="2"/>
        <v>1006</v>
      </c>
      <c r="Q8" s="276">
        <f t="shared" si="2"/>
        <v>1004</v>
      </c>
      <c r="R8" s="276">
        <f t="shared" si="2"/>
        <v>1002</v>
      </c>
      <c r="S8" s="276">
        <f t="shared" si="2"/>
        <v>1000</v>
      </c>
      <c r="T8" s="276">
        <f t="shared" si="2"/>
        <v>1000</v>
      </c>
      <c r="U8" s="276">
        <f t="shared" si="2"/>
        <v>1000</v>
      </c>
      <c r="V8" s="276">
        <f t="shared" si="2"/>
        <v>1000</v>
      </c>
      <c r="W8" s="276">
        <f t="shared" si="2"/>
        <v>1000</v>
      </c>
      <c r="X8" s="276">
        <f t="shared" si="2"/>
        <v>1000</v>
      </c>
      <c r="Y8" s="276">
        <f t="shared" si="2"/>
        <v>1000</v>
      </c>
      <c r="Z8" s="276">
        <f t="shared" si="2"/>
        <v>1000</v>
      </c>
      <c r="AA8" s="276">
        <f t="shared" si="2"/>
        <v>1000</v>
      </c>
      <c r="AB8" s="276">
        <f t="shared" si="2"/>
        <v>1000</v>
      </c>
      <c r="AC8" s="276">
        <f t="shared" si="2"/>
        <v>1000</v>
      </c>
      <c r="AD8" s="276">
        <f t="shared" si="2"/>
        <v>1000</v>
      </c>
      <c r="AE8" s="276">
        <f t="shared" si="2"/>
        <v>1000</v>
      </c>
      <c r="AF8" s="616">
        <f>SUM(G8:AE8)</f>
        <v>32110</v>
      </c>
    </row>
    <row r="9" spans="1:58" s="521" customFormat="1" ht="12.75" x14ac:dyDescent="0.2">
      <c r="A9" s="617"/>
      <c r="B9" s="742" t="str">
        <f>'2.DL Naudas plūsma bez projekta'!A15</f>
        <v>1.1.</v>
      </c>
      <c r="C9" s="593" t="str">
        <f>'2.DL Naudas plūsma bez projekta'!B15</f>
        <v>no biogāzes tirdzniecības</v>
      </c>
      <c r="D9" s="618"/>
      <c r="E9" s="42">
        <v>0</v>
      </c>
      <c r="F9" s="618" t="s">
        <v>20</v>
      </c>
      <c r="G9" s="626">
        <f>('3.DL Naudas plūsma ar projektu'!E15-'2.DL Naudas plūsma bez projekta'!E15)*(1+$E9)</f>
        <v>-5000</v>
      </c>
      <c r="H9" s="627">
        <f>('3.DL Naudas plūsma ar projektu'!F15-'2.DL Naudas plūsma bez projekta'!F15)*(1+$E9)</f>
        <v>0</v>
      </c>
      <c r="I9" s="627">
        <f>('3.DL Naudas plūsma ar projektu'!G15-'2.DL Naudas plūsma bez projekta'!G15)*(1+$E9)</f>
        <v>0</v>
      </c>
      <c r="J9" s="627">
        <f>('3.DL Naudas plūsma ar projektu'!H15-'2.DL Naudas plūsma bez projekta'!H15)*(1+$E9)</f>
        <v>0</v>
      </c>
      <c r="K9" s="627">
        <f>('3.DL Naudas plūsma ar projektu'!I15-'2.DL Naudas plūsma bez projekta'!I15)*(1+$E9)</f>
        <v>0</v>
      </c>
      <c r="L9" s="627">
        <f>('3.DL Naudas plūsma ar projektu'!J15-'2.DL Naudas plūsma bez projekta'!J15)*(1+$E9)</f>
        <v>0</v>
      </c>
      <c r="M9" s="627">
        <f>('3.DL Naudas plūsma ar projektu'!K15-'2.DL Naudas plūsma bez projekta'!K15)*(1+$E9)</f>
        <v>0</v>
      </c>
      <c r="N9" s="627">
        <f>('3.DL Naudas plūsma ar projektu'!L15-'2.DL Naudas plūsma bez projekta'!L15)*(1+$E9)</f>
        <v>0</v>
      </c>
      <c r="O9" s="627">
        <f>('3.DL Naudas plūsma ar projektu'!M15-'2.DL Naudas plūsma bez projekta'!M15)*(1+$E9)</f>
        <v>0</v>
      </c>
      <c r="P9" s="627">
        <f>('3.DL Naudas plūsma ar projektu'!N15-'2.DL Naudas plūsma bez projekta'!N15)*(1+$E9)</f>
        <v>0</v>
      </c>
      <c r="Q9" s="627">
        <f>('3.DL Naudas plūsma ar projektu'!O15-'2.DL Naudas plūsma bez projekta'!O15)*(1+$E9)</f>
        <v>0</v>
      </c>
      <c r="R9" s="627">
        <f>('3.DL Naudas plūsma ar projektu'!P15-'2.DL Naudas plūsma bez projekta'!P15)*(1+$E9)</f>
        <v>0</v>
      </c>
      <c r="S9" s="627">
        <f>('3.DL Naudas plūsma ar projektu'!Q15-'2.DL Naudas plūsma bez projekta'!Q15)*(1+$E9)</f>
        <v>0</v>
      </c>
      <c r="T9" s="627">
        <f>('3.DL Naudas plūsma ar projektu'!R15-'2.DL Naudas plūsma bez projekta'!R15)*(1+$E9)</f>
        <v>0</v>
      </c>
      <c r="U9" s="627">
        <f>('3.DL Naudas plūsma ar projektu'!S15-'2.DL Naudas plūsma bez projekta'!S15)*(1+$E9)</f>
        <v>0</v>
      </c>
      <c r="V9" s="627">
        <f>('3.DL Naudas plūsma ar projektu'!T15-'2.DL Naudas plūsma bez projekta'!T15)*(1+$E9)</f>
        <v>0</v>
      </c>
      <c r="W9" s="627">
        <f>('3.DL Naudas plūsma ar projektu'!U15-'2.DL Naudas plūsma bez projekta'!U15)*(1+$E9)</f>
        <v>0</v>
      </c>
      <c r="X9" s="627">
        <f>('3.DL Naudas plūsma ar projektu'!V15-'2.DL Naudas plūsma bez projekta'!V15)*(1+$E9)</f>
        <v>0</v>
      </c>
      <c r="Y9" s="627">
        <f>('3.DL Naudas plūsma ar projektu'!W15-'2.DL Naudas plūsma bez projekta'!W15)*(1+$E9)</f>
        <v>0</v>
      </c>
      <c r="Z9" s="627">
        <f>('3.DL Naudas plūsma ar projektu'!X15-'2.DL Naudas plūsma bez projekta'!X15)*(1+$E9)</f>
        <v>0</v>
      </c>
      <c r="AA9" s="627">
        <f>('3.DL Naudas plūsma ar projektu'!Y15-'2.DL Naudas plūsma bez projekta'!Y15)*(1+$E9)</f>
        <v>0</v>
      </c>
      <c r="AB9" s="627">
        <f>('3.DL Naudas plūsma ar projektu'!Z15-'2.DL Naudas plūsma bez projekta'!Z15)*(1+$E9)</f>
        <v>0</v>
      </c>
      <c r="AC9" s="627">
        <f>('3.DL Naudas plūsma ar projektu'!AA15-'2.DL Naudas plūsma bez projekta'!AA15)*(1+$E9)</f>
        <v>0</v>
      </c>
      <c r="AD9" s="627">
        <f>('3.DL Naudas plūsma ar projektu'!AB15-'2.DL Naudas plūsma bez projekta'!AB15)*(1+$E9)</f>
        <v>0</v>
      </c>
      <c r="AE9" s="627">
        <f>('3.DL Naudas plūsma ar projektu'!AC15-'2.DL Naudas plūsma bez projekta'!AC15)*(1+$E9)</f>
        <v>0</v>
      </c>
      <c r="AF9" s="628">
        <f>SUM(G9:AE9)</f>
        <v>-5000</v>
      </c>
      <c r="AG9" s="514"/>
    </row>
    <row r="10" spans="1:58" s="521" customFormat="1" ht="12.75" x14ac:dyDescent="0.2">
      <c r="A10" s="617"/>
      <c r="B10" s="742" t="str">
        <f>'2.DL Naudas plūsma bez projekta'!A16</f>
        <v>1.2.</v>
      </c>
      <c r="C10" s="593" t="str">
        <f>'2.DL Naudas plūsma bez projekta'!B16</f>
        <v>no elektroenerģijas tirdzniecības</v>
      </c>
      <c r="D10" s="618"/>
      <c r="E10" s="42">
        <v>0</v>
      </c>
      <c r="F10" s="618" t="s">
        <v>20</v>
      </c>
      <c r="G10" s="626">
        <f>('3.DL Naudas plūsma ar projektu'!E16-'2.DL Naudas plūsma bez projekta'!E16)*(1+$E10)</f>
        <v>0</v>
      </c>
      <c r="H10" s="627">
        <f>('3.DL Naudas plūsma ar projektu'!F16-'2.DL Naudas plūsma bez projekta'!F16)*(1+$E10)</f>
        <v>0</v>
      </c>
      <c r="I10" s="627">
        <f>('3.DL Naudas plūsma ar projektu'!G16-'2.DL Naudas plūsma bez projekta'!G16)*(1+$E10)</f>
        <v>0</v>
      </c>
      <c r="J10" s="627">
        <f>('3.DL Naudas plūsma ar projektu'!H16-'2.DL Naudas plūsma bez projekta'!H16)*(1+$E10)</f>
        <v>0</v>
      </c>
      <c r="K10" s="627">
        <f>('3.DL Naudas plūsma ar projektu'!I16-'2.DL Naudas plūsma bez projekta'!I16)*(1+$E10)</f>
        <v>0</v>
      </c>
      <c r="L10" s="627">
        <f>('3.DL Naudas plūsma ar projektu'!J16-'2.DL Naudas plūsma bez projekta'!J16)*(1+$E10)</f>
        <v>0</v>
      </c>
      <c r="M10" s="627">
        <f>('3.DL Naudas plūsma ar projektu'!K16-'2.DL Naudas plūsma bez projekta'!K16)*(1+$E10)</f>
        <v>0</v>
      </c>
      <c r="N10" s="627">
        <f>('3.DL Naudas plūsma ar projektu'!L16-'2.DL Naudas plūsma bez projekta'!L16)*(1+$E10)</f>
        <v>0</v>
      </c>
      <c r="O10" s="627">
        <f>('3.DL Naudas plūsma ar projektu'!M16-'2.DL Naudas plūsma bez projekta'!M16)*(1+$E10)</f>
        <v>0</v>
      </c>
      <c r="P10" s="627">
        <f>('3.DL Naudas plūsma ar projektu'!N16-'2.DL Naudas plūsma bez projekta'!N16)*(1+$E10)</f>
        <v>0</v>
      </c>
      <c r="Q10" s="627">
        <f>('3.DL Naudas plūsma ar projektu'!O16-'2.DL Naudas plūsma bez projekta'!O16)*(1+$E10)</f>
        <v>0</v>
      </c>
      <c r="R10" s="627">
        <f>('3.DL Naudas plūsma ar projektu'!P16-'2.DL Naudas plūsma bez projekta'!P16)*(1+$E10)</f>
        <v>0</v>
      </c>
      <c r="S10" s="627">
        <f>('3.DL Naudas plūsma ar projektu'!Q16-'2.DL Naudas plūsma bez projekta'!Q16)*(1+$E10)</f>
        <v>0</v>
      </c>
      <c r="T10" s="627">
        <f>('3.DL Naudas plūsma ar projektu'!R16-'2.DL Naudas plūsma bez projekta'!R16)*(1+$E10)</f>
        <v>0</v>
      </c>
      <c r="U10" s="627">
        <f>('3.DL Naudas plūsma ar projektu'!S16-'2.DL Naudas plūsma bez projekta'!S16)*(1+$E10)</f>
        <v>0</v>
      </c>
      <c r="V10" s="627">
        <f>('3.DL Naudas plūsma ar projektu'!T16-'2.DL Naudas plūsma bez projekta'!T16)*(1+$E10)</f>
        <v>0</v>
      </c>
      <c r="W10" s="627">
        <f>('3.DL Naudas plūsma ar projektu'!U16-'2.DL Naudas plūsma bez projekta'!U16)*(1+$E10)</f>
        <v>0</v>
      </c>
      <c r="X10" s="627">
        <f>('3.DL Naudas plūsma ar projektu'!V16-'2.DL Naudas plūsma bez projekta'!V16)*(1+$E10)</f>
        <v>0</v>
      </c>
      <c r="Y10" s="627">
        <f>('3.DL Naudas plūsma ar projektu'!W16-'2.DL Naudas plūsma bez projekta'!W16)*(1+$E10)</f>
        <v>0</v>
      </c>
      <c r="Z10" s="627">
        <f>('3.DL Naudas plūsma ar projektu'!X16-'2.DL Naudas plūsma bez projekta'!X16)*(1+$E10)</f>
        <v>0</v>
      </c>
      <c r="AA10" s="627">
        <f>('3.DL Naudas plūsma ar projektu'!Y16-'2.DL Naudas plūsma bez projekta'!Y16)*(1+$E10)</f>
        <v>0</v>
      </c>
      <c r="AB10" s="627">
        <f>('3.DL Naudas plūsma ar projektu'!Z16-'2.DL Naudas plūsma bez projekta'!Z16)*(1+$E10)</f>
        <v>0</v>
      </c>
      <c r="AC10" s="627">
        <f>('3.DL Naudas plūsma ar projektu'!AA16-'2.DL Naudas plūsma bez projekta'!AA16)*(1+$E10)</f>
        <v>0</v>
      </c>
      <c r="AD10" s="627">
        <f>('3.DL Naudas plūsma ar projektu'!AB16-'2.DL Naudas plūsma bez projekta'!AB16)*(1+$E10)</f>
        <v>0</v>
      </c>
      <c r="AE10" s="627">
        <f>('3.DL Naudas plūsma ar projektu'!AC16-'2.DL Naudas plūsma bez projekta'!AC16)*(1+$E10)</f>
        <v>0</v>
      </c>
      <c r="AF10" s="628">
        <f t="shared" ref="AF10:AF18" si="3">SUM(G10:AE10)</f>
        <v>0</v>
      </c>
      <c r="AG10" s="514"/>
    </row>
    <row r="11" spans="1:58" s="521" customFormat="1" ht="12.75" x14ac:dyDescent="0.2">
      <c r="A11" s="617"/>
      <c r="B11" s="742" t="str">
        <f>'2.DL Naudas plūsma bez projekta'!A17</f>
        <v>1.3.</v>
      </c>
      <c r="C11" s="593" t="str">
        <f>'2.DL Naudas plūsma bez projekta'!B17</f>
        <v xml:space="preserve">no siltumenerģijas tirdzniecības </v>
      </c>
      <c r="D11" s="618"/>
      <c r="E11" s="42">
        <v>0</v>
      </c>
      <c r="F11" s="618" t="s">
        <v>20</v>
      </c>
      <c r="G11" s="626">
        <f>('3.DL Naudas plūsma ar projektu'!E17-'2.DL Naudas plūsma bez projekta'!E17)*(1+$E11)</f>
        <v>0</v>
      </c>
      <c r="H11" s="627">
        <f>('3.DL Naudas plūsma ar projektu'!F17-'2.DL Naudas plūsma bez projekta'!F17)*(1+$E11)</f>
        <v>0</v>
      </c>
      <c r="I11" s="627">
        <f>('3.DL Naudas plūsma ar projektu'!G17-'2.DL Naudas plūsma bez projekta'!G17)*(1+$E11)</f>
        <v>0</v>
      </c>
      <c r="J11" s="627">
        <f>('3.DL Naudas plūsma ar projektu'!H17-'2.DL Naudas plūsma bez projekta'!H17)*(1+$E11)</f>
        <v>0</v>
      </c>
      <c r="K11" s="627">
        <f>('3.DL Naudas plūsma ar projektu'!I17-'2.DL Naudas plūsma bez projekta'!I17)*(1+$E11)</f>
        <v>0</v>
      </c>
      <c r="L11" s="627">
        <f>('3.DL Naudas plūsma ar projektu'!J17-'2.DL Naudas plūsma bez projekta'!J17)*(1+$E11)</f>
        <v>0</v>
      </c>
      <c r="M11" s="627">
        <f>('3.DL Naudas plūsma ar projektu'!K17-'2.DL Naudas plūsma bez projekta'!K17)*(1+$E11)</f>
        <v>0</v>
      </c>
      <c r="N11" s="627">
        <f>('3.DL Naudas plūsma ar projektu'!L17-'2.DL Naudas plūsma bez projekta'!L17)*(1+$E11)</f>
        <v>0</v>
      </c>
      <c r="O11" s="627">
        <f>('3.DL Naudas plūsma ar projektu'!M17-'2.DL Naudas plūsma bez projekta'!M17)*(1+$E11)</f>
        <v>0</v>
      </c>
      <c r="P11" s="627">
        <f>('3.DL Naudas plūsma ar projektu'!N17-'2.DL Naudas plūsma bez projekta'!N17)*(1+$E11)</f>
        <v>0</v>
      </c>
      <c r="Q11" s="627">
        <f>('3.DL Naudas plūsma ar projektu'!O17-'2.DL Naudas plūsma bez projekta'!O17)*(1+$E11)</f>
        <v>0</v>
      </c>
      <c r="R11" s="627">
        <f>('3.DL Naudas plūsma ar projektu'!P17-'2.DL Naudas plūsma bez projekta'!P17)*(1+$E11)</f>
        <v>0</v>
      </c>
      <c r="S11" s="627">
        <f>('3.DL Naudas plūsma ar projektu'!Q17-'2.DL Naudas plūsma bez projekta'!Q17)*(1+$E11)</f>
        <v>0</v>
      </c>
      <c r="T11" s="627">
        <f>('3.DL Naudas plūsma ar projektu'!R17-'2.DL Naudas plūsma bez projekta'!R17)*(1+$E11)</f>
        <v>0</v>
      </c>
      <c r="U11" s="627">
        <f>('3.DL Naudas plūsma ar projektu'!S17-'2.DL Naudas plūsma bez projekta'!S17)*(1+$E11)</f>
        <v>0</v>
      </c>
      <c r="V11" s="627">
        <f>('3.DL Naudas plūsma ar projektu'!T17-'2.DL Naudas plūsma bez projekta'!T17)*(1+$E11)</f>
        <v>0</v>
      </c>
      <c r="W11" s="627">
        <f>('3.DL Naudas plūsma ar projektu'!U17-'2.DL Naudas plūsma bez projekta'!U17)*(1+$E11)</f>
        <v>0</v>
      </c>
      <c r="X11" s="627">
        <f>('3.DL Naudas plūsma ar projektu'!V17-'2.DL Naudas plūsma bez projekta'!V17)*(1+$E11)</f>
        <v>0</v>
      </c>
      <c r="Y11" s="627">
        <f>('3.DL Naudas plūsma ar projektu'!W17-'2.DL Naudas plūsma bez projekta'!W17)*(1+$E11)</f>
        <v>0</v>
      </c>
      <c r="Z11" s="627">
        <f>('3.DL Naudas plūsma ar projektu'!X17-'2.DL Naudas plūsma bez projekta'!X17)*(1+$E11)</f>
        <v>0</v>
      </c>
      <c r="AA11" s="627">
        <f>('3.DL Naudas plūsma ar projektu'!Y17-'2.DL Naudas plūsma bez projekta'!Y17)*(1+$E11)</f>
        <v>0</v>
      </c>
      <c r="AB11" s="627">
        <f>('3.DL Naudas plūsma ar projektu'!Z17-'2.DL Naudas plūsma bez projekta'!Z17)*(1+$E11)</f>
        <v>0</v>
      </c>
      <c r="AC11" s="627">
        <f>('3.DL Naudas plūsma ar projektu'!AA17-'2.DL Naudas plūsma bez projekta'!AA17)*(1+$E11)</f>
        <v>0</v>
      </c>
      <c r="AD11" s="627">
        <f>('3.DL Naudas plūsma ar projektu'!AB17-'2.DL Naudas plūsma bez projekta'!AB17)*(1+$E11)</f>
        <v>0</v>
      </c>
      <c r="AE11" s="627">
        <f>('3.DL Naudas plūsma ar projektu'!AC17-'2.DL Naudas plūsma bez projekta'!AC17)*(1+$E11)</f>
        <v>0</v>
      </c>
      <c r="AF11" s="628">
        <f t="shared" si="3"/>
        <v>0</v>
      </c>
      <c r="AG11" s="514"/>
    </row>
    <row r="12" spans="1:58" s="521" customFormat="1" ht="12.75" x14ac:dyDescent="0.2">
      <c r="A12" s="617"/>
      <c r="B12" s="742" t="str">
        <f>'2.DL Naudas plūsma bez projekta'!A18</f>
        <v>1.4.</v>
      </c>
      <c r="C12" s="593" t="str">
        <f>'2.DL Naudas plūsma bez projekta'!B18</f>
        <v>no zemes, ēku un tehnoloģisko iekārtu izmantošanas</v>
      </c>
      <c r="D12" s="618"/>
      <c r="E12" s="42">
        <v>0</v>
      </c>
      <c r="F12" s="618" t="s">
        <v>20</v>
      </c>
      <c r="G12" s="626">
        <f>('3.DL Naudas plūsma ar projektu'!E18-'2.DL Naudas plūsma bez projekta'!E18)*(1+$E12)</f>
        <v>1000</v>
      </c>
      <c r="H12" s="627">
        <f>('3.DL Naudas plūsma ar projektu'!F18-'2.DL Naudas plūsma bez projekta'!F18)*(1+$E12)</f>
        <v>1000</v>
      </c>
      <c r="I12" s="627">
        <f>('3.DL Naudas plūsma ar projektu'!G18-'2.DL Naudas plūsma bez projekta'!G18)*(1+$E12)</f>
        <v>1000</v>
      </c>
      <c r="J12" s="627">
        <f>('3.DL Naudas plūsma ar projektu'!H18-'2.DL Naudas plūsma bez projekta'!H18)*(1+$E12)</f>
        <v>1000</v>
      </c>
      <c r="K12" s="627">
        <f>('3.DL Naudas plūsma ar projektu'!I18-'2.DL Naudas plūsma bez projekta'!I18)*(1+$E12)</f>
        <v>1000</v>
      </c>
      <c r="L12" s="627">
        <f>('3.DL Naudas plūsma ar projektu'!J18-'2.DL Naudas plūsma bez projekta'!J18)*(1+$E12)</f>
        <v>1000</v>
      </c>
      <c r="M12" s="627">
        <f>('3.DL Naudas plūsma ar projektu'!K18-'2.DL Naudas plūsma bez projekta'!K18)*(1+$E12)</f>
        <v>1000</v>
      </c>
      <c r="N12" s="627">
        <f>('3.DL Naudas plūsma ar projektu'!L18-'2.DL Naudas plūsma bez projekta'!L18)*(1+$E12)</f>
        <v>1000</v>
      </c>
      <c r="O12" s="627">
        <f>('3.DL Naudas plūsma ar projektu'!M18-'2.DL Naudas plūsma bez projekta'!M18)*(1+$E12)</f>
        <v>1000</v>
      </c>
      <c r="P12" s="627">
        <f>('3.DL Naudas plūsma ar projektu'!N18-'2.DL Naudas plūsma bez projekta'!N18)*(1+$E12)</f>
        <v>1000</v>
      </c>
      <c r="Q12" s="627">
        <f>('3.DL Naudas plūsma ar projektu'!O18-'2.DL Naudas plūsma bez projekta'!O18)*(1+$E12)</f>
        <v>1000</v>
      </c>
      <c r="R12" s="627">
        <f>('3.DL Naudas plūsma ar projektu'!P18-'2.DL Naudas plūsma bez projekta'!P18)*(1+$E12)</f>
        <v>1000</v>
      </c>
      <c r="S12" s="627">
        <f>('3.DL Naudas plūsma ar projektu'!Q18-'2.DL Naudas plūsma bez projekta'!Q18)*(1+$E12)</f>
        <v>1000</v>
      </c>
      <c r="T12" s="627">
        <f>('3.DL Naudas plūsma ar projektu'!R18-'2.DL Naudas plūsma bez projekta'!R18)*(1+$E12)</f>
        <v>1000</v>
      </c>
      <c r="U12" s="627">
        <f>('3.DL Naudas plūsma ar projektu'!S18-'2.DL Naudas plūsma bez projekta'!S18)*(1+$E12)</f>
        <v>1000</v>
      </c>
      <c r="V12" s="627">
        <f>('3.DL Naudas plūsma ar projektu'!T18-'2.DL Naudas plūsma bez projekta'!T18)*(1+$E12)</f>
        <v>1000</v>
      </c>
      <c r="W12" s="627">
        <f>('3.DL Naudas plūsma ar projektu'!U18-'2.DL Naudas plūsma bez projekta'!U18)*(1+$E12)</f>
        <v>1000</v>
      </c>
      <c r="X12" s="627">
        <f>('3.DL Naudas plūsma ar projektu'!V18-'2.DL Naudas plūsma bez projekta'!V18)*(1+$E12)</f>
        <v>1000</v>
      </c>
      <c r="Y12" s="627">
        <f>('3.DL Naudas plūsma ar projektu'!W18-'2.DL Naudas plūsma bez projekta'!W18)*(1+$E12)</f>
        <v>1000</v>
      </c>
      <c r="Z12" s="627">
        <f>('3.DL Naudas plūsma ar projektu'!X18-'2.DL Naudas plūsma bez projekta'!X18)*(1+$E12)</f>
        <v>1000</v>
      </c>
      <c r="AA12" s="627">
        <f>('3.DL Naudas plūsma ar projektu'!Y18-'2.DL Naudas plūsma bez projekta'!Y18)*(1+$E12)</f>
        <v>1000</v>
      </c>
      <c r="AB12" s="627">
        <f>('3.DL Naudas plūsma ar projektu'!Z18-'2.DL Naudas plūsma bez projekta'!Z18)*(1+$E12)</f>
        <v>1000</v>
      </c>
      <c r="AC12" s="627">
        <f>('3.DL Naudas plūsma ar projektu'!AA18-'2.DL Naudas plūsma bez projekta'!AA18)*(1+$E12)</f>
        <v>1000</v>
      </c>
      <c r="AD12" s="627">
        <f>('3.DL Naudas plūsma ar projektu'!AB18-'2.DL Naudas plūsma bez projekta'!AB18)*(1+$E12)</f>
        <v>1000</v>
      </c>
      <c r="AE12" s="627">
        <f>('3.DL Naudas plūsma ar projektu'!AC18-'2.DL Naudas plūsma bez projekta'!AC18)*(1+$E12)</f>
        <v>1000</v>
      </c>
      <c r="AF12" s="628">
        <f t="shared" si="3"/>
        <v>25000</v>
      </c>
      <c r="AG12" s="514"/>
    </row>
    <row r="13" spans="1:58" s="521" customFormat="1" ht="12.75" x14ac:dyDescent="0.2">
      <c r="A13" s="617"/>
      <c r="B13" s="742" t="str">
        <f>'2.DL Naudas plūsma bez projekta'!A19</f>
        <v>1.5.</v>
      </c>
      <c r="C13" s="593" t="str">
        <f>'2.DL Naudas plūsma bez projekta'!B19</f>
        <v>no nošķiroto, reģenerējamo sadzīves atkritumu tirdzniecības</v>
      </c>
      <c r="D13" s="618"/>
      <c r="E13" s="42">
        <v>0</v>
      </c>
      <c r="F13" s="618" t="s">
        <v>20</v>
      </c>
      <c r="G13" s="626">
        <f>('3.DL Naudas plūsma ar projektu'!E19-'2.DL Naudas plūsma bez projekta'!E19)*(1+$E13)</f>
        <v>2000</v>
      </c>
      <c r="H13" s="627">
        <f>('3.DL Naudas plūsma ar projektu'!F19-'2.DL Naudas plūsma bez projekta'!F19)*(1+$E13)</f>
        <v>2000</v>
      </c>
      <c r="I13" s="627">
        <f>('3.DL Naudas plūsma ar projektu'!G19-'2.DL Naudas plūsma bez projekta'!G19)*(1+$E13)</f>
        <v>2000</v>
      </c>
      <c r="J13" s="627">
        <f>('3.DL Naudas plūsma ar projektu'!H19-'2.DL Naudas plūsma bez projekta'!H19)*(1+$E13)</f>
        <v>0</v>
      </c>
      <c r="K13" s="627">
        <f>('3.DL Naudas plūsma ar projektu'!I19-'2.DL Naudas plūsma bez projekta'!I19)*(1+$E13)</f>
        <v>0</v>
      </c>
      <c r="L13" s="627">
        <f>('3.DL Naudas plūsma ar projektu'!J19-'2.DL Naudas plūsma bez projekta'!J19)*(1+$E13)</f>
        <v>0</v>
      </c>
      <c r="M13" s="627">
        <f>('3.DL Naudas plūsma ar projektu'!K19-'2.DL Naudas plūsma bez projekta'!K19)*(1+$E13)</f>
        <v>0</v>
      </c>
      <c r="N13" s="627">
        <f>('3.DL Naudas plūsma ar projektu'!L19-'2.DL Naudas plūsma bez projekta'!L19)*(1+$E13)</f>
        <v>0</v>
      </c>
      <c r="O13" s="627">
        <f>('3.DL Naudas plūsma ar projektu'!M19-'2.DL Naudas plūsma bez projekta'!M19)*(1+$E13)</f>
        <v>0</v>
      </c>
      <c r="P13" s="627">
        <f>('3.DL Naudas plūsma ar projektu'!N19-'2.DL Naudas plūsma bez projekta'!N19)*(1+$E13)</f>
        <v>0</v>
      </c>
      <c r="Q13" s="627">
        <f>('3.DL Naudas plūsma ar projektu'!O19-'2.DL Naudas plūsma bez projekta'!O19)*(1+$E13)</f>
        <v>0</v>
      </c>
      <c r="R13" s="627">
        <f>('3.DL Naudas plūsma ar projektu'!P19-'2.DL Naudas plūsma bez projekta'!P19)*(1+$E13)</f>
        <v>0</v>
      </c>
      <c r="S13" s="627">
        <f>('3.DL Naudas plūsma ar projektu'!Q19-'2.DL Naudas plūsma bez projekta'!Q19)*(1+$E13)</f>
        <v>0</v>
      </c>
      <c r="T13" s="627">
        <f>('3.DL Naudas plūsma ar projektu'!R19-'2.DL Naudas plūsma bez projekta'!R19)*(1+$E13)</f>
        <v>0</v>
      </c>
      <c r="U13" s="627">
        <f>('3.DL Naudas plūsma ar projektu'!S19-'2.DL Naudas plūsma bez projekta'!S19)*(1+$E13)</f>
        <v>0</v>
      </c>
      <c r="V13" s="627">
        <f>('3.DL Naudas plūsma ar projektu'!T19-'2.DL Naudas plūsma bez projekta'!T19)*(1+$E13)</f>
        <v>0</v>
      </c>
      <c r="W13" s="627">
        <f>('3.DL Naudas plūsma ar projektu'!U19-'2.DL Naudas plūsma bez projekta'!U19)*(1+$E13)</f>
        <v>0</v>
      </c>
      <c r="X13" s="627">
        <f>('3.DL Naudas plūsma ar projektu'!V19-'2.DL Naudas plūsma bez projekta'!V19)*(1+$E13)</f>
        <v>0</v>
      </c>
      <c r="Y13" s="627">
        <f>('3.DL Naudas plūsma ar projektu'!W19-'2.DL Naudas plūsma bez projekta'!W19)*(1+$E13)</f>
        <v>0</v>
      </c>
      <c r="Z13" s="627">
        <f>('3.DL Naudas plūsma ar projektu'!X19-'2.DL Naudas plūsma bez projekta'!X19)*(1+$E13)</f>
        <v>0</v>
      </c>
      <c r="AA13" s="627">
        <f>('3.DL Naudas plūsma ar projektu'!Y19-'2.DL Naudas plūsma bez projekta'!Y19)*(1+$E13)</f>
        <v>0</v>
      </c>
      <c r="AB13" s="627">
        <f>('3.DL Naudas plūsma ar projektu'!Z19-'2.DL Naudas plūsma bez projekta'!Z19)*(1+$E13)</f>
        <v>0</v>
      </c>
      <c r="AC13" s="627">
        <f>('3.DL Naudas plūsma ar projektu'!AA19-'2.DL Naudas plūsma bez projekta'!AA19)*(1+$E13)</f>
        <v>0</v>
      </c>
      <c r="AD13" s="627">
        <f>('3.DL Naudas plūsma ar projektu'!AB19-'2.DL Naudas plūsma bez projekta'!AB19)*(1+$E13)</f>
        <v>0</v>
      </c>
      <c r="AE13" s="627">
        <f>('3.DL Naudas plūsma ar projektu'!AC19-'2.DL Naudas plūsma bez projekta'!AC19)*(1+$E13)</f>
        <v>0</v>
      </c>
      <c r="AF13" s="628">
        <f t="shared" si="3"/>
        <v>6000</v>
      </c>
      <c r="AG13" s="514"/>
    </row>
    <row r="14" spans="1:58" s="521" customFormat="1" ht="12.75" x14ac:dyDescent="0.2">
      <c r="A14" s="617"/>
      <c r="B14" s="742" t="str">
        <f>'2.DL Naudas plūsma bez projekta'!A20</f>
        <v>1.6.</v>
      </c>
      <c r="C14" s="593" t="str">
        <f>'2.DL Naudas plūsma bez projekta'!B20</f>
        <v>no sadzīves atkritumu apglabāšanas pakalpojuma</v>
      </c>
      <c r="D14" s="618"/>
      <c r="E14" s="42">
        <v>0</v>
      </c>
      <c r="F14" s="618" t="s">
        <v>20</v>
      </c>
      <c r="G14" s="626">
        <f>('3.DL Naudas plūsma ar projektu'!E20-'2.DL Naudas plūsma bez projekta'!E20)*(1+$E14)</f>
        <v>2000</v>
      </c>
      <c r="H14" s="627">
        <f>('3.DL Naudas plūsma ar projektu'!F20-'2.DL Naudas plūsma bez projekta'!F20)*(1+$E14)</f>
        <v>-3000</v>
      </c>
      <c r="I14" s="627">
        <f>('3.DL Naudas plūsma ar projektu'!G20-'2.DL Naudas plūsma bez projekta'!G20)*(1+$E14)</f>
        <v>-2980</v>
      </c>
      <c r="J14" s="627">
        <f>('3.DL Naudas plūsma ar projektu'!H20-'2.DL Naudas plūsma bez projekta'!H20)*(1+$E14)</f>
        <v>-982</v>
      </c>
      <c r="K14" s="627">
        <f>('3.DL Naudas plūsma ar projektu'!I20-'2.DL Naudas plūsma bez projekta'!I20)*(1+$E14)</f>
        <v>-984</v>
      </c>
      <c r="L14" s="627">
        <f>('3.DL Naudas plūsma ar projektu'!J20-'2.DL Naudas plūsma bez projekta'!J20)*(1+$E14)</f>
        <v>-986</v>
      </c>
      <c r="M14" s="627">
        <f>('3.DL Naudas plūsma ar projektu'!K20-'2.DL Naudas plūsma bez projekta'!K20)*(1+$E14)</f>
        <v>-988</v>
      </c>
      <c r="N14" s="627">
        <f>('3.DL Naudas plūsma ar projektu'!L20-'2.DL Naudas plūsma bez projekta'!L20)*(1+$E14)</f>
        <v>-990</v>
      </c>
      <c r="O14" s="627">
        <f>('3.DL Naudas plūsma ar projektu'!M20-'2.DL Naudas plūsma bez projekta'!M20)*(1+$E14)</f>
        <v>-992</v>
      </c>
      <c r="P14" s="627">
        <f>('3.DL Naudas plūsma ar projektu'!N20-'2.DL Naudas plūsma bez projekta'!N20)*(1+$E14)</f>
        <v>-994</v>
      </c>
      <c r="Q14" s="627">
        <f>('3.DL Naudas plūsma ar projektu'!O20-'2.DL Naudas plūsma bez projekta'!O20)*(1+$E14)</f>
        <v>-996</v>
      </c>
      <c r="R14" s="627">
        <f>('3.DL Naudas plūsma ar projektu'!P20-'2.DL Naudas plūsma bez projekta'!P20)*(1+$E14)</f>
        <v>-998</v>
      </c>
      <c r="S14" s="627">
        <f>('3.DL Naudas plūsma ar projektu'!Q20-'2.DL Naudas plūsma bez projekta'!Q20)*(1+$E14)</f>
        <v>-1000</v>
      </c>
      <c r="T14" s="627">
        <f>('3.DL Naudas plūsma ar projektu'!R20-'2.DL Naudas plūsma bez projekta'!R20)*(1+$E14)</f>
        <v>-1000</v>
      </c>
      <c r="U14" s="627">
        <f>('3.DL Naudas plūsma ar projektu'!S20-'2.DL Naudas plūsma bez projekta'!S20)*(1+$E14)</f>
        <v>-1000</v>
      </c>
      <c r="V14" s="627">
        <f>('3.DL Naudas plūsma ar projektu'!T20-'2.DL Naudas plūsma bez projekta'!T20)*(1+$E14)</f>
        <v>-1000</v>
      </c>
      <c r="W14" s="627">
        <f>('3.DL Naudas plūsma ar projektu'!U20-'2.DL Naudas plūsma bez projekta'!U20)*(1+$E14)</f>
        <v>-1000</v>
      </c>
      <c r="X14" s="627">
        <f>('3.DL Naudas plūsma ar projektu'!V20-'2.DL Naudas plūsma bez projekta'!V20)*(1+$E14)</f>
        <v>-1000</v>
      </c>
      <c r="Y14" s="627">
        <f>('3.DL Naudas plūsma ar projektu'!W20-'2.DL Naudas plūsma bez projekta'!W20)*(1+$E14)</f>
        <v>-1000</v>
      </c>
      <c r="Z14" s="627">
        <f>('3.DL Naudas plūsma ar projektu'!X20-'2.DL Naudas plūsma bez projekta'!X20)*(1+$E14)</f>
        <v>-1000</v>
      </c>
      <c r="AA14" s="627">
        <f>('3.DL Naudas plūsma ar projektu'!Y20-'2.DL Naudas plūsma bez projekta'!Y20)*(1+$E14)</f>
        <v>-1000</v>
      </c>
      <c r="AB14" s="627">
        <f>('3.DL Naudas plūsma ar projektu'!Z20-'2.DL Naudas plūsma bez projekta'!Z20)*(1+$E14)</f>
        <v>-1000</v>
      </c>
      <c r="AC14" s="627">
        <f>('3.DL Naudas plūsma ar projektu'!AA20-'2.DL Naudas plūsma bez projekta'!AA20)*(1+$E14)</f>
        <v>-1000</v>
      </c>
      <c r="AD14" s="627">
        <f>('3.DL Naudas plūsma ar projektu'!AB20-'2.DL Naudas plūsma bez projekta'!AB20)*(1+$E14)</f>
        <v>-1000</v>
      </c>
      <c r="AE14" s="627">
        <f>('3.DL Naudas plūsma ar projektu'!AC20-'2.DL Naudas plūsma bez projekta'!AC20)*(1+$E14)</f>
        <v>-1000</v>
      </c>
      <c r="AF14" s="628">
        <f t="shared" si="3"/>
        <v>-25890</v>
      </c>
      <c r="AG14" s="514"/>
    </row>
    <row r="15" spans="1:58" s="521" customFormat="1" ht="12.75" x14ac:dyDescent="0.2">
      <c r="A15" s="617"/>
      <c r="B15" s="742" t="str">
        <f>'2.DL Naudas plūsma bez projekta'!A21</f>
        <v>1.7.</v>
      </c>
      <c r="C15" s="593" t="str">
        <f>'2.DL Naudas plūsma bez projekta'!B21</f>
        <v>no dalīti vāktajiem bioloģiski noārdāmajaiem atkritumiem</v>
      </c>
      <c r="D15" s="618"/>
      <c r="E15" s="42">
        <v>0</v>
      </c>
      <c r="F15" s="618" t="s">
        <v>20</v>
      </c>
      <c r="G15" s="626">
        <f>('3.DL Naudas plūsma ar projektu'!E21-'2.DL Naudas plūsma bez projekta'!E21)*(1+$E15)</f>
        <v>2000</v>
      </c>
      <c r="H15" s="627">
        <f>('3.DL Naudas plūsma ar projektu'!F21-'2.DL Naudas plūsma bez projekta'!F21)*(1+$E15)</f>
        <v>3000</v>
      </c>
      <c r="I15" s="627">
        <f>('3.DL Naudas plūsma ar projektu'!G21-'2.DL Naudas plūsma bez projekta'!G21)*(1+$E15)</f>
        <v>5000</v>
      </c>
      <c r="J15" s="627">
        <f>('3.DL Naudas plūsma ar projektu'!H21-'2.DL Naudas plūsma bez projekta'!H21)*(1+$E15)</f>
        <v>1000</v>
      </c>
      <c r="K15" s="627">
        <f>('3.DL Naudas plūsma ar projektu'!I21-'2.DL Naudas plūsma bez projekta'!I21)*(1+$E15)</f>
        <v>1000</v>
      </c>
      <c r="L15" s="627">
        <f>('3.DL Naudas plūsma ar projektu'!J21-'2.DL Naudas plūsma bez projekta'!J21)*(1+$E15)</f>
        <v>1000</v>
      </c>
      <c r="M15" s="627">
        <f>('3.DL Naudas plūsma ar projektu'!K21-'2.DL Naudas plūsma bez projekta'!K21)*(1+$E15)</f>
        <v>1000</v>
      </c>
      <c r="N15" s="627">
        <f>('3.DL Naudas plūsma ar projektu'!L21-'2.DL Naudas plūsma bez projekta'!L21)*(1+$E15)</f>
        <v>1000</v>
      </c>
      <c r="O15" s="627">
        <f>('3.DL Naudas plūsma ar projektu'!M21-'2.DL Naudas plūsma bez projekta'!M21)*(1+$E15)</f>
        <v>1000</v>
      </c>
      <c r="P15" s="627">
        <f>('3.DL Naudas plūsma ar projektu'!N21-'2.DL Naudas plūsma bez projekta'!N21)*(1+$E15)</f>
        <v>1000</v>
      </c>
      <c r="Q15" s="627">
        <f>('3.DL Naudas plūsma ar projektu'!O21-'2.DL Naudas plūsma bez projekta'!O21)*(1+$E15)</f>
        <v>1000</v>
      </c>
      <c r="R15" s="627">
        <f>('3.DL Naudas plūsma ar projektu'!P21-'2.DL Naudas plūsma bez projekta'!P21)*(1+$E15)</f>
        <v>1000</v>
      </c>
      <c r="S15" s="627">
        <f>('3.DL Naudas plūsma ar projektu'!Q21-'2.DL Naudas plūsma bez projekta'!Q21)*(1+$E15)</f>
        <v>1000</v>
      </c>
      <c r="T15" s="627">
        <f>('3.DL Naudas plūsma ar projektu'!R21-'2.DL Naudas plūsma bez projekta'!R21)*(1+$E15)</f>
        <v>1000</v>
      </c>
      <c r="U15" s="627">
        <f>('3.DL Naudas plūsma ar projektu'!S21-'2.DL Naudas plūsma bez projekta'!S21)*(1+$E15)</f>
        <v>1000</v>
      </c>
      <c r="V15" s="627">
        <f>('3.DL Naudas plūsma ar projektu'!T21-'2.DL Naudas plūsma bez projekta'!T21)*(1+$E15)</f>
        <v>1000</v>
      </c>
      <c r="W15" s="627">
        <f>('3.DL Naudas plūsma ar projektu'!U21-'2.DL Naudas plūsma bez projekta'!U21)*(1+$E15)</f>
        <v>1000</v>
      </c>
      <c r="X15" s="627">
        <f>('3.DL Naudas plūsma ar projektu'!V21-'2.DL Naudas plūsma bez projekta'!V21)*(1+$E15)</f>
        <v>1000</v>
      </c>
      <c r="Y15" s="627">
        <f>('3.DL Naudas plūsma ar projektu'!W21-'2.DL Naudas plūsma bez projekta'!W21)*(1+$E15)</f>
        <v>1000</v>
      </c>
      <c r="Z15" s="627">
        <f>('3.DL Naudas plūsma ar projektu'!X21-'2.DL Naudas plūsma bez projekta'!X21)*(1+$E15)</f>
        <v>1000</v>
      </c>
      <c r="AA15" s="627">
        <f>('3.DL Naudas plūsma ar projektu'!Y21-'2.DL Naudas plūsma bez projekta'!Y21)*(1+$E15)</f>
        <v>1000</v>
      </c>
      <c r="AB15" s="627">
        <f>('3.DL Naudas plūsma ar projektu'!Z21-'2.DL Naudas plūsma bez projekta'!Z21)*(1+$E15)</f>
        <v>1000</v>
      </c>
      <c r="AC15" s="627">
        <f>('3.DL Naudas plūsma ar projektu'!AA21-'2.DL Naudas plūsma bez projekta'!AA21)*(1+$E15)</f>
        <v>1000</v>
      </c>
      <c r="AD15" s="627">
        <f>('3.DL Naudas plūsma ar projektu'!AB21-'2.DL Naudas plūsma bez projekta'!AB21)*(1+$E15)</f>
        <v>1000</v>
      </c>
      <c r="AE15" s="627">
        <f>('3.DL Naudas plūsma ar projektu'!AC21-'2.DL Naudas plūsma bez projekta'!AC21)*(1+$E15)</f>
        <v>1000</v>
      </c>
      <c r="AF15" s="628">
        <f t="shared" si="3"/>
        <v>32000</v>
      </c>
      <c r="AG15" s="514"/>
    </row>
    <row r="16" spans="1:58" s="521" customFormat="1" ht="12.75" x14ac:dyDescent="0.2">
      <c r="A16" s="617"/>
      <c r="B16" s="742" t="str">
        <f>'2.DL Naudas plūsma bez projekta'!A22</f>
        <v>1.8.</v>
      </c>
      <c r="C16" s="593">
        <f>'2.DL Naudas plūsma bez projekta'!B22</f>
        <v>0</v>
      </c>
      <c r="D16" s="618"/>
      <c r="E16" s="42">
        <v>0</v>
      </c>
      <c r="F16" s="618" t="s">
        <v>20</v>
      </c>
      <c r="G16" s="626">
        <f>('3.DL Naudas plūsma ar projektu'!E22-'2.DL Naudas plūsma bez projekta'!E22)*(1+$E16)</f>
        <v>0</v>
      </c>
      <c r="H16" s="627">
        <f>('3.DL Naudas plūsma ar projektu'!F22-'2.DL Naudas plūsma bez projekta'!F22)*(1+$E16)</f>
        <v>0</v>
      </c>
      <c r="I16" s="627">
        <f>('3.DL Naudas plūsma ar projektu'!G22-'2.DL Naudas plūsma bez projekta'!G22)*(1+$E16)</f>
        <v>0</v>
      </c>
      <c r="J16" s="627">
        <f>('3.DL Naudas plūsma ar projektu'!H22-'2.DL Naudas plūsma bez projekta'!H22)*(1+$E16)</f>
        <v>0</v>
      </c>
      <c r="K16" s="627">
        <f>('3.DL Naudas plūsma ar projektu'!I22-'2.DL Naudas plūsma bez projekta'!I22)*(1+$E16)</f>
        <v>0</v>
      </c>
      <c r="L16" s="627">
        <f>('3.DL Naudas plūsma ar projektu'!J22-'2.DL Naudas plūsma bez projekta'!J22)*(1+$E16)</f>
        <v>0</v>
      </c>
      <c r="M16" s="627">
        <f>('3.DL Naudas plūsma ar projektu'!K22-'2.DL Naudas plūsma bez projekta'!K22)*(1+$E16)</f>
        <v>0</v>
      </c>
      <c r="N16" s="627">
        <f>('3.DL Naudas plūsma ar projektu'!L22-'2.DL Naudas plūsma bez projekta'!L22)*(1+$E16)</f>
        <v>0</v>
      </c>
      <c r="O16" s="627">
        <f>('3.DL Naudas plūsma ar projektu'!M22-'2.DL Naudas plūsma bez projekta'!M22)*(1+$E16)</f>
        <v>0</v>
      </c>
      <c r="P16" s="627">
        <f>('3.DL Naudas plūsma ar projektu'!N22-'2.DL Naudas plūsma bez projekta'!N22)*(1+$E16)</f>
        <v>0</v>
      </c>
      <c r="Q16" s="627">
        <f>('3.DL Naudas plūsma ar projektu'!O22-'2.DL Naudas plūsma bez projekta'!O22)*(1+$E16)</f>
        <v>0</v>
      </c>
      <c r="R16" s="627">
        <f>('3.DL Naudas plūsma ar projektu'!P22-'2.DL Naudas plūsma bez projekta'!P22)*(1+$E16)</f>
        <v>0</v>
      </c>
      <c r="S16" s="627">
        <f>('3.DL Naudas plūsma ar projektu'!Q22-'2.DL Naudas plūsma bez projekta'!Q22)*(1+$E16)</f>
        <v>0</v>
      </c>
      <c r="T16" s="627">
        <f>('3.DL Naudas plūsma ar projektu'!R22-'2.DL Naudas plūsma bez projekta'!R22)*(1+$E16)</f>
        <v>0</v>
      </c>
      <c r="U16" s="627">
        <f>('3.DL Naudas plūsma ar projektu'!S22-'2.DL Naudas plūsma bez projekta'!S22)*(1+$E16)</f>
        <v>0</v>
      </c>
      <c r="V16" s="627">
        <f>('3.DL Naudas plūsma ar projektu'!T22-'2.DL Naudas plūsma bez projekta'!T22)*(1+$E16)</f>
        <v>0</v>
      </c>
      <c r="W16" s="627">
        <f>('3.DL Naudas plūsma ar projektu'!U22-'2.DL Naudas plūsma bez projekta'!U22)*(1+$E16)</f>
        <v>0</v>
      </c>
      <c r="X16" s="627">
        <f>('3.DL Naudas plūsma ar projektu'!V22-'2.DL Naudas plūsma bez projekta'!V22)*(1+$E16)</f>
        <v>0</v>
      </c>
      <c r="Y16" s="627">
        <f>('3.DL Naudas plūsma ar projektu'!W22-'2.DL Naudas plūsma bez projekta'!W22)*(1+$E16)</f>
        <v>0</v>
      </c>
      <c r="Z16" s="627">
        <f>('3.DL Naudas plūsma ar projektu'!X22-'2.DL Naudas plūsma bez projekta'!X22)*(1+$E16)</f>
        <v>0</v>
      </c>
      <c r="AA16" s="627">
        <f>('3.DL Naudas plūsma ar projektu'!Y22-'2.DL Naudas plūsma bez projekta'!Y22)*(1+$E16)</f>
        <v>0</v>
      </c>
      <c r="AB16" s="627">
        <f>('3.DL Naudas plūsma ar projektu'!Z22-'2.DL Naudas plūsma bez projekta'!Z22)*(1+$E16)</f>
        <v>0</v>
      </c>
      <c r="AC16" s="627">
        <f>('3.DL Naudas plūsma ar projektu'!AA22-'2.DL Naudas plūsma bez projekta'!AA22)*(1+$E16)</f>
        <v>0</v>
      </c>
      <c r="AD16" s="627">
        <f>('3.DL Naudas plūsma ar projektu'!AB22-'2.DL Naudas plūsma bez projekta'!AB22)*(1+$E16)</f>
        <v>0</v>
      </c>
      <c r="AE16" s="627">
        <f>('3.DL Naudas plūsma ar projektu'!AC22-'2.DL Naudas plūsma bez projekta'!AC22)*(1+$E16)</f>
        <v>0</v>
      </c>
      <c r="AF16" s="628">
        <f t="shared" si="3"/>
        <v>0</v>
      </c>
      <c r="AG16" s="514"/>
    </row>
    <row r="17" spans="1:58" s="521" customFormat="1" ht="12.75" x14ac:dyDescent="0.2">
      <c r="A17" s="617"/>
      <c r="B17" s="742" t="str">
        <f>'2.DL Naudas plūsma bez projekta'!A23</f>
        <v>1.9.</v>
      </c>
      <c r="C17" s="593">
        <f>'2.DL Naudas plūsma bez projekta'!B23</f>
        <v>0</v>
      </c>
      <c r="D17" s="618"/>
      <c r="E17" s="42">
        <v>0</v>
      </c>
      <c r="F17" s="618" t="s">
        <v>20</v>
      </c>
      <c r="G17" s="626">
        <f>('3.DL Naudas plūsma ar projektu'!E23-'2.DL Naudas plūsma bez projekta'!E23)*(1+$E17)</f>
        <v>0</v>
      </c>
      <c r="H17" s="627">
        <f>('3.DL Naudas plūsma ar projektu'!F23-'2.DL Naudas plūsma bez projekta'!F23)*(1+$E17)</f>
        <v>0</v>
      </c>
      <c r="I17" s="627">
        <f>('3.DL Naudas plūsma ar projektu'!G23-'2.DL Naudas plūsma bez projekta'!G23)*(1+$E17)</f>
        <v>0</v>
      </c>
      <c r="J17" s="627">
        <f>('3.DL Naudas plūsma ar projektu'!H23-'2.DL Naudas plūsma bez projekta'!H23)*(1+$E17)</f>
        <v>0</v>
      </c>
      <c r="K17" s="627">
        <f>('3.DL Naudas plūsma ar projektu'!I23-'2.DL Naudas plūsma bez projekta'!I23)*(1+$E17)</f>
        <v>0</v>
      </c>
      <c r="L17" s="627">
        <f>('3.DL Naudas plūsma ar projektu'!J23-'2.DL Naudas plūsma bez projekta'!J23)*(1+$E17)</f>
        <v>0</v>
      </c>
      <c r="M17" s="627">
        <f>('3.DL Naudas plūsma ar projektu'!K23-'2.DL Naudas plūsma bez projekta'!K23)*(1+$E17)</f>
        <v>0</v>
      </c>
      <c r="N17" s="627">
        <f>('3.DL Naudas plūsma ar projektu'!L23-'2.DL Naudas plūsma bez projekta'!L23)*(1+$E17)</f>
        <v>0</v>
      </c>
      <c r="O17" s="627">
        <f>('3.DL Naudas plūsma ar projektu'!M23-'2.DL Naudas plūsma bez projekta'!M23)*(1+$E17)</f>
        <v>0</v>
      </c>
      <c r="P17" s="627">
        <f>('3.DL Naudas plūsma ar projektu'!N23-'2.DL Naudas plūsma bez projekta'!N23)*(1+$E17)</f>
        <v>0</v>
      </c>
      <c r="Q17" s="627">
        <f>('3.DL Naudas plūsma ar projektu'!O23-'2.DL Naudas plūsma bez projekta'!O23)*(1+$E17)</f>
        <v>0</v>
      </c>
      <c r="R17" s="627">
        <f>('3.DL Naudas plūsma ar projektu'!P23-'2.DL Naudas plūsma bez projekta'!P23)*(1+$E17)</f>
        <v>0</v>
      </c>
      <c r="S17" s="627">
        <f>('3.DL Naudas plūsma ar projektu'!Q23-'2.DL Naudas plūsma bez projekta'!Q23)*(1+$E17)</f>
        <v>0</v>
      </c>
      <c r="T17" s="627">
        <f>('3.DL Naudas plūsma ar projektu'!R23-'2.DL Naudas plūsma bez projekta'!R23)*(1+$E17)</f>
        <v>0</v>
      </c>
      <c r="U17" s="627">
        <f>('3.DL Naudas plūsma ar projektu'!S23-'2.DL Naudas plūsma bez projekta'!S23)*(1+$E17)</f>
        <v>0</v>
      </c>
      <c r="V17" s="627">
        <f>('3.DL Naudas plūsma ar projektu'!T23-'2.DL Naudas plūsma bez projekta'!T23)*(1+$E17)</f>
        <v>0</v>
      </c>
      <c r="W17" s="627">
        <f>('3.DL Naudas plūsma ar projektu'!U23-'2.DL Naudas plūsma bez projekta'!U23)*(1+$E17)</f>
        <v>0</v>
      </c>
      <c r="X17" s="627">
        <f>('3.DL Naudas plūsma ar projektu'!V23-'2.DL Naudas plūsma bez projekta'!V23)*(1+$E17)</f>
        <v>0</v>
      </c>
      <c r="Y17" s="627">
        <f>('3.DL Naudas plūsma ar projektu'!W23-'2.DL Naudas plūsma bez projekta'!W23)*(1+$E17)</f>
        <v>0</v>
      </c>
      <c r="Z17" s="627">
        <f>('3.DL Naudas plūsma ar projektu'!X23-'2.DL Naudas plūsma bez projekta'!X23)*(1+$E17)</f>
        <v>0</v>
      </c>
      <c r="AA17" s="627">
        <f>('3.DL Naudas plūsma ar projektu'!Y23-'2.DL Naudas plūsma bez projekta'!Y23)*(1+$E17)</f>
        <v>0</v>
      </c>
      <c r="AB17" s="627">
        <f>('3.DL Naudas plūsma ar projektu'!Z23-'2.DL Naudas plūsma bez projekta'!Z23)*(1+$E17)</f>
        <v>0</v>
      </c>
      <c r="AC17" s="627">
        <f>('3.DL Naudas plūsma ar projektu'!AA23-'2.DL Naudas plūsma bez projekta'!AA23)*(1+$E17)</f>
        <v>0</v>
      </c>
      <c r="AD17" s="627">
        <f>('3.DL Naudas plūsma ar projektu'!AB23-'2.DL Naudas plūsma bez projekta'!AB23)*(1+$E17)</f>
        <v>0</v>
      </c>
      <c r="AE17" s="627">
        <f>('3.DL Naudas plūsma ar projektu'!AC23-'2.DL Naudas plūsma bez projekta'!AC23)*(1+$E17)</f>
        <v>0</v>
      </c>
      <c r="AF17" s="628">
        <f t="shared" si="3"/>
        <v>0</v>
      </c>
      <c r="AG17" s="514"/>
    </row>
    <row r="18" spans="1:58" s="521" customFormat="1" ht="12.75" x14ac:dyDescent="0.2">
      <c r="A18" s="617"/>
      <c r="B18" s="742" t="str">
        <f>'2.DL Naudas plūsma bez projekta'!A24</f>
        <v>1.10.</v>
      </c>
      <c r="C18" s="593">
        <f>'2.DL Naudas plūsma bez projekta'!B24</f>
        <v>0</v>
      </c>
      <c r="D18" s="618"/>
      <c r="E18" s="42">
        <v>0</v>
      </c>
      <c r="F18" s="618" t="s">
        <v>20</v>
      </c>
      <c r="G18" s="626">
        <f>('3.DL Naudas plūsma ar projektu'!E24-'2.DL Naudas plūsma bez projekta'!E24)*(1+$E18)</f>
        <v>0</v>
      </c>
      <c r="H18" s="627">
        <f>('3.DL Naudas plūsma ar projektu'!F24-'2.DL Naudas plūsma bez projekta'!F24)*(1+$E18)</f>
        <v>0</v>
      </c>
      <c r="I18" s="627">
        <f>('3.DL Naudas plūsma ar projektu'!G24-'2.DL Naudas plūsma bez projekta'!G24)*(1+$E18)</f>
        <v>0</v>
      </c>
      <c r="J18" s="627">
        <f>('3.DL Naudas plūsma ar projektu'!H24-'2.DL Naudas plūsma bez projekta'!H24)*(1+$E18)</f>
        <v>0</v>
      </c>
      <c r="K18" s="627">
        <f>('3.DL Naudas plūsma ar projektu'!I24-'2.DL Naudas plūsma bez projekta'!I24)*(1+$E18)</f>
        <v>0</v>
      </c>
      <c r="L18" s="627">
        <f>('3.DL Naudas plūsma ar projektu'!J24-'2.DL Naudas plūsma bez projekta'!J24)*(1+$E18)</f>
        <v>0</v>
      </c>
      <c r="M18" s="627">
        <f>('3.DL Naudas plūsma ar projektu'!K24-'2.DL Naudas plūsma bez projekta'!K24)*(1+$E18)</f>
        <v>0</v>
      </c>
      <c r="N18" s="627">
        <f>('3.DL Naudas plūsma ar projektu'!L24-'2.DL Naudas plūsma bez projekta'!L24)*(1+$E18)</f>
        <v>0</v>
      </c>
      <c r="O18" s="627">
        <f>('3.DL Naudas plūsma ar projektu'!M24-'2.DL Naudas plūsma bez projekta'!M24)*(1+$E18)</f>
        <v>0</v>
      </c>
      <c r="P18" s="627">
        <f>('3.DL Naudas plūsma ar projektu'!N24-'2.DL Naudas plūsma bez projekta'!N24)*(1+$E18)</f>
        <v>0</v>
      </c>
      <c r="Q18" s="627">
        <f>('3.DL Naudas plūsma ar projektu'!O24-'2.DL Naudas plūsma bez projekta'!O24)*(1+$E18)</f>
        <v>0</v>
      </c>
      <c r="R18" s="627">
        <f>('3.DL Naudas plūsma ar projektu'!P24-'2.DL Naudas plūsma bez projekta'!P24)*(1+$E18)</f>
        <v>0</v>
      </c>
      <c r="S18" s="627">
        <f>('3.DL Naudas plūsma ar projektu'!Q24-'2.DL Naudas plūsma bez projekta'!Q24)*(1+$E18)</f>
        <v>0</v>
      </c>
      <c r="T18" s="627">
        <f>('3.DL Naudas plūsma ar projektu'!R24-'2.DL Naudas plūsma bez projekta'!R24)*(1+$E18)</f>
        <v>0</v>
      </c>
      <c r="U18" s="627">
        <f>('3.DL Naudas plūsma ar projektu'!S24-'2.DL Naudas plūsma bez projekta'!S24)*(1+$E18)</f>
        <v>0</v>
      </c>
      <c r="V18" s="627">
        <f>('3.DL Naudas plūsma ar projektu'!T24-'2.DL Naudas plūsma bez projekta'!T24)*(1+$E18)</f>
        <v>0</v>
      </c>
      <c r="W18" s="627">
        <f>('3.DL Naudas plūsma ar projektu'!U24-'2.DL Naudas plūsma bez projekta'!U24)*(1+$E18)</f>
        <v>0</v>
      </c>
      <c r="X18" s="627">
        <f>('3.DL Naudas plūsma ar projektu'!V24-'2.DL Naudas plūsma bez projekta'!V24)*(1+$E18)</f>
        <v>0</v>
      </c>
      <c r="Y18" s="627">
        <f>('3.DL Naudas plūsma ar projektu'!W24-'2.DL Naudas plūsma bez projekta'!W24)*(1+$E18)</f>
        <v>0</v>
      </c>
      <c r="Z18" s="627">
        <f>('3.DL Naudas plūsma ar projektu'!X24-'2.DL Naudas plūsma bez projekta'!X24)*(1+$E18)</f>
        <v>0</v>
      </c>
      <c r="AA18" s="627">
        <f>('3.DL Naudas plūsma ar projektu'!Y24-'2.DL Naudas plūsma bez projekta'!Y24)*(1+$E18)</f>
        <v>0</v>
      </c>
      <c r="AB18" s="627">
        <f>('3.DL Naudas plūsma ar projektu'!Z24-'2.DL Naudas plūsma bez projekta'!Z24)*(1+$E18)</f>
        <v>0</v>
      </c>
      <c r="AC18" s="627">
        <f>('3.DL Naudas plūsma ar projektu'!AA24-'2.DL Naudas plūsma bez projekta'!AA24)*(1+$E18)</f>
        <v>0</v>
      </c>
      <c r="AD18" s="627">
        <f>('3.DL Naudas plūsma ar projektu'!AB24-'2.DL Naudas plūsma bez projekta'!AB24)*(1+$E18)</f>
        <v>0</v>
      </c>
      <c r="AE18" s="627">
        <f>('3.DL Naudas plūsma ar projektu'!AC24-'2.DL Naudas plūsma bez projekta'!AC24)*(1+$E18)</f>
        <v>0</v>
      </c>
      <c r="AF18" s="628">
        <f t="shared" si="3"/>
        <v>0</v>
      </c>
      <c r="AG18" s="514"/>
    </row>
    <row r="19" spans="1:58" s="537" customFormat="1" ht="12.75" x14ac:dyDescent="0.2">
      <c r="A19" s="619" t="s">
        <v>29</v>
      </c>
      <c r="B19" s="620"/>
      <c r="C19" s="743" t="s">
        <v>108</v>
      </c>
      <c r="D19" s="620"/>
      <c r="E19" s="621"/>
      <c r="F19" s="622" t="s">
        <v>20</v>
      </c>
      <c r="G19" s="623">
        <f t="shared" ref="G19:AE19" si="4">SUM(G20:G22)</f>
        <v>0</v>
      </c>
      <c r="H19" s="624">
        <f t="shared" si="4"/>
        <v>0</v>
      </c>
      <c r="I19" s="624">
        <f t="shared" si="4"/>
        <v>0</v>
      </c>
      <c r="J19" s="624">
        <f t="shared" si="4"/>
        <v>0</v>
      </c>
      <c r="K19" s="624">
        <f t="shared" si="4"/>
        <v>0</v>
      </c>
      <c r="L19" s="624">
        <f t="shared" si="4"/>
        <v>0</v>
      </c>
      <c r="M19" s="624">
        <f t="shared" si="4"/>
        <v>0</v>
      </c>
      <c r="N19" s="624">
        <f t="shared" si="4"/>
        <v>0</v>
      </c>
      <c r="O19" s="624">
        <f t="shared" si="4"/>
        <v>0</v>
      </c>
      <c r="P19" s="624">
        <f t="shared" si="4"/>
        <v>0</v>
      </c>
      <c r="Q19" s="624">
        <f t="shared" si="4"/>
        <v>0</v>
      </c>
      <c r="R19" s="624">
        <f t="shared" si="4"/>
        <v>0</v>
      </c>
      <c r="S19" s="624">
        <f t="shared" si="4"/>
        <v>0</v>
      </c>
      <c r="T19" s="624">
        <f t="shared" si="4"/>
        <v>0</v>
      </c>
      <c r="U19" s="624">
        <f t="shared" si="4"/>
        <v>0</v>
      </c>
      <c r="V19" s="624">
        <f t="shared" si="4"/>
        <v>0</v>
      </c>
      <c r="W19" s="624">
        <f t="shared" si="4"/>
        <v>0</v>
      </c>
      <c r="X19" s="624">
        <f t="shared" si="4"/>
        <v>0</v>
      </c>
      <c r="Y19" s="624">
        <f t="shared" si="4"/>
        <v>0</v>
      </c>
      <c r="Z19" s="624">
        <f t="shared" si="4"/>
        <v>0</v>
      </c>
      <c r="AA19" s="624">
        <f t="shared" si="4"/>
        <v>0</v>
      </c>
      <c r="AB19" s="624">
        <f t="shared" si="4"/>
        <v>0</v>
      </c>
      <c r="AC19" s="624">
        <f t="shared" si="4"/>
        <v>0</v>
      </c>
      <c r="AD19" s="624">
        <f t="shared" si="4"/>
        <v>0</v>
      </c>
      <c r="AE19" s="624">
        <f t="shared" si="4"/>
        <v>0</v>
      </c>
      <c r="AF19" s="625">
        <f>SUM(G19:AE19)</f>
        <v>0</v>
      </c>
    </row>
    <row r="20" spans="1:58" s="521" customFormat="1" ht="12.75" x14ac:dyDescent="0.2">
      <c r="A20" s="617"/>
      <c r="B20" s="618" t="str">
        <f>'2.DL Naudas plūsma bez projekta'!A27</f>
        <v>2.1.</v>
      </c>
      <c r="C20" s="618" t="str">
        <f>'2.DL Naudas plūsma bez projekta'!B27</f>
        <v>Izdevumi, kas rodas saistībā ar sadzīves atkritumu apglabāšanas pakalpojumu sniegšanu</v>
      </c>
      <c r="D20" s="618"/>
      <c r="E20" s="42">
        <v>0.01</v>
      </c>
      <c r="F20" s="618" t="s">
        <v>20</v>
      </c>
      <c r="G20" s="626">
        <f>('3.DL Naudas plūsma ar projektu'!E27-'2.DL Naudas plūsma bez projekta'!E27)*(1+$E$20)</f>
        <v>0</v>
      </c>
      <c r="H20" s="627">
        <f>(('3.DL Naudas plūsma ar projektu'!F27-'2.DL Naudas plūsma bez projekta'!F27)*(1+$E$20))</f>
        <v>0</v>
      </c>
      <c r="I20" s="627">
        <f>(('3.DL Naudas plūsma ar projektu'!G27-'2.DL Naudas plūsma bez projekta'!G27)*(1+$E$20))</f>
        <v>0</v>
      </c>
      <c r="J20" s="627">
        <f>(('3.DL Naudas plūsma ar projektu'!H27-'2.DL Naudas plūsma bez projekta'!H27)*(1+$E$20))</f>
        <v>0</v>
      </c>
      <c r="K20" s="627">
        <f>(('3.DL Naudas plūsma ar projektu'!I27-'2.DL Naudas plūsma bez projekta'!I27)*(1+$E$20))</f>
        <v>0</v>
      </c>
      <c r="L20" s="627">
        <f>(('3.DL Naudas plūsma ar projektu'!J27-'2.DL Naudas plūsma bez projekta'!J27)*(1+$E$20))</f>
        <v>0</v>
      </c>
      <c r="M20" s="627">
        <f>(('3.DL Naudas plūsma ar projektu'!K27-'2.DL Naudas plūsma bez projekta'!K27)*(1+$E$20))</f>
        <v>0</v>
      </c>
      <c r="N20" s="627">
        <f>(('3.DL Naudas plūsma ar projektu'!L27-'2.DL Naudas plūsma bez projekta'!L27)*(1+$E$20))</f>
        <v>0</v>
      </c>
      <c r="O20" s="627">
        <f>(('3.DL Naudas plūsma ar projektu'!M27-'2.DL Naudas plūsma bez projekta'!M27)*(1+$E$20))</f>
        <v>0</v>
      </c>
      <c r="P20" s="627">
        <f>(('3.DL Naudas plūsma ar projektu'!N27-'2.DL Naudas plūsma bez projekta'!N27)*(1+$E$20))</f>
        <v>0</v>
      </c>
      <c r="Q20" s="627">
        <f>(('3.DL Naudas plūsma ar projektu'!O27-'2.DL Naudas plūsma bez projekta'!O27)*(1+$E$20))</f>
        <v>0</v>
      </c>
      <c r="R20" s="627">
        <f>(('3.DL Naudas plūsma ar projektu'!P27-'2.DL Naudas plūsma bez projekta'!P27)*(1+$E$20))</f>
        <v>0</v>
      </c>
      <c r="S20" s="627">
        <f>(('3.DL Naudas plūsma ar projektu'!Q27-'2.DL Naudas plūsma bez projekta'!Q27)*(1+$E$20))</f>
        <v>0</v>
      </c>
      <c r="T20" s="627">
        <f>(('3.DL Naudas plūsma ar projektu'!R27-'2.DL Naudas plūsma bez projekta'!R27)*(1+$E$20))</f>
        <v>0</v>
      </c>
      <c r="U20" s="627">
        <f>(('3.DL Naudas plūsma ar projektu'!S27-'2.DL Naudas plūsma bez projekta'!S27)*(1+$E$20))</f>
        <v>0</v>
      </c>
      <c r="V20" s="627">
        <f>(('3.DL Naudas plūsma ar projektu'!T27-'2.DL Naudas plūsma bez projekta'!T27)*(1+$E$20))</f>
        <v>0</v>
      </c>
      <c r="W20" s="627">
        <f>(('3.DL Naudas plūsma ar projektu'!U27-'2.DL Naudas plūsma bez projekta'!U27)*(1+$E$20))</f>
        <v>0</v>
      </c>
      <c r="X20" s="627">
        <f>(('3.DL Naudas plūsma ar projektu'!V27-'2.DL Naudas plūsma bez projekta'!V27)*(1+$E$20))</f>
        <v>0</v>
      </c>
      <c r="Y20" s="627">
        <f>(('3.DL Naudas plūsma ar projektu'!W27-'2.DL Naudas plūsma bez projekta'!W27)*(1+$E$20))</f>
        <v>0</v>
      </c>
      <c r="Z20" s="627">
        <f>(('3.DL Naudas plūsma ar projektu'!X27-'2.DL Naudas plūsma bez projekta'!X27)*(1+$E$20))</f>
        <v>0</v>
      </c>
      <c r="AA20" s="627">
        <f>(('3.DL Naudas plūsma ar projektu'!Y27-'2.DL Naudas plūsma bez projekta'!Y27)*(1+$E$20))</f>
        <v>0</v>
      </c>
      <c r="AB20" s="627">
        <f>(('3.DL Naudas plūsma ar projektu'!Z27-'2.DL Naudas plūsma bez projekta'!Z27)*(1+$E$20))</f>
        <v>0</v>
      </c>
      <c r="AC20" s="627">
        <f>(('3.DL Naudas plūsma ar projektu'!AA27-'2.DL Naudas plūsma bez projekta'!AA27)*(1+$E$20))</f>
        <v>0</v>
      </c>
      <c r="AD20" s="627">
        <f>(('3.DL Naudas plūsma ar projektu'!AB27-'2.DL Naudas plūsma bez projekta'!AB27)*(1+$E$20))</f>
        <v>0</v>
      </c>
      <c r="AE20" s="627">
        <f>(('3.DL Naudas plūsma ar projektu'!AC27-'2.DL Naudas plūsma bez projekta'!AC27)*(1+$E$20))</f>
        <v>0</v>
      </c>
      <c r="AF20" s="628">
        <f>SUM(G20:AE20)</f>
        <v>0</v>
      </c>
      <c r="AG20" s="514"/>
    </row>
    <row r="21" spans="1:58" s="521" customFormat="1" ht="12.75" x14ac:dyDescent="0.2">
      <c r="A21" s="617"/>
      <c r="B21" s="618" t="str">
        <f>'2.DL Naudas plūsma bez projekta'!A46</f>
        <v>2.2.</v>
      </c>
      <c r="C21" s="618" t="str">
        <f>'2.DL Naudas plūsma bez projekta'!B46</f>
        <v>Reģenerējamo sadzīves atkritumu sagatavošanas tirdzniecībai izmaksas</v>
      </c>
      <c r="D21" s="618"/>
      <c r="E21" s="42">
        <v>0</v>
      </c>
      <c r="F21" s="618" t="s">
        <v>20</v>
      </c>
      <c r="G21" s="626">
        <f>('3.DL Naudas plūsma ar projektu'!E46-'2.DL Naudas plūsma bez projekta'!E46)*(1+$E21)</f>
        <v>0</v>
      </c>
      <c r="H21" s="627">
        <f>('3.DL Naudas plūsma ar projektu'!F46-'2.DL Naudas plūsma bez projekta'!F46)*(1+$E21)</f>
        <v>0</v>
      </c>
      <c r="I21" s="627">
        <f>('3.DL Naudas plūsma ar projektu'!G46-'2.DL Naudas plūsma bez projekta'!G46)*(1+$E21)</f>
        <v>0</v>
      </c>
      <c r="J21" s="627">
        <f>('3.DL Naudas plūsma ar projektu'!H46-'2.DL Naudas plūsma bez projekta'!H46)*(1+$E21)</f>
        <v>0</v>
      </c>
      <c r="K21" s="627">
        <f>('3.DL Naudas plūsma ar projektu'!I46-'2.DL Naudas plūsma bez projekta'!I46)*(1+$E21)</f>
        <v>0</v>
      </c>
      <c r="L21" s="627">
        <f>('3.DL Naudas plūsma ar projektu'!J46-'2.DL Naudas plūsma bez projekta'!J46)*(1+$E21)</f>
        <v>0</v>
      </c>
      <c r="M21" s="627">
        <f>('3.DL Naudas plūsma ar projektu'!K46-'2.DL Naudas plūsma bez projekta'!K46)*(1+$E21)</f>
        <v>0</v>
      </c>
      <c r="N21" s="627">
        <f>('3.DL Naudas plūsma ar projektu'!L46-'2.DL Naudas plūsma bez projekta'!L46)*(1+$E21)</f>
        <v>0</v>
      </c>
      <c r="O21" s="627">
        <f>('3.DL Naudas plūsma ar projektu'!M46-'2.DL Naudas plūsma bez projekta'!M46)*(1+$E21)</f>
        <v>0</v>
      </c>
      <c r="P21" s="627">
        <f>('3.DL Naudas plūsma ar projektu'!N46-'2.DL Naudas plūsma bez projekta'!N46)*(1+$E21)</f>
        <v>0</v>
      </c>
      <c r="Q21" s="627">
        <f>('3.DL Naudas plūsma ar projektu'!O46-'2.DL Naudas plūsma bez projekta'!O46)*(1+$E21)</f>
        <v>0</v>
      </c>
      <c r="R21" s="627">
        <f>('3.DL Naudas plūsma ar projektu'!P46-'2.DL Naudas plūsma bez projekta'!P46)*(1+$E21)</f>
        <v>0</v>
      </c>
      <c r="S21" s="627">
        <f>('3.DL Naudas plūsma ar projektu'!Q46-'2.DL Naudas plūsma bez projekta'!Q46)*(1+$E21)</f>
        <v>0</v>
      </c>
      <c r="T21" s="627">
        <f>('3.DL Naudas plūsma ar projektu'!R46-'2.DL Naudas plūsma bez projekta'!R46)*(1+$E21)</f>
        <v>0</v>
      </c>
      <c r="U21" s="627">
        <f>('3.DL Naudas plūsma ar projektu'!S46-'2.DL Naudas plūsma bez projekta'!S46)*(1+$E21)</f>
        <v>0</v>
      </c>
      <c r="V21" s="627">
        <f>('3.DL Naudas plūsma ar projektu'!T46-'2.DL Naudas plūsma bez projekta'!T46)*(1+$E21)</f>
        <v>0</v>
      </c>
      <c r="W21" s="627">
        <f>('3.DL Naudas plūsma ar projektu'!U46-'2.DL Naudas plūsma bez projekta'!U46)*(1+$E21)</f>
        <v>0</v>
      </c>
      <c r="X21" s="627">
        <f>('3.DL Naudas plūsma ar projektu'!V46-'2.DL Naudas plūsma bez projekta'!V46)*(1+$E21)</f>
        <v>0</v>
      </c>
      <c r="Y21" s="627">
        <f>('3.DL Naudas plūsma ar projektu'!W46-'2.DL Naudas plūsma bez projekta'!W46)*(1+$E21)</f>
        <v>0</v>
      </c>
      <c r="Z21" s="627">
        <f>('3.DL Naudas plūsma ar projektu'!X46-'2.DL Naudas plūsma bez projekta'!X46)*(1+$E21)</f>
        <v>0</v>
      </c>
      <c r="AA21" s="627">
        <f>('3.DL Naudas plūsma ar projektu'!Y46-'2.DL Naudas plūsma bez projekta'!Y46)*(1+$E21)</f>
        <v>0</v>
      </c>
      <c r="AB21" s="627">
        <f>('3.DL Naudas plūsma ar projektu'!Z46-'2.DL Naudas plūsma bez projekta'!Z46)*(1+$E21)</f>
        <v>0</v>
      </c>
      <c r="AC21" s="627">
        <f>('3.DL Naudas plūsma ar projektu'!AA46-'2.DL Naudas plūsma bez projekta'!AA46)*(1+$E21)</f>
        <v>0</v>
      </c>
      <c r="AD21" s="627">
        <f>('3.DL Naudas plūsma ar projektu'!AB46-'2.DL Naudas plūsma bez projekta'!AB46)*(1+$E21)</f>
        <v>0</v>
      </c>
      <c r="AE21" s="627">
        <f>('3.DL Naudas plūsma ar projektu'!AC46-'2.DL Naudas plūsma bez projekta'!AC46)*(1+$E21)</f>
        <v>0</v>
      </c>
      <c r="AF21" s="628">
        <f t="shared" ref="AF21:AF27" si="5">SUM(G21:AE21)</f>
        <v>0</v>
      </c>
      <c r="AG21" s="514"/>
    </row>
    <row r="22" spans="1:58" s="521" customFormat="1" ht="12.75" x14ac:dyDescent="0.2">
      <c r="A22" s="617"/>
      <c r="B22" s="618" t="str">
        <f>'2.DL Naudas plūsma bez projekta'!A47</f>
        <v>2.3.</v>
      </c>
      <c r="C22" s="618" t="str">
        <f>'2.DL Naudas plūsma bez projekta'!B47</f>
        <v>Pārējās saimnieciskās darbības izmaksas, kas nav saistītas ar sadzīves atkritumu apglabāšanas pakalpojumu sniegšanu</v>
      </c>
      <c r="D22" s="618"/>
      <c r="E22" s="42">
        <v>0</v>
      </c>
      <c r="F22" s="618" t="s">
        <v>20</v>
      </c>
      <c r="G22" s="626">
        <f>('3.DL Naudas plūsma ar projektu'!E47-'2.DL Naudas plūsma bez projekta'!E47)*(1+$E22)</f>
        <v>0</v>
      </c>
      <c r="H22" s="627">
        <f>('3.DL Naudas plūsma ar projektu'!F47-'2.DL Naudas plūsma bez projekta'!F47)*(1+$E22)</f>
        <v>0</v>
      </c>
      <c r="I22" s="627">
        <f>('3.DL Naudas plūsma ar projektu'!G47-'2.DL Naudas plūsma bez projekta'!G47)*(1+$E22)</f>
        <v>0</v>
      </c>
      <c r="J22" s="627">
        <f>('3.DL Naudas plūsma ar projektu'!H47-'2.DL Naudas plūsma bez projekta'!H47)*(1+$E22)</f>
        <v>0</v>
      </c>
      <c r="K22" s="627">
        <f>('3.DL Naudas plūsma ar projektu'!I47-'2.DL Naudas plūsma bez projekta'!I47)*(1+$E22)</f>
        <v>0</v>
      </c>
      <c r="L22" s="627">
        <f>('3.DL Naudas plūsma ar projektu'!J47-'2.DL Naudas plūsma bez projekta'!J47)*(1+$E22)</f>
        <v>0</v>
      </c>
      <c r="M22" s="627">
        <f>('3.DL Naudas plūsma ar projektu'!K47-'2.DL Naudas plūsma bez projekta'!K47)*(1+$E22)</f>
        <v>0</v>
      </c>
      <c r="N22" s="627">
        <f>('3.DL Naudas plūsma ar projektu'!L47-'2.DL Naudas plūsma bez projekta'!L47)*(1+$E22)</f>
        <v>0</v>
      </c>
      <c r="O22" s="627">
        <f>('3.DL Naudas plūsma ar projektu'!M47-'2.DL Naudas plūsma bez projekta'!M47)*(1+$E22)</f>
        <v>0</v>
      </c>
      <c r="P22" s="627">
        <f>('3.DL Naudas plūsma ar projektu'!N47-'2.DL Naudas plūsma bez projekta'!N47)*(1+$E22)</f>
        <v>0</v>
      </c>
      <c r="Q22" s="627">
        <f>('3.DL Naudas plūsma ar projektu'!O47-'2.DL Naudas plūsma bez projekta'!O47)*(1+$E22)</f>
        <v>0</v>
      </c>
      <c r="R22" s="627">
        <f>('3.DL Naudas plūsma ar projektu'!P47-'2.DL Naudas plūsma bez projekta'!P47)*(1+$E22)</f>
        <v>0</v>
      </c>
      <c r="S22" s="627">
        <f>('3.DL Naudas plūsma ar projektu'!Q47-'2.DL Naudas plūsma bez projekta'!Q47)*(1+$E22)</f>
        <v>0</v>
      </c>
      <c r="T22" s="627">
        <f>('3.DL Naudas plūsma ar projektu'!R47-'2.DL Naudas plūsma bez projekta'!R47)*(1+$E22)</f>
        <v>0</v>
      </c>
      <c r="U22" s="627">
        <f>('3.DL Naudas plūsma ar projektu'!S47-'2.DL Naudas plūsma bez projekta'!S47)*(1+$E22)</f>
        <v>0</v>
      </c>
      <c r="V22" s="627">
        <f>('3.DL Naudas plūsma ar projektu'!T47-'2.DL Naudas plūsma bez projekta'!T47)*(1+$E22)</f>
        <v>0</v>
      </c>
      <c r="W22" s="627">
        <f>('3.DL Naudas plūsma ar projektu'!U47-'2.DL Naudas plūsma bez projekta'!U47)*(1+$E22)</f>
        <v>0</v>
      </c>
      <c r="X22" s="627">
        <f>('3.DL Naudas plūsma ar projektu'!V47-'2.DL Naudas plūsma bez projekta'!V47)*(1+$E22)</f>
        <v>0</v>
      </c>
      <c r="Y22" s="627">
        <f>('3.DL Naudas plūsma ar projektu'!W47-'2.DL Naudas plūsma bez projekta'!W47)*(1+$E22)</f>
        <v>0</v>
      </c>
      <c r="Z22" s="627">
        <f>('3.DL Naudas plūsma ar projektu'!X47-'2.DL Naudas plūsma bez projekta'!X47)*(1+$E22)</f>
        <v>0</v>
      </c>
      <c r="AA22" s="627">
        <f>('3.DL Naudas plūsma ar projektu'!Y47-'2.DL Naudas plūsma bez projekta'!Y47)*(1+$E22)</f>
        <v>0</v>
      </c>
      <c r="AB22" s="627">
        <f>('3.DL Naudas plūsma ar projektu'!Z47-'2.DL Naudas plūsma bez projekta'!Z47)*(1+$E22)</f>
        <v>0</v>
      </c>
      <c r="AC22" s="627">
        <f>('3.DL Naudas plūsma ar projektu'!AA47-'2.DL Naudas plūsma bez projekta'!AA47)*(1+$E22)</f>
        <v>0</v>
      </c>
      <c r="AD22" s="627">
        <f>('3.DL Naudas plūsma ar projektu'!AB47-'2.DL Naudas plūsma bez projekta'!AB47)*(1+$E22)</f>
        <v>0</v>
      </c>
      <c r="AE22" s="627">
        <f>('3.DL Naudas plūsma ar projektu'!AC47-'2.DL Naudas plūsma bez projekta'!AC47)*(1+$E22)</f>
        <v>0</v>
      </c>
      <c r="AF22" s="628">
        <f t="shared" si="5"/>
        <v>0</v>
      </c>
      <c r="AG22" s="514"/>
    </row>
    <row r="23" spans="1:58" s="537" customFormat="1" ht="12.75" x14ac:dyDescent="0.2">
      <c r="A23" s="619" t="str">
        <f>'3.DL Naudas plūsma ar projektu'!A55</f>
        <v>3.</v>
      </c>
      <c r="B23" s="620"/>
      <c r="C23" s="620" t="str">
        <f>'3.DL Naudas plūsma ar projektu'!B55</f>
        <v>Projekta investīcijas bez PVN:</v>
      </c>
      <c r="D23" s="620"/>
      <c r="E23" s="620"/>
      <c r="F23" s="622" t="s">
        <v>20</v>
      </c>
      <c r="G23" s="623">
        <f>SUM(G24:G25)</f>
        <v>99500</v>
      </c>
      <c r="H23" s="624">
        <f t="shared" ref="H23:AE23" si="6">SUM(H24:H25)</f>
        <v>83500</v>
      </c>
      <c r="I23" s="624">
        <f t="shared" si="6"/>
        <v>25000</v>
      </c>
      <c r="J23" s="624">
        <f t="shared" si="6"/>
        <v>0</v>
      </c>
      <c r="K23" s="624">
        <f t="shared" si="6"/>
        <v>0</v>
      </c>
      <c r="L23" s="624">
        <f t="shared" si="6"/>
        <v>0</v>
      </c>
      <c r="M23" s="624">
        <f t="shared" si="6"/>
        <v>0</v>
      </c>
      <c r="N23" s="624">
        <f t="shared" si="6"/>
        <v>0</v>
      </c>
      <c r="O23" s="624">
        <f t="shared" si="6"/>
        <v>0</v>
      </c>
      <c r="P23" s="624">
        <f t="shared" si="6"/>
        <v>0</v>
      </c>
      <c r="Q23" s="624">
        <f t="shared" si="6"/>
        <v>0</v>
      </c>
      <c r="R23" s="624">
        <f t="shared" si="6"/>
        <v>0</v>
      </c>
      <c r="S23" s="624">
        <f t="shared" si="6"/>
        <v>0</v>
      </c>
      <c r="T23" s="624">
        <f t="shared" si="6"/>
        <v>0</v>
      </c>
      <c r="U23" s="624">
        <f t="shared" si="6"/>
        <v>0</v>
      </c>
      <c r="V23" s="624">
        <f t="shared" si="6"/>
        <v>0</v>
      </c>
      <c r="W23" s="624">
        <f t="shared" si="6"/>
        <v>0</v>
      </c>
      <c r="X23" s="624">
        <f t="shared" si="6"/>
        <v>0</v>
      </c>
      <c r="Y23" s="624">
        <f t="shared" si="6"/>
        <v>0</v>
      </c>
      <c r="Z23" s="624">
        <f t="shared" si="6"/>
        <v>0</v>
      </c>
      <c r="AA23" s="624">
        <f t="shared" si="6"/>
        <v>0</v>
      </c>
      <c r="AB23" s="624">
        <f t="shared" si="6"/>
        <v>0</v>
      </c>
      <c r="AC23" s="624">
        <f t="shared" si="6"/>
        <v>0</v>
      </c>
      <c r="AD23" s="624">
        <f t="shared" si="6"/>
        <v>0</v>
      </c>
      <c r="AE23" s="624">
        <f t="shared" si="6"/>
        <v>0</v>
      </c>
      <c r="AF23" s="625">
        <f t="shared" si="5"/>
        <v>208000</v>
      </c>
    </row>
    <row r="24" spans="1:58" s="521" customFormat="1" ht="12.75" x14ac:dyDescent="0.2">
      <c r="A24" s="617"/>
      <c r="B24" s="618" t="str">
        <f>'3.DL Naudas plūsma ar projektu'!A56</f>
        <v>3.1.</v>
      </c>
      <c r="C24" s="618" t="str">
        <f>'3.DL Naudas plūsma ar projektu'!B56</f>
        <v>Investīciju izmaksas bez neparedzētajām izmaksām</v>
      </c>
      <c r="D24" s="618"/>
      <c r="E24" s="42">
        <v>0</v>
      </c>
      <c r="F24" s="622" t="s">
        <v>20</v>
      </c>
      <c r="G24" s="626">
        <f>'3.DL Naudas plūsma ar projektu'!E56*(1+$E24)</f>
        <v>97000</v>
      </c>
      <c r="H24" s="627">
        <f>'3.DL Naudas plūsma ar projektu'!F56*(1+$E24)</f>
        <v>81000</v>
      </c>
      <c r="I24" s="627">
        <f>'3.DL Naudas plūsma ar projektu'!G56*(1+$E24)</f>
        <v>25000</v>
      </c>
      <c r="J24" s="627">
        <f>'3.DL Naudas plūsma ar projektu'!H56*(1+$E24)</f>
        <v>0</v>
      </c>
      <c r="K24" s="627">
        <f>'3.DL Naudas plūsma ar projektu'!I56*(1+$E24)</f>
        <v>0</v>
      </c>
      <c r="L24" s="627">
        <f>'3.DL Naudas plūsma ar projektu'!J56*(1+$E24)</f>
        <v>0</v>
      </c>
      <c r="M24" s="627">
        <f>'3.DL Naudas plūsma ar projektu'!K56*(1+$E24)</f>
        <v>0</v>
      </c>
      <c r="N24" s="627">
        <f>'3.DL Naudas plūsma ar projektu'!L56*(1+$E24)</f>
        <v>0</v>
      </c>
      <c r="O24" s="627">
        <f>'3.DL Naudas plūsma ar projektu'!M56*(1+$E24)</f>
        <v>0</v>
      </c>
      <c r="P24" s="627">
        <f>'3.DL Naudas plūsma ar projektu'!N56*(1+$E24)</f>
        <v>0</v>
      </c>
      <c r="Q24" s="627">
        <f>'3.DL Naudas plūsma ar projektu'!O56*(1+$E24)</f>
        <v>0</v>
      </c>
      <c r="R24" s="627">
        <f>'3.DL Naudas plūsma ar projektu'!P56*(1+$E24)</f>
        <v>0</v>
      </c>
      <c r="S24" s="627">
        <f>'3.DL Naudas plūsma ar projektu'!Q56*(1+$E24)</f>
        <v>0</v>
      </c>
      <c r="T24" s="627">
        <f>'3.DL Naudas plūsma ar projektu'!R56*(1+$E24)</f>
        <v>0</v>
      </c>
      <c r="U24" s="627">
        <f>'3.DL Naudas plūsma ar projektu'!S56*(1+$E24)</f>
        <v>0</v>
      </c>
      <c r="V24" s="627">
        <f>'3.DL Naudas plūsma ar projektu'!T56*(1+$E24)</f>
        <v>0</v>
      </c>
      <c r="W24" s="627">
        <f>'3.DL Naudas plūsma ar projektu'!U56*(1+$E24)</f>
        <v>0</v>
      </c>
      <c r="X24" s="627">
        <f>'3.DL Naudas plūsma ar projektu'!V56*(1+$E24)</f>
        <v>0</v>
      </c>
      <c r="Y24" s="627">
        <f>'3.DL Naudas plūsma ar projektu'!W56*(1+$E24)</f>
        <v>0</v>
      </c>
      <c r="Z24" s="627">
        <f>'3.DL Naudas plūsma ar projektu'!X56*(1+$E24)</f>
        <v>0</v>
      </c>
      <c r="AA24" s="627">
        <f>'3.DL Naudas plūsma ar projektu'!Y56*(1+$E24)</f>
        <v>0</v>
      </c>
      <c r="AB24" s="627">
        <f>'3.DL Naudas plūsma ar projektu'!Z56*(1+$E24)</f>
        <v>0</v>
      </c>
      <c r="AC24" s="627">
        <f>'3.DL Naudas plūsma ar projektu'!AA56*(1+$E24)</f>
        <v>0</v>
      </c>
      <c r="AD24" s="627">
        <f>'3.DL Naudas plūsma ar projektu'!AB56*(1+$E24)</f>
        <v>0</v>
      </c>
      <c r="AE24" s="627">
        <f>'3.DL Naudas plūsma ar projektu'!AC56*(1+$E24)</f>
        <v>0</v>
      </c>
      <c r="AF24" s="628">
        <f t="shared" si="5"/>
        <v>203000</v>
      </c>
      <c r="AG24" s="514"/>
    </row>
    <row r="25" spans="1:58" s="514" customFormat="1" ht="12.75" x14ac:dyDescent="0.2">
      <c r="A25" s="617"/>
      <c r="B25" s="618" t="str">
        <f>'3.DL Naudas plūsma ar projektu'!A58</f>
        <v>3.2.</v>
      </c>
      <c r="C25" s="618" t="str">
        <f>'3.DL Naudas plūsma ar projektu'!B58</f>
        <v xml:space="preserve">Neparedzētās izmaksas </v>
      </c>
      <c r="D25" s="618"/>
      <c r="E25" s="618"/>
      <c r="F25" s="622" t="s">
        <v>20</v>
      </c>
      <c r="G25" s="626">
        <f>'3.DL Naudas plūsma ar projektu'!E58*(1+$E$25)</f>
        <v>2500</v>
      </c>
      <c r="H25" s="627">
        <f>'3.DL Naudas plūsma ar projektu'!F58</f>
        <v>2500</v>
      </c>
      <c r="I25" s="627">
        <f>'3.DL Naudas plūsma ar projektu'!G58</f>
        <v>0</v>
      </c>
      <c r="J25" s="627">
        <f>'3.DL Naudas plūsma ar projektu'!H58</f>
        <v>0</v>
      </c>
      <c r="K25" s="627">
        <f>'3.DL Naudas plūsma ar projektu'!I58</f>
        <v>0</v>
      </c>
      <c r="L25" s="627">
        <f>'3.DL Naudas plūsma ar projektu'!J58</f>
        <v>0</v>
      </c>
      <c r="M25" s="627">
        <f>'3.DL Naudas plūsma ar projektu'!K58</f>
        <v>0</v>
      </c>
      <c r="N25" s="627">
        <f>'3.DL Naudas plūsma ar projektu'!L58</f>
        <v>0</v>
      </c>
      <c r="O25" s="627">
        <f>'3.DL Naudas plūsma ar projektu'!M58</f>
        <v>0</v>
      </c>
      <c r="P25" s="627">
        <f>'3.DL Naudas plūsma ar projektu'!N58</f>
        <v>0</v>
      </c>
      <c r="Q25" s="627">
        <f>'3.DL Naudas plūsma ar projektu'!O58</f>
        <v>0</v>
      </c>
      <c r="R25" s="627">
        <f>'3.DL Naudas plūsma ar projektu'!P58</f>
        <v>0</v>
      </c>
      <c r="S25" s="627">
        <f>'3.DL Naudas plūsma ar projektu'!Q58</f>
        <v>0</v>
      </c>
      <c r="T25" s="627">
        <f>'3.DL Naudas plūsma ar projektu'!R58</f>
        <v>0</v>
      </c>
      <c r="U25" s="627">
        <f>'3.DL Naudas plūsma ar projektu'!S58</f>
        <v>0</v>
      </c>
      <c r="V25" s="627">
        <f>'3.DL Naudas plūsma ar projektu'!T58</f>
        <v>0</v>
      </c>
      <c r="W25" s="627">
        <f>'3.DL Naudas plūsma ar projektu'!U58</f>
        <v>0</v>
      </c>
      <c r="X25" s="627">
        <f>'3.DL Naudas plūsma ar projektu'!V58</f>
        <v>0</v>
      </c>
      <c r="Y25" s="627">
        <f>'3.DL Naudas plūsma ar projektu'!W58</f>
        <v>0</v>
      </c>
      <c r="Z25" s="627">
        <f>'3.DL Naudas plūsma ar projektu'!X58</f>
        <v>0</v>
      </c>
      <c r="AA25" s="627">
        <f>'3.DL Naudas plūsma ar projektu'!Y58</f>
        <v>0</v>
      </c>
      <c r="AB25" s="627">
        <f>'3.DL Naudas plūsma ar projektu'!Z58</f>
        <v>0</v>
      </c>
      <c r="AC25" s="627">
        <f>'3.DL Naudas plūsma ar projektu'!AA58</f>
        <v>0</v>
      </c>
      <c r="AD25" s="627">
        <f>'3.DL Naudas plūsma ar projektu'!AB58</f>
        <v>0</v>
      </c>
      <c r="AE25" s="627">
        <f>'3.DL Naudas plūsma ar projektu'!AC58</f>
        <v>0</v>
      </c>
      <c r="AF25" s="628">
        <f t="shared" si="5"/>
        <v>5000</v>
      </c>
    </row>
    <row r="26" spans="1:58" s="528" customFormat="1" ht="12.75" x14ac:dyDescent="0.2">
      <c r="A26" s="619" t="str">
        <f>'3.DL Naudas plūsma ar projektu'!A60</f>
        <v>4.</v>
      </c>
      <c r="B26" s="620"/>
      <c r="C26" s="620" t="str">
        <f>'3.DL Naudas plūsma ar projektu'!B60</f>
        <v>Projekta atlikusī vērtība (+)</v>
      </c>
      <c r="D26" s="620"/>
      <c r="E26" s="43">
        <v>0</v>
      </c>
      <c r="F26" s="622" t="s">
        <v>20</v>
      </c>
      <c r="G26" s="623">
        <f>'3.DL Naudas plūsma ar projektu'!E60</f>
        <v>0</v>
      </c>
      <c r="H26" s="624">
        <f>'3.DL Naudas plūsma ar projektu'!F60*(1+$E26)</f>
        <v>0</v>
      </c>
      <c r="I26" s="624">
        <f>'3.DL Naudas plūsma ar projektu'!G60*(1+$E26)</f>
        <v>0</v>
      </c>
      <c r="J26" s="624">
        <f>'3.DL Naudas plūsma ar projektu'!H60*(1+$E26)</f>
        <v>0</v>
      </c>
      <c r="K26" s="624">
        <f>'3.DL Naudas plūsma ar projektu'!I60*(1+$E26)</f>
        <v>0</v>
      </c>
      <c r="L26" s="624">
        <f>'3.DL Naudas plūsma ar projektu'!J60*(1+$E26)</f>
        <v>0</v>
      </c>
      <c r="M26" s="624">
        <f>'3.DL Naudas plūsma ar projektu'!K60*(1+$E26)</f>
        <v>0</v>
      </c>
      <c r="N26" s="624">
        <f>'3.DL Naudas plūsma ar projektu'!L60*(1+$E26)</f>
        <v>0</v>
      </c>
      <c r="O26" s="624">
        <f>'3.DL Naudas plūsma ar projektu'!M60*(1+$E26)</f>
        <v>0</v>
      </c>
      <c r="P26" s="624">
        <f>'3.DL Naudas plūsma ar projektu'!N60*(1+$E26)</f>
        <v>0</v>
      </c>
      <c r="Q26" s="624">
        <f>'3.DL Naudas plūsma ar projektu'!O60*(1+$E26)</f>
        <v>0</v>
      </c>
      <c r="R26" s="624">
        <f>'3.DL Naudas plūsma ar projektu'!P60*(1+$E26)</f>
        <v>0</v>
      </c>
      <c r="S26" s="624">
        <f>'3.DL Naudas plūsma ar projektu'!Q60*(1+$E26)</f>
        <v>0</v>
      </c>
      <c r="T26" s="624">
        <f>'3.DL Naudas plūsma ar projektu'!R60*(1+$E26)</f>
        <v>0</v>
      </c>
      <c r="U26" s="624">
        <f>'3.DL Naudas plūsma ar projektu'!S60*(1+$E26)</f>
        <v>0</v>
      </c>
      <c r="V26" s="624">
        <f>'3.DL Naudas plūsma ar projektu'!T60*(1+$E26)</f>
        <v>0</v>
      </c>
      <c r="W26" s="624">
        <f>'3.DL Naudas plūsma ar projektu'!U60*(1+$E26)</f>
        <v>0</v>
      </c>
      <c r="X26" s="624">
        <f>'3.DL Naudas plūsma ar projektu'!V60*(1+$E26)</f>
        <v>0</v>
      </c>
      <c r="Y26" s="624">
        <f>'3.DL Naudas plūsma ar projektu'!W60*(1+$E26)</f>
        <v>0</v>
      </c>
      <c r="Z26" s="624">
        <f>'3.DL Naudas plūsma ar projektu'!X60*(1+$E26)</f>
        <v>0</v>
      </c>
      <c r="AA26" s="624">
        <f>'3.DL Naudas plūsma ar projektu'!Y60*(1+$E26)</f>
        <v>0</v>
      </c>
      <c r="AB26" s="624">
        <f>'3.DL Naudas plūsma ar projektu'!Z60*(1+$E26)</f>
        <v>0</v>
      </c>
      <c r="AC26" s="624">
        <f>'3.DL Naudas plūsma ar projektu'!AA60*(1+$E26)</f>
        <v>0</v>
      </c>
      <c r="AD26" s="624">
        <f>'3.DL Naudas plūsma ar projektu'!AB60*(1+$E26)</f>
        <v>0</v>
      </c>
      <c r="AE26" s="624">
        <f>'3.DL Naudas plūsma ar projektu'!AC60*(1+$E26)</f>
        <v>0</v>
      </c>
      <c r="AF26" s="625">
        <f t="shared" si="5"/>
        <v>0</v>
      </c>
      <c r="AG26" s="537"/>
    </row>
    <row r="27" spans="1:58" s="537" customFormat="1" ht="12.75" x14ac:dyDescent="0.2">
      <c r="A27" s="629" t="s">
        <v>35</v>
      </c>
      <c r="B27" s="630"/>
      <c r="C27" s="630" t="s">
        <v>89</v>
      </c>
      <c r="D27" s="630"/>
      <c r="E27" s="630"/>
      <c r="F27" s="631" t="s">
        <v>20</v>
      </c>
      <c r="G27" s="632">
        <f t="shared" ref="G27:AE27" si="7">SUM(G8,G26)-SUM(G19,G23)</f>
        <v>-97500</v>
      </c>
      <c r="H27" s="633">
        <f t="shared" si="7"/>
        <v>-80500</v>
      </c>
      <c r="I27" s="633">
        <f t="shared" si="7"/>
        <v>-19980</v>
      </c>
      <c r="J27" s="633">
        <f t="shared" si="7"/>
        <v>1018</v>
      </c>
      <c r="K27" s="633">
        <f t="shared" si="7"/>
        <v>1016</v>
      </c>
      <c r="L27" s="633">
        <f t="shared" si="7"/>
        <v>1014</v>
      </c>
      <c r="M27" s="633">
        <f t="shared" si="7"/>
        <v>1012</v>
      </c>
      <c r="N27" s="633">
        <f t="shared" si="7"/>
        <v>1010</v>
      </c>
      <c r="O27" s="633">
        <f t="shared" si="7"/>
        <v>1008</v>
      </c>
      <c r="P27" s="633">
        <f t="shared" si="7"/>
        <v>1006</v>
      </c>
      <c r="Q27" s="633">
        <f t="shared" si="7"/>
        <v>1004</v>
      </c>
      <c r="R27" s="633">
        <f t="shared" si="7"/>
        <v>1002</v>
      </c>
      <c r="S27" s="633">
        <f t="shared" si="7"/>
        <v>1000</v>
      </c>
      <c r="T27" s="633">
        <f t="shared" si="7"/>
        <v>1000</v>
      </c>
      <c r="U27" s="633">
        <f t="shared" si="7"/>
        <v>1000</v>
      </c>
      <c r="V27" s="633">
        <f t="shared" si="7"/>
        <v>1000</v>
      </c>
      <c r="W27" s="633">
        <f t="shared" si="7"/>
        <v>1000</v>
      </c>
      <c r="X27" s="633">
        <f t="shared" si="7"/>
        <v>1000</v>
      </c>
      <c r="Y27" s="633">
        <f t="shared" si="7"/>
        <v>1000</v>
      </c>
      <c r="Z27" s="633">
        <f t="shared" si="7"/>
        <v>1000</v>
      </c>
      <c r="AA27" s="633">
        <f t="shared" si="7"/>
        <v>1000</v>
      </c>
      <c r="AB27" s="633">
        <f t="shared" si="7"/>
        <v>1000</v>
      </c>
      <c r="AC27" s="633">
        <f t="shared" si="7"/>
        <v>1000</v>
      </c>
      <c r="AD27" s="633">
        <f t="shared" si="7"/>
        <v>1000</v>
      </c>
      <c r="AE27" s="633">
        <f t="shared" si="7"/>
        <v>1000</v>
      </c>
      <c r="AF27" s="634">
        <f t="shared" si="5"/>
        <v>-175890</v>
      </c>
      <c r="AG27" s="635"/>
    </row>
    <row r="28" spans="1:58" s="514" customFormat="1" ht="12.75" x14ac:dyDescent="0.2"/>
    <row r="29" spans="1:58" s="35" customFormat="1" ht="12.75" x14ac:dyDescent="0.2">
      <c r="A29" s="20"/>
      <c r="B29" s="21" t="s">
        <v>109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75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</row>
    <row r="30" spans="1:58" s="25" customFormat="1" ht="13.5" thickBot="1" x14ac:dyDescent="0.25">
      <c r="A30" s="9"/>
      <c r="B30" s="9"/>
      <c r="C30" s="9"/>
      <c r="D30" s="9"/>
      <c r="E30" s="9"/>
      <c r="F30" s="44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33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</row>
    <row r="31" spans="1:58" s="26" customFormat="1" ht="13.5" thickBot="1" x14ac:dyDescent="0.25">
      <c r="A31" s="20"/>
      <c r="B31" s="21"/>
      <c r="C31" s="21" t="s">
        <v>110</v>
      </c>
      <c r="D31" s="21"/>
      <c r="E31" s="21"/>
      <c r="F31" s="22" t="s">
        <v>21</v>
      </c>
      <c r="G31" s="277">
        <f>Titullapa!B24</f>
        <v>0.04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9"/>
      <c r="W31" s="9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</row>
    <row r="32" spans="1:58" s="25" customFormat="1" ht="12.75" x14ac:dyDescent="0.2">
      <c r="A32" s="9"/>
      <c r="B32" s="9"/>
      <c r="C32" s="46"/>
      <c r="D32" s="46"/>
      <c r="E32" s="46"/>
      <c r="F32" s="44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</row>
    <row r="33" spans="1:58" s="25" customFormat="1" ht="12.75" x14ac:dyDescent="0.2">
      <c r="A33" s="47"/>
      <c r="B33" s="48"/>
      <c r="C33" s="48" t="s">
        <v>111</v>
      </c>
      <c r="D33" s="48"/>
      <c r="E33" s="48"/>
      <c r="F33" s="49" t="s">
        <v>112</v>
      </c>
      <c r="G33" s="50">
        <v>0</v>
      </c>
      <c r="H33" s="51">
        <v>1</v>
      </c>
      <c r="I33" s="51">
        <v>2</v>
      </c>
      <c r="J33" s="51">
        <v>3</v>
      </c>
      <c r="K33" s="51">
        <v>4</v>
      </c>
      <c r="L33" s="51">
        <v>5</v>
      </c>
      <c r="M33" s="51">
        <v>6</v>
      </c>
      <c r="N33" s="51">
        <v>7</v>
      </c>
      <c r="O33" s="51">
        <v>8</v>
      </c>
      <c r="P33" s="51">
        <v>9</v>
      </c>
      <c r="Q33" s="51">
        <v>10</v>
      </c>
      <c r="R33" s="51">
        <v>11</v>
      </c>
      <c r="S33" s="51">
        <v>12</v>
      </c>
      <c r="T33" s="51">
        <v>13</v>
      </c>
      <c r="U33" s="51">
        <v>14</v>
      </c>
      <c r="V33" s="51">
        <v>15</v>
      </c>
      <c r="W33" s="51">
        <v>16</v>
      </c>
      <c r="X33" s="51">
        <v>17</v>
      </c>
      <c r="Y33" s="51">
        <v>18</v>
      </c>
      <c r="Z33" s="51">
        <v>19</v>
      </c>
      <c r="AA33" s="51">
        <v>20</v>
      </c>
      <c r="AB33" s="51">
        <v>21</v>
      </c>
      <c r="AC33" s="51">
        <v>22</v>
      </c>
      <c r="AD33" s="51">
        <v>23</v>
      </c>
      <c r="AE33" s="51">
        <v>24</v>
      </c>
      <c r="AF33" s="77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</row>
    <row r="34" spans="1:58" s="25" customFormat="1" ht="12.75" x14ac:dyDescent="0.2">
      <c r="A34" s="52"/>
      <c r="B34" s="28"/>
      <c r="C34" s="28" t="s">
        <v>113</v>
      </c>
      <c r="D34" s="28"/>
      <c r="E34" s="28"/>
      <c r="F34" s="53" t="s">
        <v>114</v>
      </c>
      <c r="G34" s="76">
        <f>1/(1+$G$31)^G33</f>
        <v>1</v>
      </c>
      <c r="H34" s="76">
        <f t="shared" ref="H34:AE34" si="8">1/(1+$G$31)^H33</f>
        <v>0.96153846153846145</v>
      </c>
      <c r="I34" s="76">
        <f t="shared" si="8"/>
        <v>0.92455621301775137</v>
      </c>
      <c r="J34" s="76">
        <f t="shared" si="8"/>
        <v>0.88899635867091487</v>
      </c>
      <c r="K34" s="76">
        <f t="shared" si="8"/>
        <v>0.85480419102972571</v>
      </c>
      <c r="L34" s="76">
        <f t="shared" si="8"/>
        <v>0.82192710675935154</v>
      </c>
      <c r="M34" s="76">
        <f t="shared" si="8"/>
        <v>0.79031452573014571</v>
      </c>
      <c r="N34" s="76">
        <f t="shared" si="8"/>
        <v>0.75991781320206331</v>
      </c>
      <c r="O34" s="76">
        <f t="shared" si="8"/>
        <v>0.73069020500198378</v>
      </c>
      <c r="P34" s="76">
        <f t="shared" si="8"/>
        <v>0.70258673557883045</v>
      </c>
      <c r="Q34" s="76">
        <f t="shared" si="8"/>
        <v>0.67556416882579851</v>
      </c>
      <c r="R34" s="76">
        <f t="shared" si="8"/>
        <v>0.6495809315632679</v>
      </c>
      <c r="S34" s="76">
        <f t="shared" si="8"/>
        <v>0.62459704958006512</v>
      </c>
      <c r="T34" s="76">
        <f t="shared" si="8"/>
        <v>0.600574086134678</v>
      </c>
      <c r="U34" s="76">
        <f t="shared" si="8"/>
        <v>0.57747508282180582</v>
      </c>
      <c r="V34" s="76">
        <f t="shared" si="8"/>
        <v>0.55526450271327477</v>
      </c>
      <c r="W34" s="76">
        <f t="shared" si="8"/>
        <v>0.53390817568584104</v>
      </c>
      <c r="X34" s="76">
        <f t="shared" si="8"/>
        <v>0.51337324585177024</v>
      </c>
      <c r="Y34" s="76">
        <f t="shared" si="8"/>
        <v>0.49362812101131748</v>
      </c>
      <c r="Z34" s="76">
        <f t="shared" si="8"/>
        <v>0.47464242404934376</v>
      </c>
      <c r="AA34" s="76">
        <f t="shared" si="8"/>
        <v>0.45638694620129205</v>
      </c>
      <c r="AB34" s="76">
        <f t="shared" si="8"/>
        <v>0.43883360211662686</v>
      </c>
      <c r="AC34" s="76">
        <f t="shared" si="8"/>
        <v>0.42195538665060278</v>
      </c>
      <c r="AD34" s="76">
        <f t="shared" si="8"/>
        <v>0.40572633331788732</v>
      </c>
      <c r="AE34" s="76">
        <f t="shared" si="8"/>
        <v>0.39012147434412242</v>
      </c>
      <c r="AF34" s="82" t="s">
        <v>132</v>
      </c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</row>
    <row r="35" spans="1:58" s="25" customFormat="1" ht="12.75" x14ac:dyDescent="0.2">
      <c r="A35" s="54"/>
      <c r="B35" s="55" t="s">
        <v>51</v>
      </c>
      <c r="C35" s="55" t="s">
        <v>115</v>
      </c>
      <c r="D35" s="55"/>
      <c r="E35" s="55"/>
      <c r="F35" s="55" t="s">
        <v>20</v>
      </c>
      <c r="G35" s="334">
        <f t="shared" ref="G35:AE35" si="9">G8*G34</f>
        <v>2000</v>
      </c>
      <c r="H35" s="335">
        <f t="shared" si="9"/>
        <v>2884.6153846153843</v>
      </c>
      <c r="I35" s="335">
        <f t="shared" si="9"/>
        <v>4641.2721893491116</v>
      </c>
      <c r="J35" s="335">
        <f t="shared" si="9"/>
        <v>904.99829312699137</v>
      </c>
      <c r="K35" s="335">
        <f t="shared" si="9"/>
        <v>868.4810580862013</v>
      </c>
      <c r="L35" s="335">
        <f t="shared" si="9"/>
        <v>833.43408625398251</v>
      </c>
      <c r="M35" s="335">
        <f t="shared" si="9"/>
        <v>799.79830003890743</v>
      </c>
      <c r="N35" s="335">
        <f t="shared" si="9"/>
        <v>767.51699133408397</v>
      </c>
      <c r="O35" s="335">
        <f t="shared" si="9"/>
        <v>736.53572664199964</v>
      </c>
      <c r="P35" s="335">
        <f t="shared" si="9"/>
        <v>706.80225599230346</v>
      </c>
      <c r="Q35" s="335">
        <f t="shared" si="9"/>
        <v>678.26642550110171</v>
      </c>
      <c r="R35" s="335">
        <f t="shared" si="9"/>
        <v>650.88009342639441</v>
      </c>
      <c r="S35" s="335">
        <f t="shared" si="9"/>
        <v>624.59704958006512</v>
      </c>
      <c r="T35" s="335">
        <f t="shared" si="9"/>
        <v>600.57408613467805</v>
      </c>
      <c r="U35" s="335">
        <f t="shared" si="9"/>
        <v>577.47508282180581</v>
      </c>
      <c r="V35" s="335">
        <f t="shared" si="9"/>
        <v>555.26450271327474</v>
      </c>
      <c r="W35" s="335">
        <f t="shared" si="9"/>
        <v>533.908175685841</v>
      </c>
      <c r="X35" s="335">
        <f t="shared" si="9"/>
        <v>513.37324585177021</v>
      </c>
      <c r="Y35" s="335">
        <f t="shared" si="9"/>
        <v>493.62812101131749</v>
      </c>
      <c r="Z35" s="335">
        <f t="shared" si="9"/>
        <v>474.64242404934373</v>
      </c>
      <c r="AA35" s="335">
        <f t="shared" si="9"/>
        <v>456.38694620129206</v>
      </c>
      <c r="AB35" s="335">
        <f t="shared" si="9"/>
        <v>438.83360211662688</v>
      </c>
      <c r="AC35" s="335">
        <f t="shared" si="9"/>
        <v>421.9553866506028</v>
      </c>
      <c r="AD35" s="335">
        <f t="shared" si="9"/>
        <v>405.72633331788734</v>
      </c>
      <c r="AE35" s="335">
        <f t="shared" si="9"/>
        <v>390.12147434412242</v>
      </c>
      <c r="AF35" s="616">
        <f t="shared" ref="AF35:AF39" si="10">SUM(G35:AE35)</f>
        <v>22959.087234845087</v>
      </c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</row>
    <row r="36" spans="1:58" s="25" customFormat="1" ht="12.75" x14ac:dyDescent="0.2">
      <c r="A36" s="56"/>
      <c r="B36" s="34" t="s">
        <v>52</v>
      </c>
      <c r="C36" s="34" t="s">
        <v>117</v>
      </c>
      <c r="D36" s="34"/>
      <c r="E36" s="34"/>
      <c r="F36" s="34" t="s">
        <v>20</v>
      </c>
      <c r="G36" s="78">
        <f t="shared" ref="G36:AE36" si="11">G19*G34</f>
        <v>0</v>
      </c>
      <c r="H36" s="79">
        <f t="shared" si="11"/>
        <v>0</v>
      </c>
      <c r="I36" s="79">
        <f t="shared" si="11"/>
        <v>0</v>
      </c>
      <c r="J36" s="79">
        <f t="shared" si="11"/>
        <v>0</v>
      </c>
      <c r="K36" s="79">
        <f t="shared" si="11"/>
        <v>0</v>
      </c>
      <c r="L36" s="79">
        <f t="shared" si="11"/>
        <v>0</v>
      </c>
      <c r="M36" s="79">
        <f t="shared" si="11"/>
        <v>0</v>
      </c>
      <c r="N36" s="79">
        <f t="shared" si="11"/>
        <v>0</v>
      </c>
      <c r="O36" s="79">
        <f t="shared" si="11"/>
        <v>0</v>
      </c>
      <c r="P36" s="79">
        <f t="shared" si="11"/>
        <v>0</v>
      </c>
      <c r="Q36" s="79">
        <f t="shared" si="11"/>
        <v>0</v>
      </c>
      <c r="R36" s="79">
        <f t="shared" si="11"/>
        <v>0</v>
      </c>
      <c r="S36" s="79">
        <f t="shared" si="11"/>
        <v>0</v>
      </c>
      <c r="T36" s="79">
        <f t="shared" si="11"/>
        <v>0</v>
      </c>
      <c r="U36" s="79">
        <f t="shared" si="11"/>
        <v>0</v>
      </c>
      <c r="V36" s="79">
        <f t="shared" si="11"/>
        <v>0</v>
      </c>
      <c r="W36" s="79">
        <f t="shared" si="11"/>
        <v>0</v>
      </c>
      <c r="X36" s="79">
        <f t="shared" si="11"/>
        <v>0</v>
      </c>
      <c r="Y36" s="79">
        <f t="shared" si="11"/>
        <v>0</v>
      </c>
      <c r="Z36" s="79">
        <f t="shared" si="11"/>
        <v>0</v>
      </c>
      <c r="AA36" s="79">
        <f t="shared" si="11"/>
        <v>0</v>
      </c>
      <c r="AB36" s="79">
        <f t="shared" si="11"/>
        <v>0</v>
      </c>
      <c r="AC36" s="79">
        <f t="shared" si="11"/>
        <v>0</v>
      </c>
      <c r="AD36" s="79">
        <f t="shared" si="11"/>
        <v>0</v>
      </c>
      <c r="AE36" s="79">
        <f t="shared" si="11"/>
        <v>0</v>
      </c>
      <c r="AF36" s="625">
        <f t="shared" si="10"/>
        <v>0</v>
      </c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</row>
    <row r="37" spans="1:58" s="25" customFormat="1" ht="12.75" x14ac:dyDescent="0.2">
      <c r="A37" s="56"/>
      <c r="B37" s="34" t="s">
        <v>53</v>
      </c>
      <c r="C37" s="34" t="s">
        <v>118</v>
      </c>
      <c r="D37" s="34"/>
      <c r="E37" s="34"/>
      <c r="F37" s="34" t="s">
        <v>20</v>
      </c>
      <c r="G37" s="78">
        <f t="shared" ref="G37" si="12">G23*G34</f>
        <v>99500</v>
      </c>
      <c r="H37" s="79">
        <f t="shared" ref="H37:AE37" si="13">H23*H34</f>
        <v>80288.461538461532</v>
      </c>
      <c r="I37" s="79">
        <f t="shared" si="13"/>
        <v>23113.905325443786</v>
      </c>
      <c r="J37" s="79">
        <f t="shared" si="13"/>
        <v>0</v>
      </c>
      <c r="K37" s="79">
        <f t="shared" si="13"/>
        <v>0</v>
      </c>
      <c r="L37" s="79">
        <f t="shared" si="13"/>
        <v>0</v>
      </c>
      <c r="M37" s="79">
        <f t="shared" si="13"/>
        <v>0</v>
      </c>
      <c r="N37" s="79">
        <f t="shared" si="13"/>
        <v>0</v>
      </c>
      <c r="O37" s="79">
        <f t="shared" si="13"/>
        <v>0</v>
      </c>
      <c r="P37" s="79">
        <f t="shared" si="13"/>
        <v>0</v>
      </c>
      <c r="Q37" s="79">
        <f t="shared" si="13"/>
        <v>0</v>
      </c>
      <c r="R37" s="79">
        <f t="shared" si="13"/>
        <v>0</v>
      </c>
      <c r="S37" s="79">
        <f t="shared" si="13"/>
        <v>0</v>
      </c>
      <c r="T37" s="79">
        <f t="shared" si="13"/>
        <v>0</v>
      </c>
      <c r="U37" s="79">
        <f t="shared" si="13"/>
        <v>0</v>
      </c>
      <c r="V37" s="79">
        <f t="shared" si="13"/>
        <v>0</v>
      </c>
      <c r="W37" s="79">
        <f t="shared" si="13"/>
        <v>0</v>
      </c>
      <c r="X37" s="79">
        <f t="shared" si="13"/>
        <v>0</v>
      </c>
      <c r="Y37" s="79">
        <f t="shared" si="13"/>
        <v>0</v>
      </c>
      <c r="Z37" s="79">
        <f t="shared" si="13"/>
        <v>0</v>
      </c>
      <c r="AA37" s="79">
        <f t="shared" si="13"/>
        <v>0</v>
      </c>
      <c r="AB37" s="79">
        <f t="shared" si="13"/>
        <v>0</v>
      </c>
      <c r="AC37" s="79">
        <f t="shared" si="13"/>
        <v>0</v>
      </c>
      <c r="AD37" s="79">
        <f t="shared" si="13"/>
        <v>0</v>
      </c>
      <c r="AE37" s="79">
        <f t="shared" si="13"/>
        <v>0</v>
      </c>
      <c r="AF37" s="625">
        <f t="shared" si="10"/>
        <v>202902.36686390531</v>
      </c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</row>
    <row r="38" spans="1:58" s="25" customFormat="1" ht="12.75" x14ac:dyDescent="0.2">
      <c r="A38" s="56"/>
      <c r="B38" s="34" t="s">
        <v>54</v>
      </c>
      <c r="C38" s="34" t="s">
        <v>119</v>
      </c>
      <c r="D38" s="34"/>
      <c r="E38" s="34"/>
      <c r="F38" s="34" t="s">
        <v>20</v>
      </c>
      <c r="G38" s="78">
        <f>G26*G34</f>
        <v>0</v>
      </c>
      <c r="H38" s="79">
        <f t="shared" ref="H38:AE38" si="14">H26*H34</f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79">
        <f t="shared" si="14"/>
        <v>0</v>
      </c>
      <c r="Q38" s="79">
        <f t="shared" si="14"/>
        <v>0</v>
      </c>
      <c r="R38" s="79">
        <f t="shared" si="14"/>
        <v>0</v>
      </c>
      <c r="S38" s="79">
        <f t="shared" si="14"/>
        <v>0</v>
      </c>
      <c r="T38" s="79">
        <f t="shared" si="14"/>
        <v>0</v>
      </c>
      <c r="U38" s="79">
        <f t="shared" si="14"/>
        <v>0</v>
      </c>
      <c r="V38" s="79">
        <f t="shared" si="14"/>
        <v>0</v>
      </c>
      <c r="W38" s="79">
        <f t="shared" si="14"/>
        <v>0</v>
      </c>
      <c r="X38" s="79">
        <f t="shared" si="14"/>
        <v>0</v>
      </c>
      <c r="Y38" s="79">
        <f t="shared" si="14"/>
        <v>0</v>
      </c>
      <c r="Z38" s="79">
        <f t="shared" si="14"/>
        <v>0</v>
      </c>
      <c r="AA38" s="79">
        <f t="shared" si="14"/>
        <v>0</v>
      </c>
      <c r="AB38" s="79">
        <f t="shared" si="14"/>
        <v>0</v>
      </c>
      <c r="AC38" s="79">
        <f t="shared" si="14"/>
        <v>0</v>
      </c>
      <c r="AD38" s="79">
        <f t="shared" si="14"/>
        <v>0</v>
      </c>
      <c r="AE38" s="79">
        <f t="shared" si="14"/>
        <v>0</v>
      </c>
      <c r="AF38" s="625">
        <f t="shared" si="10"/>
        <v>0</v>
      </c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</row>
    <row r="39" spans="1:58" s="25" customFormat="1" ht="12.75" x14ac:dyDescent="0.2">
      <c r="A39" s="57"/>
      <c r="B39" s="58" t="s">
        <v>55</v>
      </c>
      <c r="C39" s="58" t="s">
        <v>120</v>
      </c>
      <c r="D39" s="58"/>
      <c r="E39" s="58"/>
      <c r="F39" s="58" t="s">
        <v>20</v>
      </c>
      <c r="G39" s="80">
        <f>G27*G34</f>
        <v>-97500</v>
      </c>
      <c r="H39" s="81">
        <f t="shared" ref="H39:AE39" si="15">H27*H34</f>
        <v>-77403.846153846142</v>
      </c>
      <c r="I39" s="81">
        <f t="shared" si="15"/>
        <v>-18472.633136094671</v>
      </c>
      <c r="J39" s="81">
        <f t="shared" si="15"/>
        <v>904.99829312699137</v>
      </c>
      <c r="K39" s="81">
        <f t="shared" si="15"/>
        <v>868.4810580862013</v>
      </c>
      <c r="L39" s="81">
        <f t="shared" si="15"/>
        <v>833.43408625398251</v>
      </c>
      <c r="M39" s="81">
        <f t="shared" si="15"/>
        <v>799.79830003890743</v>
      </c>
      <c r="N39" s="81">
        <f t="shared" si="15"/>
        <v>767.51699133408397</v>
      </c>
      <c r="O39" s="81">
        <f t="shared" si="15"/>
        <v>736.53572664199964</v>
      </c>
      <c r="P39" s="81">
        <f t="shared" si="15"/>
        <v>706.80225599230346</v>
      </c>
      <c r="Q39" s="81">
        <f t="shared" si="15"/>
        <v>678.26642550110171</v>
      </c>
      <c r="R39" s="81">
        <f t="shared" si="15"/>
        <v>650.88009342639441</v>
      </c>
      <c r="S39" s="81">
        <f t="shared" si="15"/>
        <v>624.59704958006512</v>
      </c>
      <c r="T39" s="81">
        <f t="shared" si="15"/>
        <v>600.57408613467805</v>
      </c>
      <c r="U39" s="81">
        <f t="shared" si="15"/>
        <v>577.47508282180581</v>
      </c>
      <c r="V39" s="81">
        <f t="shared" si="15"/>
        <v>555.26450271327474</v>
      </c>
      <c r="W39" s="81">
        <f t="shared" si="15"/>
        <v>533.908175685841</v>
      </c>
      <c r="X39" s="81">
        <f t="shared" si="15"/>
        <v>513.37324585177021</v>
      </c>
      <c r="Y39" s="81">
        <f t="shared" si="15"/>
        <v>493.62812101131749</v>
      </c>
      <c r="Z39" s="81">
        <f t="shared" si="15"/>
        <v>474.64242404934373</v>
      </c>
      <c r="AA39" s="81">
        <f t="shared" si="15"/>
        <v>456.38694620129206</v>
      </c>
      <c r="AB39" s="81">
        <f t="shared" si="15"/>
        <v>438.83360211662688</v>
      </c>
      <c r="AC39" s="81">
        <f t="shared" si="15"/>
        <v>421.9553866506028</v>
      </c>
      <c r="AD39" s="81">
        <f t="shared" si="15"/>
        <v>405.72633331788734</v>
      </c>
      <c r="AE39" s="81">
        <f t="shared" si="15"/>
        <v>390.12147434412242</v>
      </c>
      <c r="AF39" s="634">
        <f t="shared" si="10"/>
        <v>-179943.27962906018</v>
      </c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</row>
    <row r="40" spans="1:58" s="32" customFormat="1" ht="12.75" x14ac:dyDescent="0.2">
      <c r="A40" s="9"/>
      <c r="B40" s="9"/>
      <c r="C40" s="9"/>
      <c r="D40" s="9"/>
      <c r="E40" s="9"/>
      <c r="F40" s="44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58" s="35" customFormat="1" ht="12.75" x14ac:dyDescent="0.2">
      <c r="A41" s="20">
        <v>3</v>
      </c>
      <c r="B41" s="21" t="s">
        <v>121</v>
      </c>
      <c r="C41" s="21"/>
      <c r="D41" s="21"/>
      <c r="E41" s="21"/>
      <c r="F41" s="21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3"/>
      <c r="W41" s="9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s="32" customFormat="1" ht="12.75" x14ac:dyDescent="0.2">
      <c r="A42" s="59"/>
      <c r="B42" s="59"/>
      <c r="C42" s="59"/>
      <c r="D42" s="59"/>
      <c r="E42" s="59"/>
      <c r="F42" s="60"/>
      <c r="G42" s="61"/>
      <c r="H42" s="62" t="s">
        <v>122</v>
      </c>
      <c r="I42" s="62"/>
      <c r="J42" s="62" t="s">
        <v>123</v>
      </c>
      <c r="K42" s="62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58" s="32" customFormat="1" ht="12.75" x14ac:dyDescent="0.2">
      <c r="A43" s="9"/>
      <c r="B43" s="9" t="s">
        <v>31</v>
      </c>
      <c r="C43" s="46" t="s">
        <v>78</v>
      </c>
      <c r="D43" s="9"/>
      <c r="E43" s="9"/>
      <c r="F43" s="63"/>
      <c r="G43" s="64"/>
      <c r="H43" s="336">
        <f>AF8</f>
        <v>32110</v>
      </c>
      <c r="I43" s="336"/>
      <c r="J43" s="337">
        <f>AF35</f>
        <v>22959.087234845087</v>
      </c>
      <c r="K43" s="6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58" s="32" customFormat="1" ht="12.75" x14ac:dyDescent="0.2">
      <c r="A44" s="9"/>
      <c r="B44" s="9" t="s">
        <v>32</v>
      </c>
      <c r="C44" s="46" t="s">
        <v>108</v>
      </c>
      <c r="D44" s="9"/>
      <c r="E44" s="9"/>
      <c r="F44" s="63"/>
      <c r="G44" s="64"/>
      <c r="H44" s="336">
        <f>AF19</f>
        <v>0</v>
      </c>
      <c r="I44" s="336"/>
      <c r="J44" s="337">
        <f>AF36</f>
        <v>0</v>
      </c>
      <c r="K44" s="67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58" s="32" customFormat="1" ht="12.75" x14ac:dyDescent="0.2">
      <c r="A45" s="9"/>
      <c r="B45" s="9" t="s">
        <v>124</v>
      </c>
      <c r="C45" s="46" t="s">
        <v>85</v>
      </c>
      <c r="D45" s="9"/>
      <c r="E45" s="9"/>
      <c r="F45" s="68"/>
      <c r="G45" s="69"/>
      <c r="H45" s="336">
        <f>AF23</f>
        <v>208000</v>
      </c>
      <c r="I45" s="336"/>
      <c r="J45" s="337">
        <f>AF37</f>
        <v>202902.36686390531</v>
      </c>
      <c r="K45" s="67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58" s="32" customFormat="1" ht="12.75" x14ac:dyDescent="0.2">
      <c r="A46" s="9"/>
      <c r="B46" s="9" t="s">
        <v>125</v>
      </c>
      <c r="C46" s="46" t="s">
        <v>75</v>
      </c>
      <c r="D46" s="9"/>
      <c r="E46" s="9"/>
      <c r="F46" s="68"/>
      <c r="G46" s="69"/>
      <c r="H46" s="336">
        <f>AF26</f>
        <v>0</v>
      </c>
      <c r="I46" s="336"/>
      <c r="J46" s="337">
        <f>AF38</f>
        <v>0</v>
      </c>
      <c r="K46" s="67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58" s="32" customFormat="1" ht="12.75" x14ac:dyDescent="0.2">
      <c r="A47" s="9"/>
      <c r="B47" s="9" t="s">
        <v>126</v>
      </c>
      <c r="C47" s="46" t="s">
        <v>89</v>
      </c>
      <c r="D47" s="9"/>
      <c r="E47" s="9"/>
      <c r="F47" s="70"/>
      <c r="G47" s="71"/>
      <c r="H47" s="336">
        <f>AF27</f>
        <v>-175890</v>
      </c>
      <c r="I47" s="338"/>
      <c r="J47" s="337">
        <f>AF39</f>
        <v>-179943.27962906018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58" s="35" customFormat="1" ht="12.75" x14ac:dyDescent="0.2">
      <c r="A48" s="20">
        <v>4</v>
      </c>
      <c r="B48" s="21" t="s">
        <v>127</v>
      </c>
      <c r="C48" s="21"/>
      <c r="D48" s="21"/>
      <c r="E48" s="21"/>
      <c r="F48" s="21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9"/>
      <c r="X48" s="9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24" s="34" customFormat="1" ht="12.75" x14ac:dyDescent="0.2">
      <c r="F49" s="73"/>
      <c r="G49" s="73"/>
      <c r="H49" s="74"/>
      <c r="I49" s="74"/>
      <c r="J49" s="74"/>
      <c r="K49" s="74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9"/>
      <c r="X49" s="9"/>
    </row>
    <row r="50" spans="1:24" s="32" customFormat="1" ht="24.75" customHeight="1" x14ac:dyDescent="0.2">
      <c r="F50" s="976" t="s">
        <v>128</v>
      </c>
      <c r="G50" s="977"/>
      <c r="H50" s="977" t="s">
        <v>129</v>
      </c>
      <c r="I50" s="977"/>
      <c r="J50" s="977" t="s">
        <v>130</v>
      </c>
      <c r="K50" s="97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32" customFormat="1" ht="12.75" x14ac:dyDescent="0.2">
      <c r="A51" s="9"/>
      <c r="B51" s="9" t="s">
        <v>74</v>
      </c>
      <c r="C51" s="46" t="s">
        <v>131</v>
      </c>
      <c r="D51" s="9"/>
      <c r="E51" s="9"/>
      <c r="F51" s="979">
        <f>'14.RL Investīciju naudas plūsma'!G36</f>
        <v>-179943.27962906018</v>
      </c>
      <c r="G51" s="980"/>
      <c r="H51" s="980">
        <f>J47</f>
        <v>-179943.27962906018</v>
      </c>
      <c r="I51" s="980"/>
      <c r="J51" s="981">
        <f>H51/F51-1</f>
        <v>0</v>
      </c>
      <c r="K51" s="982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s="32" customFormat="1" ht="12.75" x14ac:dyDescent="0.2">
      <c r="A52" s="973" t="s">
        <v>471</v>
      </c>
      <c r="B52" s="973"/>
      <c r="C52" s="973"/>
      <c r="D52" s="973"/>
      <c r="E52" s="973"/>
      <c r="F52" s="973"/>
      <c r="G52" s="973"/>
      <c r="H52" s="973"/>
      <c r="I52" s="973"/>
      <c r="J52" s="973"/>
      <c r="K52" s="613">
        <v>-0.2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4" s="32" customFormat="1" ht="12.75" x14ac:dyDescent="0.2">
      <c r="A53" s="20"/>
      <c r="B53" s="21"/>
      <c r="C53" s="21"/>
      <c r="D53" s="21"/>
      <c r="E53" s="21"/>
      <c r="F53" s="21"/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9"/>
    </row>
  </sheetData>
  <sheetProtection algorithmName="SHA-512" hashValue="GV3etSyzh3a28scEB0ovEiz9PX67w5Wx6DxhTxrgSepA68JhWoFxHpxg8wt6uWWZ/LXl+pM+AoBatHjmRKXO0w==" saltValue="gElIcY52CgJEbP2ye0VpsA==" spinCount="100000" sheet="1" objects="1" scenarios="1" formatCells="0" formatColumns="0" formatRows="0"/>
  <mergeCells count="9">
    <mergeCell ref="A52:J52"/>
    <mergeCell ref="C4:E5"/>
    <mergeCell ref="A1:C1"/>
    <mergeCell ref="F50:G50"/>
    <mergeCell ref="H50:I50"/>
    <mergeCell ref="J50:K50"/>
    <mergeCell ref="F51:G51"/>
    <mergeCell ref="H51:I51"/>
    <mergeCell ref="J51:K51"/>
  </mergeCells>
  <dataValidations count="1">
    <dataValidation type="decimal" allowBlank="1" showInputMessage="1" showErrorMessage="1" sqref="G31" xr:uid="{00000000-0002-0000-0800-000000000000}">
      <formula1>0</formula1>
      <formula2>100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list</vt:lpstr>
      <vt:lpstr>Titullapa</vt:lpstr>
      <vt:lpstr>1.DL Projekta budžets</vt:lpstr>
      <vt:lpstr>2.DL Naudas plūsma bez projekta</vt:lpstr>
      <vt:lpstr>3.DL Naudas plūsma ar projektu</vt:lpstr>
      <vt:lpstr>4.DL Projekta_finansiala_ilgtsp</vt:lpstr>
      <vt:lpstr>5.DL_Proj_iesn_naudas_plusma</vt:lpstr>
      <vt:lpstr>6.DL Soc.ekon.analīze</vt:lpstr>
      <vt:lpstr>7.DL Jutīguma analīze_Invest</vt:lpstr>
      <vt:lpstr>8.DL jut.analīze_Soc</vt:lpstr>
      <vt:lpstr>9.DL jut.anal_Kap_NP</vt:lpstr>
      <vt:lpstr>10.AL Budžets_kopā</vt:lpstr>
      <vt:lpstr>11.AL Alternatīvu analīze</vt:lpstr>
      <vt:lpstr>12. AL Soc.ekonom.anal.</vt:lpstr>
      <vt:lpstr>13.RL Kapitāla naudas plūsma</vt:lpstr>
      <vt:lpstr>14.RL Investīciju naudas plūsma</vt:lpstr>
      <vt:lpstr>15.RL Sociālekonomiskā analīze</vt:lpstr>
      <vt:lpstr>16.Kontroles lapa</vt:lpstr>
      <vt:lpstr>17.PIV 2.pielikums Fin.plāns</vt:lpstr>
      <vt:lpstr>18.PIV 4.pielikums finanšu anal</vt:lpstr>
      <vt:lpstr>Paskaidrojums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Kuzmina</dc:creator>
  <cp:lastModifiedBy>Lita Trakina</cp:lastModifiedBy>
  <cp:lastPrinted>2017-07-27T11:03:00Z</cp:lastPrinted>
  <dcterms:created xsi:type="dcterms:W3CDTF">2016-04-22T09:52:02Z</dcterms:created>
  <dcterms:modified xsi:type="dcterms:W3CDTF">2021-10-20T09:48:11Z</dcterms:modified>
</cp:coreProperties>
</file>