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610" windowHeight="11640"/>
  </bookViews>
  <sheets>
    <sheet name="PĀRBAUDE" sheetId="5" r:id="rId1"/>
    <sheet name="5.1.1-2 tabulas" sheetId="3" r:id="rId2"/>
    <sheet name="5.1.3-5.3 tabulas" sheetId="4" r:id="rId3"/>
  </sheets>
  <definedNames>
    <definedName name="_xlnm.Print_Area" localSheetId="1">'5.1.1-2 tabulas'!$A$1:$H$22</definedName>
  </definedNames>
  <calcPr calcId="145621"/>
</workbook>
</file>

<file path=xl/calcChain.xml><?xml version="1.0" encoding="utf-8"?>
<calcChain xmlns="http://schemas.openxmlformats.org/spreadsheetml/2006/main">
  <c r="D7" i="5" l="1"/>
  <c r="D5" i="5"/>
  <c r="N2" i="5"/>
  <c r="G9" i="3" s="1"/>
  <c r="F9" i="3" l="1"/>
  <c r="H9" i="3"/>
  <c r="E9" i="3"/>
  <c r="E3" i="3"/>
  <c r="F3" i="3"/>
  <c r="G3" i="3"/>
  <c r="H3" i="3"/>
  <c r="D3" i="3"/>
  <c r="D4" i="3"/>
  <c r="E4" i="3" l="1"/>
  <c r="F4" i="3"/>
  <c r="G4" i="3"/>
  <c r="H4" i="3"/>
  <c r="I5" i="4" l="1"/>
  <c r="E17" i="4" s="1"/>
  <c r="D6" i="5" s="1"/>
  <c r="E6" i="5" s="1"/>
  <c r="E18" i="3"/>
  <c r="E8" i="3" s="1"/>
  <c r="F18" i="3"/>
  <c r="G18" i="3"/>
  <c r="H18" i="3"/>
  <c r="D18" i="3"/>
  <c r="D8" i="3" s="1"/>
  <c r="F8" i="3"/>
  <c r="G8" i="3"/>
  <c r="H8" i="3"/>
  <c r="H13" i="3" s="1"/>
  <c r="D9" i="3" l="1"/>
  <c r="D12" i="3" s="1"/>
  <c r="G11" i="3"/>
  <c r="G14" i="3"/>
  <c r="F13" i="3"/>
  <c r="F12" i="3"/>
  <c r="G13" i="3"/>
  <c r="I3" i="4"/>
  <c r="E14" i="3"/>
  <c r="E11" i="3"/>
  <c r="H12" i="3"/>
  <c r="H11" i="3"/>
  <c r="F11" i="3"/>
  <c r="E16" i="4"/>
  <c r="H14" i="3"/>
  <c r="G12" i="3"/>
  <c r="F14" i="3"/>
  <c r="E12" i="3"/>
  <c r="E13" i="3" s="1"/>
  <c r="D14" i="3" l="1"/>
  <c r="I4" i="4"/>
  <c r="I6" i="4" s="1"/>
  <c r="D11" i="3"/>
  <c r="I9" i="4"/>
  <c r="C17" i="4" s="1"/>
  <c r="I2" i="5"/>
  <c r="C16" i="4" l="1"/>
  <c r="I7" i="4"/>
  <c r="D13" i="3"/>
  <c r="G17" i="4" l="1"/>
  <c r="I8" i="4"/>
  <c r="G16" i="4"/>
  <c r="D16" i="4" l="1"/>
  <c r="I16" i="4"/>
  <c r="I17" i="4"/>
  <c r="D17" i="4"/>
  <c r="F16" i="4" l="1"/>
  <c r="B16" i="4"/>
  <c r="H17" i="4"/>
  <c r="F17" i="4"/>
  <c r="D4" i="5" s="1"/>
  <c r="E4" i="5" s="1"/>
  <c r="B17" i="4"/>
  <c r="H16" i="4"/>
</calcChain>
</file>

<file path=xl/sharedStrings.xml><?xml version="1.0" encoding="utf-8"?>
<sst xmlns="http://schemas.openxmlformats.org/spreadsheetml/2006/main" count="134" uniqueCount="92">
  <si>
    <t>N.p.k.</t>
  </si>
  <si>
    <t>Finansēšanas rādītāji</t>
  </si>
  <si>
    <t>Mērvienība</t>
  </si>
  <si>
    <t>Dati</t>
  </si>
  <si>
    <t>EUR</t>
  </si>
  <si>
    <t>1.1.</t>
  </si>
  <si>
    <t>1.1.1.</t>
  </si>
  <si>
    <t>1.1.2.</t>
  </si>
  <si>
    <t>%</t>
  </si>
  <si>
    <t>1.1.3.</t>
  </si>
  <si>
    <t>1.1.4.</t>
  </si>
  <si>
    <t>1.2.</t>
  </si>
  <si>
    <t>Gads</t>
  </si>
  <si>
    <t>Kopējās izmaksas</t>
  </si>
  <si>
    <t>Attiecināmās izmaksas</t>
  </si>
  <si>
    <t>Projekta iesniedzēja līdzfinansējums</t>
  </si>
  <si>
    <t>Kopējais projekta iesniedzēja finansējums</t>
  </si>
  <si>
    <t>1=2+3</t>
  </si>
  <si>
    <t>3=4+6</t>
  </si>
  <si>
    <t>5=4/3</t>
  </si>
  <si>
    <t>7=6/3</t>
  </si>
  <si>
    <t>8=2+6</t>
  </si>
  <si>
    <t>Kopā</t>
  </si>
  <si>
    <r>
      <t>5.1.1.Viena elektromobiļa finansēšanas rādītāji</t>
    </r>
    <r>
      <rPr>
        <b/>
        <vertAlign val="superscript"/>
        <sz val="14"/>
        <color theme="1"/>
        <rFont val="Times New Roman"/>
        <family val="1"/>
        <charset val="186"/>
      </rPr>
      <t>*</t>
    </r>
    <r>
      <rPr>
        <b/>
        <sz val="14"/>
        <color theme="1"/>
        <rFont val="Times New Roman"/>
        <family val="1"/>
        <charset val="186"/>
      </rPr>
      <t>:</t>
    </r>
  </si>
  <si>
    <r>
      <t>1.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</si>
  <si>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>Viena elektromobiļa kopējās izmaksas, tai skaitā:</t>
  </si>
  <si>
    <r>
      <t>1.1.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</si>
  <si>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r>
      <t>Attiecināmās izmaksas vienam elektromobilim</t>
    </r>
    <r>
      <rPr>
        <vertAlign val="superscript"/>
        <sz val="12"/>
        <color theme="1"/>
        <rFont val="Times New Roman"/>
        <family val="1"/>
        <charset val="186"/>
      </rPr>
      <t>**</t>
    </r>
    <r>
      <rPr>
        <sz val="12"/>
        <color theme="1"/>
        <rFont val="Times New Roman"/>
        <family val="1"/>
        <charset val="186"/>
      </rPr>
      <t>, tai skaitā:</t>
    </r>
  </si>
  <si>
    <r>
      <t>1.1.1.</t>
    </r>
    <r>
      <rPr>
        <sz val="7"/>
        <color theme="1"/>
        <rFont val="Times New Roman"/>
        <family val="1"/>
        <charset val="186"/>
      </rPr>
      <t xml:space="preserve">    </t>
    </r>
    <r>
      <rPr>
        <sz val="12"/>
        <color theme="1"/>
        <rFont val="Times New Roman"/>
        <family val="1"/>
        <charset val="186"/>
      </rPr>
      <t> </t>
    </r>
  </si>
  <si>
    <t>Finanšu instrumenta finansējums vienam elektromobilim</t>
  </si>
  <si>
    <r>
      <t>1.1.2.</t>
    </r>
    <r>
      <rPr>
        <sz val="7"/>
        <color theme="1"/>
        <rFont val="Times New Roman"/>
        <family val="1"/>
        <charset val="186"/>
      </rPr>
      <t xml:space="preserve">    </t>
    </r>
    <r>
      <rPr>
        <sz val="12"/>
        <color theme="1"/>
        <rFont val="Times New Roman"/>
        <family val="1"/>
        <charset val="186"/>
      </rPr>
      <t> </t>
    </r>
  </si>
  <si>
    <t>Finanšu instrumenta atbalsta intensitāte no viena elektromobiļa attiecināmām izmaksām</t>
  </si>
  <si>
    <r>
      <t>1.1.3.</t>
    </r>
    <r>
      <rPr>
        <sz val="7"/>
        <color theme="1"/>
        <rFont val="Times New Roman"/>
        <family val="1"/>
        <charset val="186"/>
      </rPr>
      <t xml:space="preserve">    </t>
    </r>
    <r>
      <rPr>
        <sz val="12"/>
        <color theme="1"/>
        <rFont val="Times New Roman"/>
        <family val="1"/>
        <charset val="186"/>
      </rPr>
      <t> </t>
    </r>
  </si>
  <si>
    <t>Projekta iesniedzēja līdzfinansējums vienam elektromobilim</t>
  </si>
  <si>
    <r>
      <t>1.1.4.</t>
    </r>
    <r>
      <rPr>
        <sz val="7"/>
        <color theme="1"/>
        <rFont val="Times New Roman"/>
        <family val="1"/>
        <charset val="186"/>
      </rPr>
      <t xml:space="preserve">    </t>
    </r>
    <r>
      <rPr>
        <sz val="12"/>
        <color theme="1"/>
        <rFont val="Times New Roman"/>
        <family val="1"/>
        <charset val="186"/>
      </rPr>
      <t> </t>
    </r>
  </si>
  <si>
    <t>Projekta iesniedzēja līdzfinansējuma apjoms no viena elektromobiļa attiecināmām izmaksām</t>
  </si>
  <si>
    <r>
      <t>1.2.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</si>
  <si>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Neattiecināmās izmaksas vienam elektromobilim</t>
  </si>
  <si>
    <t>5.1.3. Projekta kopējie finansēšanas rādītāji:</t>
  </si>
  <si>
    <t>Kopējais projekta finansējums, tai skaitā:</t>
  </si>
  <si>
    <t>Attiecināmo izmaksu summa, tai skaitā:</t>
  </si>
  <si>
    <t>Finanšu instrumenta finansējums</t>
  </si>
  <si>
    <t>Finanšu instrumenta atbalsta intensitāte no attiecināmām izmaksām</t>
  </si>
  <si>
    <t>Projekta iesniedzēja līdzfinansējuma apjoms no attiecināmām izmaksām</t>
  </si>
  <si>
    <t>Neattiecināmo izmaksu summa</t>
  </si>
  <si>
    <t>5.3.Projekta finansēšanas plāns, EUR</t>
  </si>
  <si>
    <t>Projekta iesniedzējs</t>
  </si>
  <si>
    <t>1.1.2. Juridiskais statuss</t>
  </si>
  <si>
    <t>1.1.3. PVN atgūstams (PVN maksātājs)</t>
  </si>
  <si>
    <t>JĀ</t>
  </si>
  <si>
    <t>Faktiskā atbalsta likme</t>
  </si>
  <si>
    <t>vidējais komersants</t>
  </si>
  <si>
    <t>lielais komersants</t>
  </si>
  <si>
    <t>max intensitāte</t>
  </si>
  <si>
    <t>piezīmes</t>
  </si>
  <si>
    <t>tips</t>
  </si>
  <si>
    <t>6.1. un 6.2</t>
  </si>
  <si>
    <t>max</t>
  </si>
  <si>
    <t>(ja komersants izvēlas atbalstu saskaņā ar regulu Nr.800/2008)</t>
  </si>
  <si>
    <t>(ja komersants izvēlas atbalstu saskaņā ar Komisijas regulu Nr.1998/2006)</t>
  </si>
  <si>
    <t>sīkais (mikro) komersants</t>
  </si>
  <si>
    <t>mazais komersants</t>
  </si>
  <si>
    <t xml:space="preserve">komersants </t>
  </si>
  <si>
    <t>atvasināta publiska persona</t>
  </si>
  <si>
    <t xml:space="preserve">tiešās vai pastarpinātās pārvaldes iestāde </t>
  </si>
  <si>
    <t>(netiek veikta saimnieciskā darbība)</t>
  </si>
  <si>
    <t>Transportlīdzekļa kategorija</t>
  </si>
  <si>
    <t>M1</t>
  </si>
  <si>
    <t>N1</t>
  </si>
  <si>
    <t>M2</t>
  </si>
  <si>
    <t>M3</t>
  </si>
  <si>
    <t>atsauces izmaksas</t>
  </si>
  <si>
    <t>Kategorija</t>
  </si>
  <si>
    <t>2.2.4.</t>
  </si>
  <si>
    <t>2.2.1.</t>
  </si>
  <si>
    <t>Elektromobiļa marka un komercnosaukums</t>
  </si>
  <si>
    <r>
      <t>5.1.2. Projekta ietvaros iegādājamo elektromobiļu skaits</t>
    </r>
    <r>
      <rPr>
        <b/>
        <sz val="14"/>
        <color theme="1"/>
        <rFont val="Times New Roman"/>
        <family val="1"/>
        <charset val="186"/>
      </rPr>
      <t xml:space="preserve">: </t>
    </r>
  </si>
  <si>
    <t>Pievienotās vērtības nodoklis</t>
  </si>
  <si>
    <t>skaits</t>
  </si>
  <si>
    <t>Neat-tiecināmās izmaksas</t>
  </si>
  <si>
    <t>Viena elektromobiļa kopējās izmaksas, bez PVN</t>
  </si>
  <si>
    <t>Neattiecināmās izmaksas vienam elektromobilim (MK noteikumu 24. pants izņemot PVN)</t>
  </si>
  <si>
    <t>Transportlīdzekļi, kas paredzēti pasažieru pārvadāšanai un kuros sēdvietu skaits pārsniedz astoņas sēdvietas, neskaitot autovadītāja vietu, un kuru pilnā masa nepārsniedz 5 tonnas</t>
  </si>
  <si>
    <t>Transportlīdzekļi, kas paredzēti pasažieru pārvadāšanai un kuros sēdvietu skaits pārsniedz astoņas sēdvietas, neskaitot autovadītāja vietu, un kuru pilnā masa ir lielāka par 5 tonnām</t>
  </si>
  <si>
    <t>Transportlīdzekļi, kas paredzēti kravu pārvadāšanai un kuru pilnā masa nepārsniedz 3.5 tonnas</t>
  </si>
  <si>
    <t>Transportlīdzekļi, kas paredzēti pasažieru pārvadāšanai un kuros sēdvietu skaits nepārsniedz astoņas sēdvietas, neskaitot autovadītāja vietu</t>
  </si>
  <si>
    <t>(nobraukums starp pilnas uzlādes reizēm ir vismaz 100 kilometri un ātrums, ko tie spēj maksimāli sasniegt, ir vismaz 90 kilometri stundā)</t>
  </si>
  <si>
    <t>(nobraukums starp pilnas uzlādes reizēm ir vismaz 100 kilometri un ātrums, ko tie spēj maksimāli sasniegt, ir vismaz 70 kilometri stundā)</t>
  </si>
  <si>
    <t>Maksimālā atbalsta likme 7.1. un 7.2. aktivitātēm</t>
  </si>
  <si>
    <t>XYZ</t>
  </si>
  <si>
    <t>Pieprasītais KPFI finansējums</t>
  </si>
  <si>
    <t>Maksimālais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</si>
</sst>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%"/>
  </numFmts>
  <fonts count="39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5"/>
      <color theme="3"/>
      <name val="Times New Roman"/>
      <family val="2"/>
      <charset val="186"/>
    </font>
    <font>
      <b/>
      <sz val="13"/>
      <color theme="3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sz val="12"/>
      <color rgb="FF006100"/>
      <name val="Times New Roman"/>
      <family val="2"/>
      <charset val="186"/>
    </font>
    <font>
      <sz val="12"/>
      <color rgb="FF9C0006"/>
      <name val="Times New Roman"/>
      <family val="2"/>
      <charset val="186"/>
    </font>
    <font>
      <sz val="12"/>
      <color rgb="FF9C6500"/>
      <name val="Times New Roman"/>
      <family val="2"/>
      <charset val="186"/>
    </font>
    <font>
      <sz val="12"/>
      <color rgb="FF3F3F76"/>
      <name val="Times New Roman"/>
      <family val="2"/>
      <charset val="186"/>
    </font>
    <font>
      <b/>
      <sz val="12"/>
      <color rgb="FF3F3F3F"/>
      <name val="Times New Roman"/>
      <family val="2"/>
      <charset val="186"/>
    </font>
    <font>
      <b/>
      <sz val="12"/>
      <color rgb="FFFA7D00"/>
      <name val="Times New Roman"/>
      <family val="2"/>
      <charset val="186"/>
    </font>
    <font>
      <sz val="12"/>
      <color rgb="FFFA7D00"/>
      <name val="Times New Roman"/>
      <family val="2"/>
      <charset val="186"/>
    </font>
    <font>
      <b/>
      <sz val="12"/>
      <color theme="0"/>
      <name val="Times New Roman"/>
      <family val="2"/>
      <charset val="186"/>
    </font>
    <font>
      <sz val="12"/>
      <color rgb="FFFF0000"/>
      <name val="Times New Roman"/>
      <family val="2"/>
      <charset val="186"/>
    </font>
    <font>
      <i/>
      <sz val="12"/>
      <color rgb="FF7F7F7F"/>
      <name val="Times New Roman"/>
      <family val="2"/>
      <charset val="186"/>
    </font>
    <font>
      <b/>
      <sz val="12"/>
      <color theme="1"/>
      <name val="Times New Roman"/>
      <family val="2"/>
      <charset val="186"/>
    </font>
    <font>
      <sz val="12"/>
      <color theme="0"/>
      <name val="Times New Roman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vertAlign val="superscript"/>
      <sz val="14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theme="9" tint="-0.49998474074526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Times New Roman"/>
      <family val="2"/>
      <charset val="186"/>
    </font>
    <font>
      <sz val="10"/>
      <color rgb="FFFF0000"/>
      <name val="Times New Roman"/>
      <family val="1"/>
      <charset val="186"/>
    </font>
    <font>
      <sz val="8"/>
      <color theme="1"/>
      <name val="Times New Roman"/>
      <family val="2"/>
      <charset val="186"/>
    </font>
    <font>
      <sz val="10"/>
      <color theme="4" tint="0.59999389629810485"/>
      <name val="Times New Roman"/>
      <family val="1"/>
      <charset val="186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3" fillId="0" borderId="0" applyFont="0" applyFill="0" applyBorder="0" applyAlignment="0" applyProtection="0"/>
    <xf numFmtId="0" fontId="34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33" borderId="14" xfId="0" applyFont="1" applyFill="1" applyBorder="1" applyAlignment="1">
      <alignment horizontal="center"/>
    </xf>
    <xf numFmtId="0" fontId="18" fillId="0" borderId="10" xfId="0" applyFont="1" applyBorder="1"/>
    <xf numFmtId="164" fontId="29" fillId="34" borderId="10" xfId="1" applyNumberFormat="1" applyFont="1" applyFill="1" applyBorder="1"/>
    <xf numFmtId="10" fontId="30" fillId="0" borderId="10" xfId="1" applyNumberFormat="1" applyFont="1" applyBorder="1"/>
    <xf numFmtId="9" fontId="20" fillId="0" borderId="0" xfId="0" applyNumberFormat="1" applyFont="1" applyAlignment="1"/>
    <xf numFmtId="0" fontId="35" fillId="0" borderId="0" xfId="0" applyFont="1"/>
    <xf numFmtId="0" fontId="36" fillId="0" borderId="0" xfId="0" applyFont="1"/>
    <xf numFmtId="0" fontId="18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20" fillId="0" borderId="0" xfId="0" applyFont="1" applyAlignment="1"/>
    <xf numFmtId="0" fontId="20" fillId="0" borderId="0" xfId="0" applyFont="1" applyAlignment="1">
      <alignment horizontal="justify" vertical="center"/>
    </xf>
    <xf numFmtId="0" fontId="17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1" fillId="0" borderId="0" xfId="0" applyFont="1"/>
    <xf numFmtId="4" fontId="17" fillId="36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top" wrapText="1"/>
    </xf>
    <xf numFmtId="0" fontId="27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38" fillId="0" borderId="0" xfId="0" applyFont="1"/>
    <xf numFmtId="4" fontId="29" fillId="34" borderId="10" xfId="1" applyNumberFormat="1" applyFont="1" applyFill="1" applyBorder="1"/>
    <xf numFmtId="4" fontId="30" fillId="0" borderId="10" xfId="1" applyNumberFormat="1" applyFont="1" applyBorder="1"/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vertical="center" wrapText="1"/>
    </xf>
    <xf numFmtId="4" fontId="17" fillId="37" borderId="10" xfId="0" applyNumberFormat="1" applyFont="1" applyFill="1" applyBorder="1" applyAlignment="1">
      <alignment horizontal="right" vertical="center"/>
    </xf>
    <xf numFmtId="10" fontId="17" fillId="37" borderId="10" xfId="1" applyNumberFormat="1" applyFont="1" applyFill="1" applyBorder="1" applyAlignment="1">
      <alignment horizontal="right" vertical="center"/>
    </xf>
    <xf numFmtId="0" fontId="2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center" vertical="center" wrapText="1"/>
    </xf>
    <xf numFmtId="4" fontId="21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center" vertical="center" wrapText="1"/>
    </xf>
    <xf numFmtId="4" fontId="17" fillId="37" borderId="10" xfId="0" applyNumberFormat="1" applyFont="1" applyFill="1" applyBorder="1" applyAlignment="1">
      <alignment horizontal="right" vertical="center" wrapText="1"/>
    </xf>
    <xf numFmtId="0" fontId="20" fillId="37" borderId="10" xfId="0" applyFont="1" applyFill="1" applyBorder="1" applyAlignment="1">
      <alignment horizontal="justify" vertical="center" wrapText="1"/>
    </xf>
    <xf numFmtId="0" fontId="20" fillId="37" borderId="10" xfId="0" applyFont="1" applyFill="1" applyBorder="1" applyAlignment="1">
      <alignment horizontal="center" vertical="center" wrapText="1"/>
    </xf>
    <xf numFmtId="10" fontId="17" fillId="37" borderId="10" xfId="1" applyNumberFormat="1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right" vertical="center" wrapText="1"/>
    </xf>
    <xf numFmtId="10" fontId="18" fillId="37" borderId="10" xfId="1" applyNumberFormat="1" applyFont="1" applyFill="1" applyBorder="1" applyAlignment="1">
      <alignment horizontal="right" vertical="center" wrapText="1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4" xfId="40"/>
    <cellStyle name="Note 2" xfId="41"/>
    <cellStyle name="Output 2" xfId="42"/>
    <cellStyle name="Percent" xfId="1" builtinId="5"/>
    <cellStyle name="Percent 2" xfId="43"/>
    <cellStyle name="Standard_HWB Kurzverf. Formular" xfId="44"/>
    <cellStyle name="Total 2" xfId="45"/>
    <cellStyle name="Warning Text 2" xfId="46"/>
  </cellStyles>
  <dxfs count="1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"/>
  <sheetViews>
    <sheetView tabSelected="1" workbookViewId="0">
      <selection activeCell="E6" sqref="E6:H6"/>
    </sheetView>
  </sheetViews>
  <sheetFormatPr defaultColWidth="0" defaultRowHeight="15.75" customHeight="1" zeroHeight="1" x14ac:dyDescent="0.25"/>
  <cols>
    <col min="1" max="1" width="19.375" customWidth="1"/>
    <col min="2" max="3" width="9" customWidth="1"/>
    <col min="4" max="4" width="15" customWidth="1"/>
    <col min="5" max="8" width="9" customWidth="1"/>
    <col min="9" max="9" width="1.625" bestFit="1" customWidth="1"/>
    <col min="10" max="12" width="9" customWidth="1"/>
    <col min="13" max="13" width="22.375" customWidth="1"/>
    <col min="14" max="14" width="6.5" customWidth="1"/>
    <col min="15" max="16384" width="9" hidden="1"/>
  </cols>
  <sheetData>
    <row r="1" spans="1:14" x14ac:dyDescent="0.25">
      <c r="A1" s="30" t="s">
        <v>46</v>
      </c>
      <c r="B1" s="30"/>
      <c r="C1" s="30"/>
      <c r="D1" s="32"/>
      <c r="E1" s="33"/>
      <c r="F1" s="33"/>
      <c r="G1" s="33"/>
      <c r="H1" s="34"/>
    </row>
    <row r="2" spans="1:14" x14ac:dyDescent="0.25">
      <c r="A2" s="30" t="s">
        <v>47</v>
      </c>
      <c r="B2" s="30"/>
      <c r="C2" s="30"/>
      <c r="D2" s="35" t="s">
        <v>51</v>
      </c>
      <c r="E2" s="35"/>
      <c r="F2" s="35"/>
      <c r="G2" s="35"/>
      <c r="H2" s="35"/>
      <c r="I2" s="12" t="str">
        <f>VLOOKUP(D2,A16:D22,4,FALSE)</f>
        <v>(ja komersants izvēlas atbalstu saskaņā ar regulu Nr.800/2008)</v>
      </c>
      <c r="N2" s="41">
        <f>VLOOKUP(D2,A16:F22,6,FALSE)</f>
        <v>1</v>
      </c>
    </row>
    <row r="3" spans="1:14" x14ac:dyDescent="0.25">
      <c r="A3" s="30" t="s">
        <v>48</v>
      </c>
      <c r="B3" s="30"/>
      <c r="C3" s="30"/>
      <c r="D3" s="6" t="s">
        <v>49</v>
      </c>
      <c r="E3" s="2"/>
      <c r="F3" s="2"/>
      <c r="G3" s="2"/>
      <c r="H3" s="2"/>
    </row>
    <row r="4" spans="1:14" x14ac:dyDescent="0.25">
      <c r="A4" s="30" t="s">
        <v>50</v>
      </c>
      <c r="B4" s="30"/>
      <c r="C4" s="30"/>
      <c r="D4" s="8">
        <f>'5.1.3-5.3 tabulas'!F17</f>
        <v>0.44999934979151252</v>
      </c>
      <c r="E4" s="44" t="str">
        <f>IF(D4&gt;D5,"KĻŪDA - PĀRSNIEDZ MAKSIMĀLO LIKMI","")</f>
        <v/>
      </c>
      <c r="F4" s="45"/>
      <c r="G4" s="45"/>
      <c r="H4" s="45"/>
    </row>
    <row r="5" spans="1:14" x14ac:dyDescent="0.25">
      <c r="A5" s="31" t="s">
        <v>88</v>
      </c>
      <c r="B5" s="31"/>
      <c r="C5" s="31"/>
      <c r="D5" s="9">
        <f>VLOOKUP(D2,PĀRBAUDE!A16:B22,2,FALSE)</f>
        <v>0.45</v>
      </c>
      <c r="E5" s="2"/>
      <c r="F5" s="2"/>
      <c r="G5" s="2"/>
      <c r="H5" s="2"/>
    </row>
    <row r="6" spans="1:14" x14ac:dyDescent="0.25">
      <c r="A6" s="30" t="s">
        <v>90</v>
      </c>
      <c r="B6" s="30"/>
      <c r="C6" s="30"/>
      <c r="D6" s="42">
        <f>'5.1.3-5.3 tabulas'!E17</f>
        <v>17648.16</v>
      </c>
      <c r="E6" s="44" t="str">
        <f>IF(D6&gt;D7,"KĻŪDA - PĀRSNIEDZ MAKSIMĀLO FINANSĒJUMU","")</f>
        <v/>
      </c>
      <c r="F6" s="45"/>
      <c r="G6" s="45"/>
      <c r="H6" s="45"/>
    </row>
    <row r="7" spans="1:14" ht="15.75" customHeight="1" x14ac:dyDescent="0.25">
      <c r="A7" s="31" t="s">
        <v>91</v>
      </c>
      <c r="B7" s="31"/>
      <c r="C7" s="31"/>
      <c r="D7" s="43">
        <f>VLOOKUP(D2,PĀRBAUDE!A16:E22,5,FALSE)</f>
        <v>555000</v>
      </c>
    </row>
    <row r="8" spans="1:14" ht="15.75" customHeight="1" x14ac:dyDescent="0.25"/>
    <row r="9" spans="1:14" ht="15.75" hidden="1" customHeight="1" x14ac:dyDescent="0.25"/>
    <row r="10" spans="1:14" ht="15.75" hidden="1" customHeight="1" x14ac:dyDescent="0.25"/>
    <row r="11" spans="1:14" ht="15.75" hidden="1" customHeight="1" x14ac:dyDescent="0.25"/>
    <row r="12" spans="1:14" ht="15.75" hidden="1" customHeight="1" x14ac:dyDescent="0.25"/>
    <row r="13" spans="1:14" ht="15.75" hidden="1" customHeight="1" x14ac:dyDescent="0.25"/>
    <row r="14" spans="1:14" hidden="1" x14ac:dyDescent="0.25">
      <c r="B14" s="11" t="s">
        <v>53</v>
      </c>
    </row>
    <row r="15" spans="1:14" hidden="1" x14ac:dyDescent="0.25">
      <c r="A15" s="11" t="s">
        <v>55</v>
      </c>
      <c r="B15" s="11" t="s">
        <v>56</v>
      </c>
      <c r="C15" s="11">
        <v>6.3</v>
      </c>
      <c r="D15" s="11" t="s">
        <v>54</v>
      </c>
    </row>
    <row r="16" spans="1:14" hidden="1" x14ac:dyDescent="0.25">
      <c r="A16" s="2" t="s">
        <v>60</v>
      </c>
      <c r="B16" s="10">
        <v>0.55000000000000004</v>
      </c>
      <c r="C16" s="10">
        <v>0.7</v>
      </c>
      <c r="D16" s="2" t="s">
        <v>58</v>
      </c>
      <c r="E16" s="11">
        <v>555000</v>
      </c>
      <c r="F16" s="11">
        <v>1</v>
      </c>
    </row>
    <row r="17" spans="1:6" hidden="1" x14ac:dyDescent="0.25">
      <c r="A17" s="2" t="s">
        <v>61</v>
      </c>
      <c r="B17" s="10">
        <v>0.55000000000000004</v>
      </c>
      <c r="C17" s="10">
        <v>0.7</v>
      </c>
      <c r="D17" s="2" t="s">
        <v>58</v>
      </c>
      <c r="E17" s="11">
        <v>555000</v>
      </c>
      <c r="F17" s="11">
        <v>1</v>
      </c>
    </row>
    <row r="18" spans="1:6" hidden="1" x14ac:dyDescent="0.25">
      <c r="A18" s="2" t="s">
        <v>51</v>
      </c>
      <c r="B18" s="10">
        <v>0.45</v>
      </c>
      <c r="C18" s="10">
        <v>0.6</v>
      </c>
      <c r="D18" s="2" t="s">
        <v>58</v>
      </c>
      <c r="E18" s="11">
        <v>555000</v>
      </c>
      <c r="F18" s="11">
        <v>1</v>
      </c>
    </row>
    <row r="19" spans="1:6" hidden="1" x14ac:dyDescent="0.25">
      <c r="A19" s="2" t="s">
        <v>52</v>
      </c>
      <c r="B19" s="10">
        <v>0.35</v>
      </c>
      <c r="C19" s="10">
        <v>0.5</v>
      </c>
      <c r="D19" s="2" t="s">
        <v>58</v>
      </c>
      <c r="E19" s="11">
        <v>555000</v>
      </c>
      <c r="F19" s="11">
        <v>1</v>
      </c>
    </row>
    <row r="20" spans="1:6" hidden="1" x14ac:dyDescent="0.25">
      <c r="A20" s="2" t="s">
        <v>62</v>
      </c>
      <c r="B20" s="10">
        <v>0.5</v>
      </c>
      <c r="C20" s="10">
        <v>0.7</v>
      </c>
      <c r="D20" s="2" t="s">
        <v>59</v>
      </c>
      <c r="E20" s="11">
        <v>200000</v>
      </c>
      <c r="F20" s="11">
        <v>0</v>
      </c>
    </row>
    <row r="21" spans="1:6" hidden="1" x14ac:dyDescent="0.25">
      <c r="A21" s="2" t="s">
        <v>63</v>
      </c>
      <c r="B21" s="10">
        <v>0.85</v>
      </c>
      <c r="C21" s="2">
        <v>0.85</v>
      </c>
      <c r="D21" s="2" t="s">
        <v>65</v>
      </c>
      <c r="E21" s="11">
        <v>555000</v>
      </c>
      <c r="F21" s="11">
        <v>0</v>
      </c>
    </row>
    <row r="22" spans="1:6" hidden="1" x14ac:dyDescent="0.25">
      <c r="A22" s="2" t="s">
        <v>64</v>
      </c>
      <c r="B22" s="10">
        <v>0.85</v>
      </c>
      <c r="C22" s="2">
        <v>0.85</v>
      </c>
      <c r="D22" s="2" t="s">
        <v>65</v>
      </c>
      <c r="E22" s="11">
        <v>555000</v>
      </c>
      <c r="F22" s="11">
        <v>0</v>
      </c>
    </row>
  </sheetData>
  <mergeCells count="11">
    <mergeCell ref="A6:C6"/>
    <mergeCell ref="E6:H6"/>
    <mergeCell ref="A7:C7"/>
    <mergeCell ref="A4:C4"/>
    <mergeCell ref="E4:H4"/>
    <mergeCell ref="A5:C5"/>
    <mergeCell ref="A1:C1"/>
    <mergeCell ref="D1:H1"/>
    <mergeCell ref="A2:C2"/>
    <mergeCell ref="D2:H2"/>
    <mergeCell ref="A3:C3"/>
  </mergeCells>
  <conditionalFormatting sqref="D4">
    <cfRule type="expression" dxfId="12" priority="9">
      <formula>$D$4&lt;=$D$5</formula>
    </cfRule>
  </conditionalFormatting>
  <conditionalFormatting sqref="E4">
    <cfRule type="expression" dxfId="11" priority="5">
      <formula>E4&lt;&gt;""</formula>
    </cfRule>
  </conditionalFormatting>
  <conditionalFormatting sqref="D6">
    <cfRule type="expression" dxfId="3" priority="2">
      <formula>$D$4&lt;=$D$5</formula>
    </cfRule>
  </conditionalFormatting>
  <conditionalFormatting sqref="E6">
    <cfRule type="expression" dxfId="1" priority="1">
      <formula>E6&lt;&gt;""</formula>
    </cfRule>
  </conditionalFormatting>
  <dataValidations count="2">
    <dataValidation type="list" allowBlank="1" showInputMessage="1" showErrorMessage="1" sqref="D2:H2">
      <formula1>$A$16:$A$22</formula1>
    </dataValidation>
    <dataValidation type="list" allowBlank="1" showInputMessage="1" showErrorMessage="1" sqref="D3">
      <formula1>"JĀ,NĒ"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pane xSplit="3" ySplit="2" topLeftCell="D3" activePane="bottomRight" state="frozenSplit"/>
      <selection pane="topRight" activeCell="B1" sqref="B1"/>
      <selection pane="bottomLeft" activeCell="A7" sqref="A7"/>
      <selection pane="bottomRight" activeCell="E20" sqref="E20"/>
    </sheetView>
  </sheetViews>
  <sheetFormatPr defaultColWidth="0" defaultRowHeight="15.75" zeroHeight="1" x14ac:dyDescent="0.25"/>
  <cols>
    <col min="1" max="1" width="9" customWidth="1"/>
    <col min="2" max="2" width="53.625" customWidth="1"/>
    <col min="3" max="3" width="11.5" customWidth="1"/>
    <col min="4" max="8" width="18.75" customWidth="1"/>
    <col min="9" max="9" width="9" customWidth="1"/>
    <col min="10" max="16384" width="9" hidden="1"/>
  </cols>
  <sheetData>
    <row r="1" spans="1:8" ht="39" customHeight="1" x14ac:dyDescent="0.25">
      <c r="A1" s="13" t="s">
        <v>74</v>
      </c>
      <c r="B1" s="24" t="s">
        <v>75</v>
      </c>
      <c r="D1" s="25" t="s">
        <v>89</v>
      </c>
      <c r="E1" s="25"/>
      <c r="F1" s="25"/>
      <c r="G1" s="25"/>
      <c r="H1" s="25"/>
    </row>
    <row r="2" spans="1:8" x14ac:dyDescent="0.25">
      <c r="A2" s="13" t="s">
        <v>73</v>
      </c>
      <c r="B2" s="7" t="s">
        <v>66</v>
      </c>
      <c r="D2" s="23" t="s">
        <v>67</v>
      </c>
      <c r="E2" s="23"/>
      <c r="F2" s="23"/>
      <c r="G2" s="23"/>
      <c r="H2" s="23"/>
    </row>
    <row r="3" spans="1:8" ht="58.5" customHeight="1" x14ac:dyDescent="0.25">
      <c r="A3" s="4"/>
      <c r="D3" s="29" t="str">
        <f>IF(D2="","",VLOOKUP(D2,$A$26:$E$29,5,FALSE))</f>
        <v>(nobraukums starp pilnas uzlādes reizēm ir vismaz 100 kilometri un ātrums, ko tie spēj maksimāli sasniegt, ir vismaz 90 kilometri stundā)</v>
      </c>
      <c r="E3" s="29" t="str">
        <f t="shared" ref="E3:H3" si="0">IF(E2="","",VLOOKUP(E2,$A$26:$E$29,5,FALSE))</f>
        <v/>
      </c>
      <c r="F3" s="29" t="str">
        <f t="shared" si="0"/>
        <v/>
      </c>
      <c r="G3" s="29" t="str">
        <f t="shared" si="0"/>
        <v/>
      </c>
      <c r="H3" s="29" t="str">
        <f t="shared" si="0"/>
        <v/>
      </c>
    </row>
    <row r="4" spans="1:8" ht="91.5" customHeight="1" x14ac:dyDescent="0.25">
      <c r="A4" s="4"/>
      <c r="D4" s="29" t="str">
        <f>IF(D2="","",VLOOKUP(D2,$A$26:$D$29,4,FALSE))</f>
        <v>Transportlīdzekļi, kas paredzēti pasažieru pārvadāšanai un kuros sēdvietu skaits nepārsniedz astoņas sēdvietas, neskaitot autovadītāja vietu</v>
      </c>
      <c r="E4" s="29" t="str">
        <f t="shared" ref="E4:H4" si="1">IF(E2="","",VLOOKUP(E2,$A$26:$D$29,4,FALSE))</f>
        <v/>
      </c>
      <c r="F4" s="29" t="str">
        <f t="shared" si="1"/>
        <v/>
      </c>
      <c r="G4" s="29" t="str">
        <f t="shared" si="1"/>
        <v/>
      </c>
      <c r="H4" s="29" t="str">
        <f t="shared" si="1"/>
        <v/>
      </c>
    </row>
    <row r="5" spans="1:8" x14ac:dyDescent="0.25"/>
    <row r="6" spans="1:8" ht="21.75" x14ac:dyDescent="0.25">
      <c r="A6" s="1" t="s">
        <v>23</v>
      </c>
    </row>
    <row r="7" spans="1:8" x14ac:dyDescent="0.25">
      <c r="A7" s="19" t="s">
        <v>0</v>
      </c>
      <c r="B7" s="20" t="s">
        <v>1</v>
      </c>
      <c r="C7" s="19" t="s">
        <v>2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</row>
    <row r="8" spans="1:8" x14ac:dyDescent="0.25">
      <c r="A8" s="46" t="s">
        <v>24</v>
      </c>
      <c r="B8" s="47" t="s">
        <v>25</v>
      </c>
      <c r="C8" s="46" t="s">
        <v>4</v>
      </c>
      <c r="D8" s="48">
        <f>D17+D18</f>
        <v>33000</v>
      </c>
      <c r="E8" s="48">
        <f t="shared" ref="E8:H8" si="2">E17+E18</f>
        <v>0</v>
      </c>
      <c r="F8" s="48">
        <f t="shared" si="2"/>
        <v>0</v>
      </c>
      <c r="G8" s="48">
        <f t="shared" si="2"/>
        <v>0</v>
      </c>
      <c r="H8" s="48">
        <f t="shared" si="2"/>
        <v>0</v>
      </c>
    </row>
    <row r="9" spans="1:8" ht="18.75" x14ac:dyDescent="0.25">
      <c r="A9" s="46" t="s">
        <v>26</v>
      </c>
      <c r="B9" s="47" t="s">
        <v>27</v>
      </c>
      <c r="C9" s="46" t="s">
        <v>4</v>
      </c>
      <c r="D9" s="48">
        <f>D8-IF(D2="",0,VLOOKUP(D2,$A$26:$C$29,3,FALSE))*PĀRBAUDE!N2-D19-IF(PĀRBAUDE!$D$3="JĀ",D18,0)</f>
        <v>13072.73</v>
      </c>
      <c r="E9" s="48">
        <f>E8-IF(E2="",0,VLOOKUP(E2,$A$26:$C$29,3,FALSE))*PĀRBAUDE!N2-E19-IF(PĀRBAUDE!$D$3="JĀ",E18,0)</f>
        <v>0</v>
      </c>
      <c r="F9" s="48">
        <f>F8-IF(F2="",0,VLOOKUP(F2,$A$26:$C$29,3,FALSE))*PĀRBAUDE!N2-F19-IF(PĀRBAUDE!$D$3="JĀ",F18,0)</f>
        <v>0</v>
      </c>
      <c r="G9" s="48">
        <f>G8-IF(G2="",0,VLOOKUP(G2,$A$26:$C$29,3,FALSE))*PĀRBAUDE!N2-G19-IF(PĀRBAUDE!$D$3="JĀ",G18,0)</f>
        <v>0</v>
      </c>
      <c r="H9" s="48">
        <f>H8-IF(H2="",0,VLOOKUP(H2,$A$26:$C$29,3,FALSE))*PĀRBAUDE!N2-H19-IF(PĀRBAUDE!$D$3="JĀ",H18,0)</f>
        <v>0</v>
      </c>
    </row>
    <row r="10" spans="1:8" x14ac:dyDescent="0.25">
      <c r="A10" s="46" t="s">
        <v>28</v>
      </c>
      <c r="B10" s="47" t="s">
        <v>29</v>
      </c>
      <c r="C10" s="46" t="s">
        <v>4</v>
      </c>
      <c r="D10" s="28">
        <v>5882.72</v>
      </c>
      <c r="E10" s="28"/>
      <c r="F10" s="28"/>
      <c r="G10" s="28"/>
      <c r="H10" s="28"/>
    </row>
    <row r="11" spans="1:8" ht="31.5" x14ac:dyDescent="0.25">
      <c r="A11" s="46" t="s">
        <v>30</v>
      </c>
      <c r="B11" s="47" t="s">
        <v>31</v>
      </c>
      <c r="C11" s="46" t="s">
        <v>8</v>
      </c>
      <c r="D11" s="49">
        <f>IF(D9=0,0,D10/D9)</f>
        <v>0.44999934979151257</v>
      </c>
      <c r="E11" s="49">
        <f t="shared" ref="E11:H11" si="3">IF(E9=0,0,E10/E9)</f>
        <v>0</v>
      </c>
      <c r="F11" s="49">
        <f t="shared" si="3"/>
        <v>0</v>
      </c>
      <c r="G11" s="49">
        <f t="shared" si="3"/>
        <v>0</v>
      </c>
      <c r="H11" s="49">
        <f t="shared" si="3"/>
        <v>0</v>
      </c>
    </row>
    <row r="12" spans="1:8" x14ac:dyDescent="0.25">
      <c r="A12" s="46" t="s">
        <v>32</v>
      </c>
      <c r="B12" s="47" t="s">
        <v>33</v>
      </c>
      <c r="C12" s="46" t="s">
        <v>4</v>
      </c>
      <c r="D12" s="48">
        <f>D9-D10</f>
        <v>7190.0099999999993</v>
      </c>
      <c r="E12" s="48">
        <f>E9-E10</f>
        <v>0</v>
      </c>
      <c r="F12" s="48">
        <f t="shared" ref="F12:H12" si="4">F9-F10</f>
        <v>0</v>
      </c>
      <c r="G12" s="48">
        <f t="shared" si="4"/>
        <v>0</v>
      </c>
      <c r="H12" s="48">
        <f t="shared" si="4"/>
        <v>0</v>
      </c>
    </row>
    <row r="13" spans="1:8" ht="31.5" x14ac:dyDescent="0.25">
      <c r="A13" s="46" t="s">
        <v>34</v>
      </c>
      <c r="B13" s="47" t="s">
        <v>35</v>
      </c>
      <c r="C13" s="46" t="s">
        <v>8</v>
      </c>
      <c r="D13" s="49">
        <f>IF(D9=0,0,D12/D9)</f>
        <v>0.55000065020848743</v>
      </c>
      <c r="E13" s="49">
        <f t="shared" ref="E13:H13" si="5">IF(E9=0,0,E12/E9)</f>
        <v>0</v>
      </c>
      <c r="F13" s="49">
        <f t="shared" si="5"/>
        <v>0</v>
      </c>
      <c r="G13" s="49">
        <f t="shared" si="5"/>
        <v>0</v>
      </c>
      <c r="H13" s="49">
        <f t="shared" si="5"/>
        <v>0</v>
      </c>
    </row>
    <row r="14" spans="1:8" x14ac:dyDescent="0.25">
      <c r="A14" s="46" t="s">
        <v>36</v>
      </c>
      <c r="B14" s="47" t="s">
        <v>37</v>
      </c>
      <c r="C14" s="46" t="s">
        <v>4</v>
      </c>
      <c r="D14" s="48">
        <f>D8-D9</f>
        <v>19927.27</v>
      </c>
      <c r="E14" s="48">
        <f>E8-E9</f>
        <v>0</v>
      </c>
      <c r="F14" s="48">
        <f>F8-F9</f>
        <v>0</v>
      </c>
      <c r="G14" s="48">
        <f>G8-G9</f>
        <v>0</v>
      </c>
      <c r="H14" s="48">
        <f>H8-H9</f>
        <v>0</v>
      </c>
    </row>
    <row r="15" spans="1:8" x14ac:dyDescent="0.25">
      <c r="A15" s="4"/>
      <c r="D15" s="18"/>
      <c r="E15" s="18"/>
      <c r="F15" s="18"/>
      <c r="G15" s="18"/>
      <c r="H15" s="18"/>
    </row>
    <row r="16" spans="1:8" x14ac:dyDescent="0.25"/>
    <row r="17" spans="1:8" s="27" customFormat="1" x14ac:dyDescent="0.25">
      <c r="A17" s="4"/>
      <c r="B17" s="50" t="s">
        <v>80</v>
      </c>
      <c r="C17" s="51" t="s">
        <v>4</v>
      </c>
      <c r="D17" s="26">
        <v>27272.73</v>
      </c>
      <c r="E17" s="26"/>
      <c r="F17" s="26"/>
      <c r="G17" s="26"/>
      <c r="H17" s="26"/>
    </row>
    <row r="18" spans="1:8" s="27" customFormat="1" x14ac:dyDescent="0.25">
      <c r="A18" s="4"/>
      <c r="B18" s="50" t="s">
        <v>77</v>
      </c>
      <c r="C18" s="51" t="s">
        <v>4</v>
      </c>
      <c r="D18" s="52">
        <f>ROUND(D17*0.21,2)</f>
        <v>5727.27</v>
      </c>
      <c r="E18" s="52">
        <f t="shared" ref="E18:H18" si="6">ROUND(E17*0.21,2)</f>
        <v>0</v>
      </c>
      <c r="F18" s="52">
        <f t="shared" si="6"/>
        <v>0</v>
      </c>
      <c r="G18" s="52">
        <f t="shared" si="6"/>
        <v>0</v>
      </c>
      <c r="H18" s="52">
        <f t="shared" si="6"/>
        <v>0</v>
      </c>
    </row>
    <row r="19" spans="1:8" s="27" customFormat="1" ht="31.5" x14ac:dyDescent="0.25">
      <c r="A19" s="4"/>
      <c r="B19" s="50" t="s">
        <v>81</v>
      </c>
      <c r="C19" s="51" t="s">
        <v>4</v>
      </c>
      <c r="D19" s="26"/>
      <c r="E19" s="26"/>
      <c r="F19" s="26"/>
      <c r="G19" s="26"/>
      <c r="H19" s="26"/>
    </row>
    <row r="20" spans="1:8" x14ac:dyDescent="0.25">
      <c r="D20" s="18"/>
      <c r="E20" s="18"/>
      <c r="F20" s="18"/>
      <c r="G20" s="18"/>
      <c r="H20" s="18"/>
    </row>
    <row r="21" spans="1:8" ht="18.75" x14ac:dyDescent="0.25">
      <c r="A21" s="1" t="s">
        <v>76</v>
      </c>
      <c r="C21" s="19" t="s">
        <v>78</v>
      </c>
      <c r="D21" s="17">
        <v>3</v>
      </c>
      <c r="E21" s="17"/>
      <c r="F21" s="17"/>
      <c r="G21" s="17"/>
      <c r="H21" s="17"/>
    </row>
    <row r="22" spans="1:8" x14ac:dyDescent="0.25"/>
    <row r="23" spans="1:8" hidden="1" x14ac:dyDescent="0.25"/>
    <row r="24" spans="1:8" s="2" customFormat="1" ht="12.75" hidden="1" x14ac:dyDescent="0.2">
      <c r="A24" s="15" t="s">
        <v>66</v>
      </c>
      <c r="B24" s="15"/>
      <c r="C24" s="15"/>
      <c r="D24" s="16"/>
    </row>
    <row r="25" spans="1:8" s="2" customFormat="1" ht="12.75" hidden="1" x14ac:dyDescent="0.2">
      <c r="A25" s="15" t="s">
        <v>72</v>
      </c>
      <c r="B25" s="15" t="s">
        <v>57</v>
      </c>
      <c r="C25" s="15" t="s">
        <v>71</v>
      </c>
      <c r="D25" s="14"/>
    </row>
    <row r="26" spans="1:8" s="2" customFormat="1" ht="12.75" hidden="1" x14ac:dyDescent="0.2">
      <c r="A26" s="2" t="s">
        <v>67</v>
      </c>
      <c r="B26" s="2">
        <v>18500</v>
      </c>
      <c r="C26" s="2">
        <v>14200</v>
      </c>
      <c r="D26" s="2" t="s">
        <v>85</v>
      </c>
      <c r="E26" s="2" t="s">
        <v>86</v>
      </c>
    </row>
    <row r="27" spans="1:8" s="2" customFormat="1" ht="12.75" hidden="1" x14ac:dyDescent="0.2">
      <c r="A27" s="2" t="s">
        <v>68</v>
      </c>
      <c r="B27" s="2">
        <v>18500</v>
      </c>
      <c r="C27" s="2">
        <v>21300</v>
      </c>
      <c r="D27" s="2" t="s">
        <v>84</v>
      </c>
      <c r="E27" s="2" t="s">
        <v>86</v>
      </c>
    </row>
    <row r="28" spans="1:8" s="2" customFormat="1" ht="12.75" hidden="1" x14ac:dyDescent="0.2">
      <c r="A28" s="2" t="s">
        <v>69</v>
      </c>
      <c r="B28" s="2">
        <v>42500</v>
      </c>
      <c r="C28" s="2">
        <v>64000</v>
      </c>
      <c r="D28" s="2" t="s">
        <v>82</v>
      </c>
      <c r="E28" s="2" t="s">
        <v>87</v>
      </c>
    </row>
    <row r="29" spans="1:8" s="2" customFormat="1" ht="12.75" hidden="1" x14ac:dyDescent="0.2">
      <c r="A29" s="2" t="s">
        <v>70</v>
      </c>
      <c r="B29" s="2">
        <v>284500</v>
      </c>
      <c r="C29" s="2">
        <v>241900</v>
      </c>
      <c r="D29" s="2" t="s">
        <v>83</v>
      </c>
      <c r="E29" s="2" t="s">
        <v>87</v>
      </c>
    </row>
  </sheetData>
  <conditionalFormatting sqref="D10">
    <cfRule type="expression" dxfId="10" priority="8">
      <formula>VLOOKUP(D2,$A$26:$B$29,2,FALSE)&lt;D10</formula>
    </cfRule>
  </conditionalFormatting>
  <conditionalFormatting sqref="E10:H10">
    <cfRule type="expression" dxfId="9" priority="7">
      <formula>VLOOKUP(E2,$A$26:$B$29,2,FALSE)&lt;E10</formula>
    </cfRule>
  </conditionalFormatting>
  <conditionalFormatting sqref="D9">
    <cfRule type="expression" dxfId="8" priority="6">
      <formula>D9&lt;0</formula>
    </cfRule>
  </conditionalFormatting>
  <conditionalFormatting sqref="E9:H9">
    <cfRule type="expression" dxfId="7" priority="5">
      <formula>E9&lt;0</formula>
    </cfRule>
  </conditionalFormatting>
  <conditionalFormatting sqref="D12:H12">
    <cfRule type="expression" dxfId="6" priority="4">
      <formula>D12&lt;0</formula>
    </cfRule>
  </conditionalFormatting>
  <conditionalFormatting sqref="D21">
    <cfRule type="expression" dxfId="5" priority="3">
      <formula>AND(D2="",D21&lt;&gt;"")</formula>
    </cfRule>
  </conditionalFormatting>
  <conditionalFormatting sqref="E21:H21">
    <cfRule type="expression" dxfId="4" priority="1">
      <formula>AND(E2="",E21&lt;&gt;"")</formula>
    </cfRule>
  </conditionalFormatting>
  <dataValidations count="1">
    <dataValidation type="list" allowBlank="1" showInputMessage="1" showErrorMessage="1" sqref="D2:H2">
      <formula1>$A$26:$A$29</formula1>
    </dataValidation>
  </dataValidation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G7" sqref="G7:H7"/>
    </sheetView>
  </sheetViews>
  <sheetFormatPr defaultColWidth="0" defaultRowHeight="15.75" zeroHeight="1" x14ac:dyDescent="0.25"/>
  <cols>
    <col min="1" max="1" width="9" customWidth="1"/>
    <col min="2" max="5" width="12" customWidth="1"/>
    <col min="6" max="6" width="8.5" customWidth="1"/>
    <col min="7" max="7" width="12" customWidth="1"/>
    <col min="8" max="8" width="8.5" customWidth="1"/>
    <col min="9" max="9" width="12" customWidth="1"/>
    <col min="10" max="10" width="9" customWidth="1"/>
    <col min="11" max="16384" width="9" hidden="1"/>
  </cols>
  <sheetData>
    <row r="1" spans="1:10" ht="18.75" x14ac:dyDescent="0.25">
      <c r="A1" s="1" t="s">
        <v>38</v>
      </c>
    </row>
    <row r="2" spans="1:10" ht="31.5" customHeight="1" x14ac:dyDescent="0.25">
      <c r="A2" s="19" t="s">
        <v>0</v>
      </c>
      <c r="B2" s="36" t="s">
        <v>1</v>
      </c>
      <c r="C2" s="36"/>
      <c r="D2" s="36"/>
      <c r="E2" s="36"/>
      <c r="F2" s="36"/>
      <c r="G2" s="36" t="s">
        <v>2</v>
      </c>
      <c r="H2" s="36"/>
      <c r="I2" s="19" t="s">
        <v>3</v>
      </c>
    </row>
    <row r="3" spans="1:10" x14ac:dyDescent="0.25">
      <c r="A3" s="46">
        <v>1</v>
      </c>
      <c r="B3" s="53" t="s">
        <v>39</v>
      </c>
      <c r="C3" s="53"/>
      <c r="D3" s="53"/>
      <c r="E3" s="53"/>
      <c r="F3" s="53"/>
      <c r="G3" s="54" t="s">
        <v>4</v>
      </c>
      <c r="H3" s="54"/>
      <c r="I3" s="55">
        <f>'5.1.1-2 tabulas'!D8*'5.1.1-2 tabulas'!D21+'5.1.1-2 tabulas'!E8*'5.1.1-2 tabulas'!E21+'5.1.1-2 tabulas'!F8*'5.1.1-2 tabulas'!F21+'5.1.1-2 tabulas'!G8*'5.1.1-2 tabulas'!G21+'5.1.1-2 tabulas'!H8*'5.1.1-2 tabulas'!H21</f>
        <v>99000</v>
      </c>
    </row>
    <row r="4" spans="1:10" x14ac:dyDescent="0.25">
      <c r="A4" s="46" t="s">
        <v>5</v>
      </c>
      <c r="B4" s="53" t="s">
        <v>40</v>
      </c>
      <c r="C4" s="53"/>
      <c r="D4" s="53"/>
      <c r="E4" s="53"/>
      <c r="F4" s="53"/>
      <c r="G4" s="54" t="s">
        <v>4</v>
      </c>
      <c r="H4" s="54"/>
      <c r="I4" s="55">
        <f>'5.1.1-2 tabulas'!D9*'5.1.1-2 tabulas'!D21+'5.1.1-2 tabulas'!E9*'5.1.1-2 tabulas'!E21+'5.1.1-2 tabulas'!F9*'5.1.1-2 tabulas'!F21+'5.1.1-2 tabulas'!G9*'5.1.1-2 tabulas'!G21+'5.1.1-2 tabulas'!H9*'5.1.1-2 tabulas'!H21</f>
        <v>39218.19</v>
      </c>
    </row>
    <row r="5" spans="1:10" x14ac:dyDescent="0.25">
      <c r="A5" s="46" t="s">
        <v>6</v>
      </c>
      <c r="B5" s="53" t="s">
        <v>41</v>
      </c>
      <c r="C5" s="53"/>
      <c r="D5" s="53"/>
      <c r="E5" s="53"/>
      <c r="F5" s="53"/>
      <c r="G5" s="54" t="s">
        <v>4</v>
      </c>
      <c r="H5" s="54"/>
      <c r="I5" s="55">
        <f>'5.1.1-2 tabulas'!D10*'5.1.1-2 tabulas'!D21+'5.1.1-2 tabulas'!E10*'5.1.1-2 tabulas'!E21+'5.1.1-2 tabulas'!F10*'5.1.1-2 tabulas'!F21+'5.1.1-2 tabulas'!G10*'5.1.1-2 tabulas'!G21+'5.1.1-2 tabulas'!H10*'5.1.1-2 tabulas'!H21</f>
        <v>17648.16</v>
      </c>
    </row>
    <row r="6" spans="1:10" x14ac:dyDescent="0.25">
      <c r="A6" s="46" t="s">
        <v>7</v>
      </c>
      <c r="B6" s="53" t="s">
        <v>42</v>
      </c>
      <c r="C6" s="53"/>
      <c r="D6" s="53"/>
      <c r="E6" s="53"/>
      <c r="F6" s="53"/>
      <c r="G6" s="54" t="s">
        <v>8</v>
      </c>
      <c r="H6" s="54"/>
      <c r="I6" s="49">
        <f>IF(I4=0,0,I5/I4)</f>
        <v>0.44999934979151252</v>
      </c>
    </row>
    <row r="7" spans="1:10" x14ac:dyDescent="0.25">
      <c r="A7" s="46" t="s">
        <v>9</v>
      </c>
      <c r="B7" s="53" t="s">
        <v>15</v>
      </c>
      <c r="C7" s="53"/>
      <c r="D7" s="53"/>
      <c r="E7" s="53"/>
      <c r="F7" s="53"/>
      <c r="G7" s="54" t="s">
        <v>4</v>
      </c>
      <c r="H7" s="54"/>
      <c r="I7" s="55">
        <f>'5.1.1-2 tabulas'!D12*'5.1.1-2 tabulas'!D21+'5.1.1-2 tabulas'!E12*'5.1.1-2 tabulas'!E21+'5.1.1-2 tabulas'!F12*'5.1.1-2 tabulas'!F21+'5.1.1-2 tabulas'!G12*'5.1.1-2 tabulas'!G21+'5.1.1-2 tabulas'!H12*'5.1.1-2 tabulas'!H21</f>
        <v>21570.03</v>
      </c>
    </row>
    <row r="8" spans="1:10" x14ac:dyDescent="0.25">
      <c r="A8" s="46" t="s">
        <v>10</v>
      </c>
      <c r="B8" s="53" t="s">
        <v>43</v>
      </c>
      <c r="C8" s="53"/>
      <c r="D8" s="53"/>
      <c r="E8" s="53"/>
      <c r="F8" s="53"/>
      <c r="G8" s="54" t="s">
        <v>8</v>
      </c>
      <c r="H8" s="54"/>
      <c r="I8" s="49">
        <f>IF(I4=0,0,I7/I4)</f>
        <v>0.55000065020848743</v>
      </c>
    </row>
    <row r="9" spans="1:10" ht="15.75" customHeight="1" x14ac:dyDescent="0.25">
      <c r="A9" s="46" t="s">
        <v>11</v>
      </c>
      <c r="B9" s="53" t="s">
        <v>44</v>
      </c>
      <c r="C9" s="53"/>
      <c r="D9" s="53"/>
      <c r="E9" s="53"/>
      <c r="F9" s="53"/>
      <c r="G9" s="54" t="s">
        <v>4</v>
      </c>
      <c r="H9" s="54"/>
      <c r="I9" s="55">
        <f>'5.1.1-2 tabulas'!D14*'5.1.1-2 tabulas'!D21+'5.1.1-2 tabulas'!E14*'5.1.1-2 tabulas'!E21+'5.1.1-2 tabulas'!F14*'5.1.1-2 tabulas'!F21+'5.1.1-2 tabulas'!G14*'5.1.1-2 tabulas'!G21+'5.1.1-2 tabulas'!H14*'5.1.1-2 tabulas'!H21</f>
        <v>59781.81</v>
      </c>
    </row>
    <row r="10" spans="1:10" x14ac:dyDescent="0.25"/>
    <row r="11" spans="1:10" ht="18.75" x14ac:dyDescent="0.25">
      <c r="A11" s="1" t="s">
        <v>45</v>
      </c>
    </row>
    <row r="12" spans="1:10" x14ac:dyDescent="0.25">
      <c r="B12" s="5"/>
    </row>
    <row r="13" spans="1:10" ht="62.25" customHeight="1" x14ac:dyDescent="0.25">
      <c r="A13" s="22" t="s">
        <v>12</v>
      </c>
      <c r="B13" s="19" t="s">
        <v>13</v>
      </c>
      <c r="C13" s="19" t="s">
        <v>79</v>
      </c>
      <c r="D13" s="19" t="s">
        <v>14</v>
      </c>
      <c r="E13" s="39" t="s">
        <v>41</v>
      </c>
      <c r="F13" s="40"/>
      <c r="G13" s="37" t="s">
        <v>15</v>
      </c>
      <c r="H13" s="38"/>
      <c r="I13" s="22" t="s">
        <v>16</v>
      </c>
      <c r="J13" s="21"/>
    </row>
    <row r="14" spans="1:10" s="2" customFormat="1" ht="12.75" x14ac:dyDescent="0.2">
      <c r="A14" s="56"/>
      <c r="B14" s="57" t="s">
        <v>4</v>
      </c>
      <c r="C14" s="57" t="s">
        <v>4</v>
      </c>
      <c r="D14" s="57" t="s">
        <v>4</v>
      </c>
      <c r="E14" s="57" t="s">
        <v>4</v>
      </c>
      <c r="F14" s="57" t="s">
        <v>8</v>
      </c>
      <c r="G14" s="57" t="s">
        <v>4</v>
      </c>
      <c r="H14" s="57" t="s">
        <v>8</v>
      </c>
      <c r="I14" s="57" t="s">
        <v>4</v>
      </c>
      <c r="J14" s="3"/>
    </row>
    <row r="15" spans="1:10" s="2" customFormat="1" ht="12.75" x14ac:dyDescent="0.2">
      <c r="A15" s="57"/>
      <c r="B15" s="57" t="s">
        <v>17</v>
      </c>
      <c r="C15" s="57">
        <v>2</v>
      </c>
      <c r="D15" s="57" t="s">
        <v>18</v>
      </c>
      <c r="E15" s="57">
        <v>4</v>
      </c>
      <c r="F15" s="57" t="s">
        <v>19</v>
      </c>
      <c r="G15" s="57">
        <v>6</v>
      </c>
      <c r="H15" s="57" t="s">
        <v>20</v>
      </c>
      <c r="I15" s="57" t="s">
        <v>21</v>
      </c>
      <c r="J15" s="3"/>
    </row>
    <row r="16" spans="1:10" x14ac:dyDescent="0.25">
      <c r="A16" s="46">
        <v>2014</v>
      </c>
      <c r="B16" s="55">
        <f>C16+D16</f>
        <v>99000</v>
      </c>
      <c r="C16" s="55">
        <f>I9</f>
        <v>59781.81</v>
      </c>
      <c r="D16" s="55">
        <f>E16+G16</f>
        <v>39218.19</v>
      </c>
      <c r="E16" s="55">
        <f>I5</f>
        <v>17648.16</v>
      </c>
      <c r="F16" s="58">
        <f>E16/D16</f>
        <v>0.44999934979151252</v>
      </c>
      <c r="G16" s="55">
        <f>I7</f>
        <v>21570.03</v>
      </c>
      <c r="H16" s="58">
        <f>G16/D16</f>
        <v>0.55000065020848743</v>
      </c>
      <c r="I16" s="55">
        <f>G16+C16</f>
        <v>81351.839999999997</v>
      </c>
      <c r="J16" s="3"/>
    </row>
    <row r="17" spans="1:10" x14ac:dyDescent="0.25">
      <c r="A17" s="59" t="s">
        <v>22</v>
      </c>
      <c r="B17" s="60">
        <f>C17+D17</f>
        <v>99000</v>
      </c>
      <c r="C17" s="60">
        <f>I9</f>
        <v>59781.81</v>
      </c>
      <c r="D17" s="60">
        <f>E17+G17</f>
        <v>39218.19</v>
      </c>
      <c r="E17" s="60">
        <f>I5</f>
        <v>17648.16</v>
      </c>
      <c r="F17" s="61">
        <f>E17/D17</f>
        <v>0.44999934979151252</v>
      </c>
      <c r="G17" s="60">
        <f>I7</f>
        <v>21570.03</v>
      </c>
      <c r="H17" s="61">
        <f>G17/D17</f>
        <v>0.55000065020848743</v>
      </c>
      <c r="I17" s="60">
        <f>G17+C17</f>
        <v>81351.839999999997</v>
      </c>
      <c r="J17" s="3"/>
    </row>
    <row r="18" spans="1:10" x14ac:dyDescent="0.25"/>
    <row r="19" spans="1:10" hidden="1" x14ac:dyDescent="0.25"/>
    <row r="20" spans="1:10" hidden="1" x14ac:dyDescent="0.25"/>
    <row r="21" spans="1:10" hidden="1" x14ac:dyDescent="0.25"/>
  </sheetData>
  <mergeCells count="18">
    <mergeCell ref="G7:H7"/>
    <mergeCell ref="G8:H8"/>
    <mergeCell ref="G13:H13"/>
    <mergeCell ref="B2:F2"/>
    <mergeCell ref="B3:F3"/>
    <mergeCell ref="B4:F4"/>
    <mergeCell ref="B5:F5"/>
    <mergeCell ref="B6:F6"/>
    <mergeCell ref="B7:F7"/>
    <mergeCell ref="B8:F8"/>
    <mergeCell ref="E13:F13"/>
    <mergeCell ref="B9:F9"/>
    <mergeCell ref="G9:H9"/>
    <mergeCell ref="G2:H2"/>
    <mergeCell ref="G3:H3"/>
    <mergeCell ref="G4:H4"/>
    <mergeCell ref="G5:H5"/>
    <mergeCell ref="G6:H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PĀRBAUDE</vt:lpstr>
      <vt:lpstr>5.1.1-2 tabulas</vt:lpstr>
      <vt:lpstr>5.1.3-5.3 tabulas</vt:lpstr>
      <vt:lpstr>'5.1.1-2 tabulas'!Print_Area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Kārkliņš</dc:creator>
  <cp:lastModifiedBy>GK</cp:lastModifiedBy>
  <cp:lastPrinted>2014-02-12T08:35:47Z</cp:lastPrinted>
  <dcterms:created xsi:type="dcterms:W3CDTF">2014-02-12T07:29:09Z</dcterms:created>
  <dcterms:modified xsi:type="dcterms:W3CDTF">2014-03-03T07:19:58Z</dcterms:modified>
</cp:coreProperties>
</file>